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P:\Montse\Wolfgang\fets\"/>
    </mc:Choice>
  </mc:AlternateContent>
  <xr:revisionPtr revIDLastSave="0" documentId="8_{E1452478-FEAB-49BE-AA22-D30B6AADEA3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gPO4" sheetId="3" r:id="rId1"/>
  </sheets>
  <definedNames>
    <definedName name="_Regression_Out" hidden="1">#REF!</definedName>
    <definedName name="_Regression_X" hidden="1">#REF!</definedName>
    <definedName name="_Regression_Y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1" i="3" l="1"/>
  <c r="O21" i="3"/>
  <c r="S38" i="3" l="1"/>
  <c r="S37" i="3"/>
  <c r="S36" i="3"/>
  <c r="S33" i="3"/>
  <c r="D39" i="3"/>
  <c r="D38" i="3"/>
  <c r="O37" i="3"/>
  <c r="O36" i="3"/>
  <c r="S35" i="3"/>
  <c r="S34" i="3"/>
  <c r="S39" i="3" s="1"/>
  <c r="O35" i="3"/>
  <c r="O34" i="3"/>
  <c r="O33" i="3"/>
  <c r="O29" i="3"/>
  <c r="O38" i="3" l="1"/>
  <c r="O39" i="3"/>
  <c r="D32" i="3"/>
  <c r="D31" i="3"/>
  <c r="Q32" i="3"/>
  <c r="T32" i="3" s="1"/>
  <c r="Q31" i="3"/>
  <c r="T31" i="3" s="1"/>
  <c r="T27" i="3"/>
  <c r="T30" i="3" l="1"/>
  <c r="N30" i="3" s="1"/>
  <c r="O30" i="3" s="1"/>
  <c r="O26" i="3"/>
  <c r="T25" i="3"/>
  <c r="Z97" i="3"/>
  <c r="AA97" i="3" s="1"/>
  <c r="Z96" i="3"/>
  <c r="AA96" i="3" s="1"/>
  <c r="Z95" i="3"/>
  <c r="AA95" i="3" s="1"/>
  <c r="Z94" i="3"/>
  <c r="AA94" i="3" s="1"/>
  <c r="Z93" i="3"/>
  <c r="AA93" i="3" s="1"/>
  <c r="Z92" i="3"/>
  <c r="AA92" i="3" s="1"/>
  <c r="T99" i="3"/>
  <c r="U99" i="3" s="1"/>
  <c r="T98" i="3"/>
  <c r="U98" i="3" s="1"/>
  <c r="T97" i="3"/>
  <c r="U97" i="3" s="1"/>
  <c r="T96" i="3"/>
  <c r="U96" i="3" s="1"/>
  <c r="T95" i="3"/>
  <c r="U95" i="3" s="1"/>
  <c r="T94" i="3"/>
  <c r="U94" i="3" s="1"/>
  <c r="T93" i="3"/>
  <c r="U93" i="3" s="1"/>
  <c r="T92" i="3"/>
  <c r="U92" i="3" s="1"/>
  <c r="N103" i="3"/>
  <c r="O103" i="3" s="1"/>
  <c r="N102" i="3"/>
  <c r="O102" i="3" s="1"/>
  <c r="N101" i="3"/>
  <c r="O101" i="3" s="1"/>
  <c r="N100" i="3"/>
  <c r="O100" i="3" s="1"/>
  <c r="N99" i="3"/>
  <c r="O99" i="3" s="1"/>
  <c r="N98" i="3"/>
  <c r="O98" i="3" s="1"/>
  <c r="N97" i="3"/>
  <c r="O97" i="3" s="1"/>
  <c r="N96" i="3"/>
  <c r="O96" i="3" s="1"/>
  <c r="N95" i="3"/>
  <c r="O95" i="3" s="1"/>
  <c r="N94" i="3"/>
  <c r="O94" i="3" s="1"/>
  <c r="N93" i="3"/>
  <c r="O93" i="3" s="1"/>
  <c r="N92" i="3"/>
  <c r="O92" i="3" s="1"/>
  <c r="H100" i="3"/>
  <c r="I100" i="3" s="1"/>
  <c r="H99" i="3"/>
  <c r="I99" i="3" s="1"/>
  <c r="H98" i="3"/>
  <c r="I98" i="3" s="1"/>
  <c r="H97" i="3"/>
  <c r="I97" i="3" s="1"/>
  <c r="H96" i="3"/>
  <c r="I96" i="3" s="1"/>
  <c r="H95" i="3"/>
  <c r="I95" i="3" s="1"/>
  <c r="H94" i="3"/>
  <c r="I94" i="3" s="1"/>
  <c r="H93" i="3"/>
  <c r="I93" i="3" s="1"/>
  <c r="H92" i="3"/>
  <c r="I92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l="1"/>
  <c r="B52" i="3"/>
  <c r="B51" i="3"/>
  <c r="B50" i="3"/>
  <c r="B49" i="3"/>
  <c r="B48" i="3"/>
  <c r="B47" i="3"/>
  <c r="B46" i="3"/>
  <c r="B45" i="3"/>
  <c r="B44" i="3"/>
  <c r="B43" i="3"/>
  <c r="B42" i="3"/>
  <c r="T26" i="3"/>
  <c r="S26" i="3"/>
  <c r="I42" i="3" s="1"/>
  <c r="S29" i="3"/>
  <c r="S28" i="3"/>
  <c r="S27" i="3"/>
  <c r="S25" i="3"/>
  <c r="S24" i="3"/>
  <c r="S23" i="3"/>
  <c r="S22" i="3"/>
  <c r="T28" i="3"/>
  <c r="T24" i="3"/>
  <c r="T23" i="3"/>
  <c r="T22" i="3"/>
  <c r="T21" i="3"/>
  <c r="T29" i="3"/>
  <c r="O28" i="3"/>
  <c r="O27" i="3"/>
  <c r="O25" i="3"/>
  <c r="H52" i="3" s="1"/>
  <c r="O24" i="3"/>
  <c r="O23" i="3"/>
  <c r="O22" i="3"/>
  <c r="E42" i="3" l="1"/>
  <c r="F50" i="3"/>
  <c r="W50" i="3"/>
  <c r="W46" i="3"/>
  <c r="W42" i="3"/>
  <c r="V49" i="3"/>
  <c r="V45" i="3"/>
  <c r="W49" i="3"/>
  <c r="W45" i="3"/>
  <c r="V52" i="3"/>
  <c r="V48" i="3"/>
  <c r="V44" i="3"/>
  <c r="W52" i="3"/>
  <c r="W48" i="3"/>
  <c r="W44" i="3"/>
  <c r="V51" i="3"/>
  <c r="V47" i="3"/>
  <c r="V43" i="3"/>
  <c r="W51" i="3"/>
  <c r="W47" i="3"/>
  <c r="W43" i="3"/>
  <c r="V50" i="3"/>
  <c r="V46" i="3"/>
  <c r="V42" i="3"/>
  <c r="J50" i="3"/>
  <c r="J42" i="3"/>
  <c r="S32" i="3"/>
  <c r="S31" i="3"/>
  <c r="S30" i="3"/>
  <c r="O45" i="3" s="1"/>
  <c r="E45" i="3"/>
  <c r="Y45" i="3"/>
  <c r="Z45" i="3"/>
  <c r="C45" i="3"/>
  <c r="Y49" i="3"/>
  <c r="Z49" i="3"/>
  <c r="C49" i="3"/>
  <c r="G49" i="3"/>
  <c r="K49" i="3"/>
  <c r="N42" i="3"/>
  <c r="N52" i="3"/>
  <c r="N48" i="3"/>
  <c r="N44" i="3"/>
  <c r="M50" i="3"/>
  <c r="M46" i="3"/>
  <c r="M42" i="3"/>
  <c r="N51" i="3"/>
  <c r="N47" i="3"/>
  <c r="N43" i="3"/>
  <c r="M49" i="3"/>
  <c r="M45" i="3"/>
  <c r="N50" i="3"/>
  <c r="N46" i="3"/>
  <c r="M52" i="3"/>
  <c r="M48" i="3"/>
  <c r="M44" i="3"/>
  <c r="N49" i="3"/>
  <c r="N45" i="3"/>
  <c r="M51" i="3"/>
  <c r="M47" i="3"/>
  <c r="M43" i="3"/>
  <c r="K42" i="3"/>
  <c r="Y42" i="3"/>
  <c r="Z42" i="3"/>
  <c r="C42" i="3"/>
  <c r="Y46" i="3"/>
  <c r="Z46" i="3"/>
  <c r="C46" i="3"/>
  <c r="Y50" i="3"/>
  <c r="Z50" i="3"/>
  <c r="C50" i="3"/>
  <c r="E50" i="3"/>
  <c r="I50" i="3"/>
  <c r="D52" i="3"/>
  <c r="T52" i="3"/>
  <c r="T48" i="3"/>
  <c r="T44" i="3"/>
  <c r="S51" i="3"/>
  <c r="S47" i="3"/>
  <c r="S43" i="3"/>
  <c r="T51" i="3"/>
  <c r="T47" i="3"/>
  <c r="T43" i="3"/>
  <c r="S50" i="3"/>
  <c r="S46" i="3"/>
  <c r="S42" i="3"/>
  <c r="T50" i="3"/>
  <c r="T46" i="3"/>
  <c r="T42" i="3"/>
  <c r="S49" i="3"/>
  <c r="S45" i="3"/>
  <c r="D42" i="3"/>
  <c r="T49" i="3"/>
  <c r="T45" i="3"/>
  <c r="S52" i="3"/>
  <c r="S48" i="3"/>
  <c r="S44" i="3"/>
  <c r="Y43" i="3"/>
  <c r="Z43" i="3"/>
  <c r="C43" i="3"/>
  <c r="G47" i="3"/>
  <c r="Y47" i="3"/>
  <c r="Z47" i="3"/>
  <c r="C47" i="3"/>
  <c r="Y51" i="3"/>
  <c r="Z51" i="3"/>
  <c r="C51" i="3"/>
  <c r="G42" i="3"/>
  <c r="E51" i="3"/>
  <c r="I51" i="3"/>
  <c r="Z44" i="3"/>
  <c r="Y44" i="3"/>
  <c r="C44" i="3"/>
  <c r="Z48" i="3"/>
  <c r="Y48" i="3"/>
  <c r="C48" i="3"/>
  <c r="Z52" i="3"/>
  <c r="Y52" i="3"/>
  <c r="G50" i="3"/>
  <c r="O52" i="3"/>
  <c r="C52" i="3"/>
  <c r="D43" i="3"/>
  <c r="D49" i="3"/>
  <c r="E47" i="3"/>
  <c r="F46" i="3"/>
  <c r="F51" i="3"/>
  <c r="G45" i="3"/>
  <c r="H43" i="3"/>
  <c r="H49" i="3"/>
  <c r="I47" i="3"/>
  <c r="J46" i="3"/>
  <c r="J51" i="3"/>
  <c r="K45" i="3"/>
  <c r="K50" i="3"/>
  <c r="L43" i="3"/>
  <c r="L49" i="3"/>
  <c r="L44" i="3"/>
  <c r="L48" i="3"/>
  <c r="L52" i="3"/>
  <c r="D45" i="3"/>
  <c r="D50" i="3"/>
  <c r="E43" i="3"/>
  <c r="E49" i="3"/>
  <c r="F42" i="3"/>
  <c r="F47" i="3"/>
  <c r="G46" i="3"/>
  <c r="G51" i="3"/>
  <c r="H45" i="3"/>
  <c r="H50" i="3"/>
  <c r="I43" i="3"/>
  <c r="I49" i="3"/>
  <c r="J47" i="3"/>
  <c r="K46" i="3"/>
  <c r="K51" i="3"/>
  <c r="L45" i="3"/>
  <c r="L50" i="3"/>
  <c r="F43" i="3"/>
  <c r="F49" i="3"/>
  <c r="I45" i="3"/>
  <c r="K47" i="3"/>
  <c r="D46" i="3"/>
  <c r="D51" i="3"/>
  <c r="H46" i="3"/>
  <c r="H51" i="3"/>
  <c r="J43" i="3"/>
  <c r="J49" i="3"/>
  <c r="L46" i="3"/>
  <c r="L51" i="3"/>
  <c r="D47" i="3"/>
  <c r="E46" i="3"/>
  <c r="F45" i="3"/>
  <c r="G43" i="3"/>
  <c r="H42" i="3"/>
  <c r="H47" i="3"/>
  <c r="I46" i="3"/>
  <c r="J45" i="3"/>
  <c r="K43" i="3"/>
  <c r="L42" i="3"/>
  <c r="L47" i="3"/>
  <c r="D44" i="3"/>
  <c r="D48" i="3"/>
  <c r="E44" i="3"/>
  <c r="E48" i="3"/>
  <c r="E52" i="3"/>
  <c r="F44" i="3"/>
  <c r="F48" i="3"/>
  <c r="F52" i="3"/>
  <c r="G44" i="3"/>
  <c r="G48" i="3"/>
  <c r="G52" i="3"/>
  <c r="H44" i="3"/>
  <c r="H48" i="3"/>
  <c r="I44" i="3"/>
  <c r="I48" i="3"/>
  <c r="I52" i="3"/>
  <c r="J44" i="3"/>
  <c r="J48" i="3"/>
  <c r="J52" i="3"/>
  <c r="K44" i="3"/>
  <c r="K48" i="3"/>
  <c r="K52" i="3"/>
  <c r="B17" i="3"/>
  <c r="B19" i="3" s="1"/>
  <c r="F21" i="3" s="1"/>
  <c r="K21" i="3" s="1"/>
  <c r="M21" i="3" s="1"/>
  <c r="O47" i="3" l="1"/>
  <c r="O48" i="3"/>
  <c r="O43" i="3"/>
  <c r="O44" i="3"/>
  <c r="O42" i="3"/>
  <c r="O46" i="3"/>
  <c r="F37" i="3"/>
  <c r="I37" i="3" s="1"/>
  <c r="J37" i="3" s="1"/>
  <c r="F33" i="3"/>
  <c r="I33" i="3" s="1"/>
  <c r="J33" i="3" s="1"/>
  <c r="F36" i="3"/>
  <c r="I36" i="3" s="1"/>
  <c r="J36" i="3" s="1"/>
  <c r="F35" i="3"/>
  <c r="I35" i="3" s="1"/>
  <c r="J35" i="3" s="1"/>
  <c r="F34" i="3"/>
  <c r="I34" i="3" s="1"/>
  <c r="J34" i="3" s="1"/>
  <c r="F32" i="3"/>
  <c r="I32" i="3" s="1"/>
  <c r="N32" i="3" s="1"/>
  <c r="O32" i="3" s="1"/>
  <c r="F31" i="3"/>
  <c r="I31" i="3" s="1"/>
  <c r="N31" i="3" s="1"/>
  <c r="O31" i="3" s="1"/>
  <c r="O49" i="3"/>
  <c r="O50" i="3"/>
  <c r="O51" i="3"/>
  <c r="G29" i="3"/>
  <c r="L29" i="3" s="1"/>
  <c r="G21" i="3"/>
  <c r="L21" i="3" s="1"/>
  <c r="F22" i="3"/>
  <c r="U22" i="3" s="1"/>
  <c r="V22" i="3" s="1"/>
  <c r="F27" i="3"/>
  <c r="G25" i="3"/>
  <c r="L25" i="3" s="1"/>
  <c r="F23" i="3"/>
  <c r="U23" i="3" s="1"/>
  <c r="V23" i="3" s="1"/>
  <c r="G28" i="3"/>
  <c r="L28" i="3" s="1"/>
  <c r="F29" i="3"/>
  <c r="U29" i="3" s="1"/>
  <c r="V29" i="3" s="1"/>
  <c r="F26" i="3"/>
  <c r="U26" i="3" s="1"/>
  <c r="V26" i="3" s="1"/>
  <c r="G24" i="3"/>
  <c r="L24" i="3" s="1"/>
  <c r="F24" i="3"/>
  <c r="U24" i="3" s="1"/>
  <c r="V24" i="3" s="1"/>
  <c r="G27" i="3"/>
  <c r="L27" i="3" s="1"/>
  <c r="F28" i="3"/>
  <c r="U28" i="3" s="1"/>
  <c r="V28" i="3" s="1"/>
  <c r="G26" i="3"/>
  <c r="L26" i="3" s="1"/>
  <c r="F25" i="3"/>
  <c r="U25" i="3" s="1"/>
  <c r="V25" i="3" s="1"/>
  <c r="G23" i="3"/>
  <c r="L23" i="3" s="1"/>
  <c r="G22" i="3"/>
  <c r="L22" i="3" s="1"/>
  <c r="P42" i="3" l="1"/>
  <c r="P43" i="3"/>
  <c r="P32" i="3"/>
  <c r="Q46" i="3"/>
  <c r="Q52" i="3"/>
  <c r="Q47" i="3"/>
  <c r="Q49" i="3"/>
  <c r="Q48" i="3"/>
  <c r="Q50" i="3"/>
  <c r="P44" i="3"/>
  <c r="Q51" i="3"/>
  <c r="Q45" i="3"/>
  <c r="P48" i="3"/>
  <c r="P31" i="3"/>
  <c r="P47" i="3"/>
  <c r="P51" i="3"/>
  <c r="Q44" i="3"/>
  <c r="P49" i="3"/>
  <c r="Q43" i="3"/>
  <c r="P45" i="3"/>
  <c r="P52" i="3"/>
  <c r="Q42" i="3"/>
  <c r="P46" i="3"/>
  <c r="P50" i="3"/>
  <c r="U27" i="3"/>
  <c r="V27" i="3" s="1"/>
  <c r="I27" i="3"/>
  <c r="U21" i="3"/>
  <c r="V21" i="3" s="1"/>
  <c r="I25" i="3"/>
  <c r="J25" i="3" s="1"/>
  <c r="K25" i="3"/>
  <c r="M25" i="3" s="1"/>
  <c r="I24" i="3"/>
  <c r="J24" i="3" s="1"/>
  <c r="K24" i="3"/>
  <c r="M24" i="3" s="1"/>
  <c r="I21" i="3"/>
  <c r="J21" i="3" s="1"/>
  <c r="I23" i="3"/>
  <c r="J23" i="3" s="1"/>
  <c r="K23" i="3"/>
  <c r="M23" i="3" s="1"/>
  <c r="I22" i="3"/>
  <c r="J22" i="3" s="1"/>
  <c r="K22" i="3"/>
  <c r="M22" i="3" s="1"/>
  <c r="I28" i="3"/>
  <c r="J28" i="3" s="1"/>
  <c r="K28" i="3"/>
  <c r="M28" i="3" s="1"/>
  <c r="I26" i="3"/>
  <c r="J26" i="3" s="1"/>
  <c r="K26" i="3"/>
  <c r="M26" i="3" s="1"/>
  <c r="I29" i="3"/>
  <c r="J29" i="3" s="1"/>
  <c r="K29" i="3"/>
  <c r="M29" i="3" s="1"/>
  <c r="J27" i="3"/>
  <c r="K27" i="3"/>
  <c r="M27" i="3" s="1"/>
</calcChain>
</file>

<file path=xl/sharedStrings.xml><?xml version="1.0" encoding="utf-8"?>
<sst xmlns="http://schemas.openxmlformats.org/spreadsheetml/2006/main" count="146" uniqueCount="71">
  <si>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f</t>
    </r>
    <r>
      <rPr>
        <sz val="10"/>
        <rFont val="Arial"/>
      </rPr>
      <t>G</t>
    </r>
    <r>
      <rPr>
        <sz val="10"/>
        <rFont val="Calibri"/>
        <family val="2"/>
      </rPr>
      <t>°</t>
    </r>
  </si>
  <si>
    <t>±</t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</si>
  <si>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f</t>
    </r>
    <r>
      <rPr>
        <sz val="10"/>
        <rFont val="Arial"/>
      </rPr>
      <t>H</t>
    </r>
    <r>
      <rPr>
        <sz val="10"/>
        <rFont val="Calibri"/>
        <family val="2"/>
      </rPr>
      <t>°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</si>
  <si>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O(l)</t>
    </r>
  </si>
  <si>
    <t>R</t>
  </si>
  <si>
    <r>
      <t>kJ K</t>
    </r>
    <r>
      <rPr>
        <vertAlign val="superscript"/>
        <sz val="10"/>
        <rFont val="Arial"/>
        <family val="2"/>
      </rPr>
      <t>-1</t>
    </r>
    <r>
      <rPr>
        <sz val="10"/>
        <rFont val="Arial"/>
      </rPr>
      <t xml:space="preserve"> mol</t>
    </r>
    <r>
      <rPr>
        <vertAlign val="superscript"/>
        <sz val="10"/>
        <rFont val="Arial"/>
        <family val="2"/>
      </rPr>
      <t>-1</t>
    </r>
  </si>
  <si>
    <t>T</t>
  </si>
  <si>
    <t>K</t>
  </si>
  <si>
    <t>ln(10)</t>
  </si>
  <si>
    <t>R T ln(10)</t>
  </si>
  <si>
    <r>
      <rPr>
        <sz val="10"/>
        <rFont val="Arial"/>
      </rPr>
      <t>S</t>
    </r>
    <r>
      <rPr>
        <sz val="10"/>
        <rFont val="Calibri"/>
        <family val="2"/>
      </rPr>
      <t>°</t>
    </r>
  </si>
  <si>
    <r>
      <t>H</t>
    </r>
    <r>
      <rPr>
        <vertAlign val="superscript"/>
        <sz val="10"/>
        <rFont val="Arial"/>
        <family val="2"/>
      </rPr>
      <t>+</t>
    </r>
  </si>
  <si>
    <r>
      <t>K</t>
    </r>
    <r>
      <rPr>
        <vertAlign val="superscript"/>
        <sz val="10"/>
        <rFont val="Arial"/>
        <family val="2"/>
      </rPr>
      <t>+</t>
    </r>
  </si>
  <si>
    <r>
      <t>Mg</t>
    </r>
    <r>
      <rPr>
        <vertAlign val="superscript"/>
        <sz val="10"/>
        <rFont val="Arial"/>
        <family val="2"/>
      </rPr>
      <t>2+</t>
    </r>
  </si>
  <si>
    <r>
      <t>PO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3-</t>
    </r>
  </si>
  <si>
    <r>
      <rPr>
        <sz val="10"/>
        <rFont val="Arial"/>
      </rPr>
      <t>C</t>
    </r>
    <r>
      <rPr>
        <vertAlign val="subscript"/>
        <sz val="10"/>
        <rFont val="Arial"/>
        <family val="2"/>
      </rPr>
      <t>p</t>
    </r>
    <r>
      <rPr>
        <sz val="10"/>
        <rFont val="Calibri"/>
        <family val="2"/>
      </rPr>
      <t>°</t>
    </r>
  </si>
  <si>
    <t>[kJ/mol]</t>
  </si>
  <si>
    <t>[J/mol/K]</t>
  </si>
  <si>
    <r>
      <t>MgHPO</t>
    </r>
    <r>
      <rPr>
        <vertAlign val="subscript"/>
        <sz val="10"/>
        <rFont val="Arial"/>
        <family val="2"/>
      </rPr>
      <t>4</t>
    </r>
    <r>
      <rPr>
        <sz val="10"/>
        <rFont val="Calibri"/>
        <family val="2"/>
      </rPr>
      <t>·</t>
    </r>
    <r>
      <rPr>
        <sz val="10"/>
        <rFont val="Arial"/>
        <family val="2"/>
      </rPr>
      <t>3H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Newberyite</t>
    </r>
  </si>
  <si>
    <r>
      <t>MgHPO</t>
    </r>
    <r>
      <rPr>
        <vertAlign val="subscript"/>
        <sz val="10"/>
        <rFont val="Arial"/>
        <family val="2"/>
      </rPr>
      <t>4</t>
    </r>
    <r>
      <rPr>
        <sz val="10"/>
        <rFont val="Calibri"/>
        <family val="2"/>
      </rPr>
      <t>·</t>
    </r>
    <r>
      <rPr>
        <sz val="10"/>
        <rFont val="Arial"/>
        <family val="2"/>
      </rPr>
      <t>7H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Phosphorröslerite</t>
    </r>
  </si>
  <si>
    <r>
      <t>MgKPO</t>
    </r>
    <r>
      <rPr>
        <vertAlign val="subscript"/>
        <sz val="10"/>
        <rFont val="Arial"/>
        <family val="2"/>
      </rPr>
      <t>4</t>
    </r>
    <r>
      <rPr>
        <sz val="10"/>
        <rFont val="Calibri"/>
        <family val="2"/>
      </rPr>
      <t>·</t>
    </r>
    <r>
      <rPr>
        <sz val="10"/>
        <rFont val="Arial"/>
        <family val="2"/>
      </rPr>
      <t>6H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K-struvite</t>
    </r>
  </si>
  <si>
    <r>
      <t>MgKPO</t>
    </r>
    <r>
      <rPr>
        <vertAlign val="subscript"/>
        <sz val="10"/>
        <rFont val="Arial"/>
        <family val="2"/>
      </rPr>
      <t>4</t>
    </r>
    <r>
      <rPr>
        <sz val="10"/>
        <rFont val="Calibri"/>
        <family val="2"/>
      </rPr>
      <t>·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</si>
  <si>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MgHPO</t>
    </r>
    <r>
      <rPr>
        <vertAlign val="subscript"/>
        <sz val="10"/>
        <rFont val="Arial"/>
        <family val="2"/>
      </rPr>
      <t>4</t>
    </r>
    <r>
      <rPr>
        <sz val="10"/>
        <rFont val="Calibri"/>
        <family val="2"/>
      </rPr>
      <t>·</t>
    </r>
    <r>
      <rPr>
        <sz val="10"/>
        <rFont val="Arial"/>
        <family val="2"/>
      </rPr>
      <t>3H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= Mg</t>
    </r>
    <r>
      <rPr>
        <vertAlign val="superscript"/>
        <sz val="10"/>
        <rFont val="Arial"/>
        <family val="2"/>
      </rPr>
      <t>2+</t>
    </r>
    <r>
      <rPr>
        <sz val="10"/>
        <rFont val="Arial"/>
        <family val="2"/>
      </rPr>
      <t xml:space="preserve"> + H</t>
    </r>
    <r>
      <rPr>
        <vertAlign val="superscript"/>
        <sz val="10"/>
        <rFont val="Arial"/>
        <family val="2"/>
      </rPr>
      <t>+</t>
    </r>
    <r>
      <rPr>
        <sz val="10"/>
        <rFont val="Arial"/>
        <family val="2"/>
      </rPr>
      <t xml:space="preserve"> + PO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3-</t>
    </r>
    <r>
      <rPr>
        <sz val="10"/>
        <rFont val="Arial"/>
        <family val="2"/>
      </rPr>
      <t xml:space="preserve"> + 3H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O(l)</t>
    </r>
  </si>
  <si>
    <r>
      <t>MgHPO</t>
    </r>
    <r>
      <rPr>
        <vertAlign val="subscript"/>
        <sz val="10"/>
        <rFont val="Arial"/>
        <family val="2"/>
      </rPr>
      <t>4</t>
    </r>
    <r>
      <rPr>
        <sz val="10"/>
        <rFont val="Calibri"/>
        <family val="2"/>
      </rPr>
      <t>·</t>
    </r>
    <r>
      <rPr>
        <sz val="10"/>
        <rFont val="Arial"/>
        <family val="2"/>
      </rPr>
      <t>7H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= Mg</t>
    </r>
    <r>
      <rPr>
        <vertAlign val="superscript"/>
        <sz val="10"/>
        <rFont val="Arial"/>
        <family val="2"/>
      </rPr>
      <t>2+</t>
    </r>
    <r>
      <rPr>
        <sz val="10"/>
        <rFont val="Arial"/>
        <family val="2"/>
      </rPr>
      <t xml:space="preserve"> + H</t>
    </r>
    <r>
      <rPr>
        <vertAlign val="superscript"/>
        <sz val="10"/>
        <rFont val="Arial"/>
        <family val="2"/>
      </rPr>
      <t>+</t>
    </r>
    <r>
      <rPr>
        <sz val="10"/>
        <rFont val="Arial"/>
        <family val="2"/>
      </rPr>
      <t xml:space="preserve"> + PO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3-</t>
    </r>
    <r>
      <rPr>
        <sz val="10"/>
        <rFont val="Arial"/>
        <family val="2"/>
      </rPr>
      <t xml:space="preserve"> + 7H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O(l)</t>
    </r>
  </si>
  <si>
    <r>
      <t>MgKPO</t>
    </r>
    <r>
      <rPr>
        <vertAlign val="subscript"/>
        <sz val="10"/>
        <rFont val="Arial"/>
        <family val="2"/>
      </rPr>
      <t>4</t>
    </r>
    <r>
      <rPr>
        <sz val="10"/>
        <rFont val="Calibri"/>
        <family val="2"/>
      </rPr>
      <t>·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= Mg</t>
    </r>
    <r>
      <rPr>
        <vertAlign val="superscript"/>
        <sz val="10"/>
        <rFont val="Arial"/>
        <family val="2"/>
      </rPr>
      <t>2+</t>
    </r>
    <r>
      <rPr>
        <sz val="10"/>
        <rFont val="Arial"/>
        <family val="2"/>
      </rPr>
      <t xml:space="preserve"> + K</t>
    </r>
    <r>
      <rPr>
        <vertAlign val="superscript"/>
        <sz val="10"/>
        <rFont val="Arial"/>
        <family val="2"/>
      </rPr>
      <t>+</t>
    </r>
    <r>
      <rPr>
        <sz val="10"/>
        <rFont val="Arial"/>
        <family val="2"/>
      </rPr>
      <t xml:space="preserve"> + PO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3-</t>
    </r>
    <r>
      <rPr>
        <sz val="10"/>
        <rFont val="Arial"/>
        <family val="2"/>
      </rPr>
      <t xml:space="preserve"> + 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O(l)</t>
    </r>
  </si>
  <si>
    <r>
      <t>Mg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KH(PO</t>
    </r>
    <r>
      <rPr>
        <vertAlign val="subscript"/>
        <sz val="10"/>
        <rFont val="Arial"/>
        <family val="2"/>
      </rPr>
      <t>4</t>
    </r>
    <r>
      <rPr>
        <sz val="10"/>
        <rFont val="Calibri"/>
        <family val="2"/>
      </rPr>
      <t>)</t>
    </r>
    <r>
      <rPr>
        <vertAlign val="subscript"/>
        <sz val="10"/>
        <rFont val="Calibri"/>
        <family val="2"/>
      </rPr>
      <t>2</t>
    </r>
    <r>
      <rPr>
        <sz val="10"/>
        <rFont val="Calibri"/>
        <family val="2"/>
      </rPr>
      <t>·</t>
    </r>
    <r>
      <rPr>
        <sz val="10"/>
        <rFont val="Arial"/>
        <family val="2"/>
      </rPr>
      <t>15H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</si>
  <si>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Mg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(PO</t>
    </r>
    <r>
      <rPr>
        <vertAlign val="subscript"/>
        <sz val="10"/>
        <rFont val="Arial"/>
        <family val="2"/>
      </rPr>
      <t>4</t>
    </r>
    <r>
      <rPr>
        <sz val="10"/>
        <rFont val="Calibri"/>
        <family val="2"/>
      </rPr>
      <t>)</t>
    </r>
    <r>
      <rPr>
        <vertAlign val="subscript"/>
        <sz val="10"/>
        <rFont val="Calibri"/>
        <family val="2"/>
      </rPr>
      <t>2</t>
    </r>
    <r>
      <rPr>
        <sz val="10"/>
        <rFont val="Calibri"/>
        <family val="2"/>
      </rPr>
      <t>·</t>
    </r>
    <r>
      <rPr>
        <sz val="10"/>
        <rFont val="Arial"/>
        <family val="2"/>
      </rPr>
      <t>8H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Bobierrite</t>
    </r>
  </si>
  <si>
    <r>
      <t>Mg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(PO</t>
    </r>
    <r>
      <rPr>
        <vertAlign val="subscript"/>
        <sz val="10"/>
        <rFont val="Arial"/>
        <family val="2"/>
      </rPr>
      <t>4</t>
    </r>
    <r>
      <rPr>
        <sz val="10"/>
        <rFont val="Calibri"/>
        <family val="2"/>
      </rPr>
      <t>)</t>
    </r>
    <r>
      <rPr>
        <vertAlign val="subscript"/>
        <sz val="10"/>
        <rFont val="Calibri"/>
        <family val="2"/>
      </rPr>
      <t>2</t>
    </r>
    <r>
      <rPr>
        <sz val="10"/>
        <rFont val="Calibri"/>
        <family val="2"/>
      </rPr>
      <t>·</t>
    </r>
    <r>
      <rPr>
        <sz val="10"/>
        <rFont val="Arial"/>
        <family val="2"/>
      </rPr>
      <t>22H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Cattite</t>
    </r>
  </si>
  <si>
    <r>
      <t>Mg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(PO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= 3 Mg</t>
    </r>
    <r>
      <rPr>
        <vertAlign val="superscript"/>
        <sz val="10"/>
        <rFont val="Arial"/>
        <family val="2"/>
      </rPr>
      <t>2+</t>
    </r>
    <r>
      <rPr>
        <sz val="10"/>
        <rFont val="Arial"/>
        <family val="2"/>
      </rPr>
      <t xml:space="preserve"> + 2 PO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3-</t>
    </r>
  </si>
  <si>
    <r>
      <t>Mg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KH(PO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  <r>
      <rPr>
        <vertAlign val="subscript"/>
        <sz val="10"/>
        <rFont val="Arial"/>
        <family val="2"/>
      </rPr>
      <t>2</t>
    </r>
    <r>
      <rPr>
        <sz val="10"/>
        <rFont val="Calibri"/>
        <family val="2"/>
      </rPr>
      <t>·</t>
    </r>
    <r>
      <rPr>
        <sz val="10"/>
        <rFont val="Arial"/>
        <family val="2"/>
      </rPr>
      <t>15H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= 2 Mg</t>
    </r>
    <r>
      <rPr>
        <vertAlign val="superscript"/>
        <sz val="10"/>
        <rFont val="Arial"/>
        <family val="2"/>
      </rPr>
      <t>2+</t>
    </r>
    <r>
      <rPr>
        <sz val="10"/>
        <rFont val="Arial"/>
        <family val="2"/>
      </rPr>
      <t xml:space="preserve"> + K</t>
    </r>
    <r>
      <rPr>
        <vertAlign val="superscript"/>
        <sz val="10"/>
        <rFont val="Arial"/>
        <family val="2"/>
      </rPr>
      <t>+</t>
    </r>
    <r>
      <rPr>
        <sz val="10"/>
        <rFont val="Arial"/>
        <family val="2"/>
      </rPr>
      <t xml:space="preserve"> + H</t>
    </r>
    <r>
      <rPr>
        <vertAlign val="superscript"/>
        <sz val="10"/>
        <rFont val="Arial"/>
        <family val="2"/>
      </rPr>
      <t>+</t>
    </r>
    <r>
      <rPr>
        <sz val="10"/>
        <rFont val="Arial"/>
        <family val="2"/>
      </rPr>
      <t xml:space="preserve"> + 2 PO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3-</t>
    </r>
    <r>
      <rPr>
        <sz val="10"/>
        <rFont val="Arial"/>
        <family val="2"/>
      </rPr>
      <t xml:space="preserve"> + 15 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O(l)</t>
    </r>
  </si>
  <si>
    <r>
      <t>Mg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(PO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  <r>
      <rPr>
        <vertAlign val="subscript"/>
        <sz val="10"/>
        <rFont val="Arial"/>
        <family val="2"/>
      </rPr>
      <t>2</t>
    </r>
    <r>
      <rPr>
        <sz val="10"/>
        <rFont val="Calibri"/>
        <family val="2"/>
      </rPr>
      <t>·</t>
    </r>
    <r>
      <rPr>
        <sz val="10"/>
        <rFont val="Arial"/>
        <family val="2"/>
      </rPr>
      <t>22H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O(l) = 3 Mg</t>
    </r>
    <r>
      <rPr>
        <vertAlign val="superscript"/>
        <sz val="10"/>
        <rFont val="Arial"/>
        <family val="2"/>
      </rPr>
      <t>2+</t>
    </r>
    <r>
      <rPr>
        <sz val="10"/>
        <rFont val="Arial"/>
        <family val="2"/>
      </rPr>
      <t xml:space="preserve"> + 2 PO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3-</t>
    </r>
    <r>
      <rPr>
        <sz val="10"/>
        <rFont val="Arial"/>
        <family val="2"/>
      </rPr>
      <t xml:space="preserve"> + 22 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O(l)</t>
    </r>
  </si>
  <si>
    <r>
      <t>Mg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(PO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  <r>
      <rPr>
        <vertAlign val="subscript"/>
        <sz val="10"/>
        <rFont val="Arial"/>
        <family val="2"/>
      </rPr>
      <t>2</t>
    </r>
    <r>
      <rPr>
        <sz val="10"/>
        <rFont val="Calibri"/>
        <family val="2"/>
      </rPr>
      <t>·</t>
    </r>
    <r>
      <rPr>
        <sz val="10"/>
        <rFont val="Arial"/>
        <family val="2"/>
      </rPr>
      <t>8H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O(l) = 3 Mg</t>
    </r>
    <r>
      <rPr>
        <vertAlign val="superscript"/>
        <sz val="10"/>
        <rFont val="Arial"/>
        <family val="2"/>
      </rPr>
      <t>2+</t>
    </r>
    <r>
      <rPr>
        <sz val="10"/>
        <rFont val="Arial"/>
        <family val="2"/>
      </rPr>
      <t xml:space="preserve"> + 2 PO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3-</t>
    </r>
    <r>
      <rPr>
        <sz val="10"/>
        <rFont val="Arial"/>
        <family val="2"/>
      </rPr>
      <t xml:space="preserve"> + 8 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O(l)</t>
    </r>
  </si>
  <si>
    <r>
      <t>Mg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(PO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  <r>
      <rPr>
        <vertAlign val="subscript"/>
        <sz val="10"/>
        <rFont val="Arial"/>
        <family val="2"/>
      </rPr>
      <t>2</t>
    </r>
    <r>
      <rPr>
        <sz val="10"/>
        <rFont val="Calibri"/>
        <family val="2"/>
      </rPr>
      <t>·</t>
    </r>
    <r>
      <rPr>
        <sz val="10"/>
        <rFont val="Arial"/>
        <family val="2"/>
      </rPr>
      <t>4H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O(l) = 3 Mg</t>
    </r>
    <r>
      <rPr>
        <vertAlign val="superscript"/>
        <sz val="10"/>
        <rFont val="Arial"/>
        <family val="2"/>
      </rPr>
      <t>2+</t>
    </r>
    <r>
      <rPr>
        <sz val="10"/>
        <rFont val="Arial"/>
        <family val="2"/>
      </rPr>
      <t xml:space="preserve"> + 2 PO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3-</t>
    </r>
    <r>
      <rPr>
        <sz val="10"/>
        <rFont val="Arial"/>
        <family val="2"/>
      </rPr>
      <t xml:space="preserve"> + 4 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O(l)</t>
    </r>
  </si>
  <si>
    <t>Difference</t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</si>
  <si>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r</t>
    </r>
    <r>
      <rPr>
        <sz val="10"/>
        <rFont val="Arial"/>
      </rPr>
      <t>S</t>
    </r>
    <r>
      <rPr>
        <sz val="10"/>
        <rFont val="Calibri"/>
        <family val="2"/>
      </rPr>
      <t>°</t>
    </r>
  </si>
  <si>
    <r>
      <t>MgKPO</t>
    </r>
    <r>
      <rPr>
        <vertAlign val="subscript"/>
        <sz val="10"/>
        <rFont val="Arial"/>
        <family val="2"/>
      </rPr>
      <t>4</t>
    </r>
    <r>
      <rPr>
        <sz val="10"/>
        <rFont val="Calibri"/>
        <family val="2"/>
      </rPr>
      <t>·</t>
    </r>
    <r>
      <rPr>
        <sz val="10"/>
        <rFont val="Arial"/>
        <family val="2"/>
      </rPr>
      <t>6H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= Mg</t>
    </r>
    <r>
      <rPr>
        <vertAlign val="superscript"/>
        <sz val="10"/>
        <rFont val="Arial"/>
        <family val="2"/>
      </rPr>
      <t>2+</t>
    </r>
    <r>
      <rPr>
        <sz val="10"/>
        <rFont val="Arial"/>
        <family val="2"/>
      </rPr>
      <t xml:space="preserve"> + K</t>
    </r>
    <r>
      <rPr>
        <vertAlign val="superscript"/>
        <sz val="10"/>
        <rFont val="Arial"/>
        <family val="2"/>
      </rPr>
      <t>+</t>
    </r>
    <r>
      <rPr>
        <sz val="10"/>
        <rFont val="Arial"/>
        <family val="2"/>
      </rPr>
      <t xml:space="preserve"> + PO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3-</t>
    </r>
    <r>
      <rPr>
        <sz val="10"/>
        <rFont val="Arial"/>
        <family val="2"/>
      </rPr>
      <t xml:space="preserve"> + 6H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O(l)</t>
    </r>
  </si>
  <si>
    <r>
      <t>Mg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(PO</t>
    </r>
    <r>
      <rPr>
        <vertAlign val="subscript"/>
        <sz val="10"/>
        <rFont val="Arial"/>
        <family val="2"/>
      </rPr>
      <t>4</t>
    </r>
    <r>
      <rPr>
        <sz val="10"/>
        <rFont val="Calibri"/>
        <family val="2"/>
      </rPr>
      <t>)</t>
    </r>
    <r>
      <rPr>
        <vertAlign val="subscript"/>
        <sz val="10"/>
        <rFont val="Calibri"/>
        <family val="2"/>
      </rPr>
      <t>2</t>
    </r>
    <r>
      <rPr>
        <sz val="10"/>
        <rFont val="Arial"/>
        <family val="2"/>
      </rPr>
      <t xml:space="preserve"> Farringtonite</t>
    </r>
  </si>
  <si>
    <r>
      <t>log</t>
    </r>
    <r>
      <rPr>
        <b/>
        <vertAlign val="subscript"/>
        <sz val="10"/>
        <color rgb="FFFF0000"/>
        <rFont val="Arial"/>
        <family val="2"/>
      </rPr>
      <t>10</t>
    </r>
    <r>
      <rPr>
        <b/>
        <sz val="10"/>
        <color rgb="FFFF0000"/>
        <rFont val="Arial"/>
        <family val="2"/>
      </rPr>
      <t>K</t>
    </r>
  </si>
  <si>
    <r>
      <rPr>
        <b/>
        <sz val="10"/>
        <color rgb="FFFF0000"/>
        <rFont val="Symbol"/>
        <family val="1"/>
        <charset val="2"/>
      </rPr>
      <t>D</t>
    </r>
    <r>
      <rPr>
        <b/>
        <vertAlign val="subscript"/>
        <sz val="10"/>
        <color rgb="FFFF0000"/>
        <rFont val="Arial"/>
        <family val="2"/>
      </rPr>
      <t>r</t>
    </r>
    <r>
      <rPr>
        <b/>
        <sz val="10"/>
        <color rgb="FFFF0000"/>
        <rFont val="Arial"/>
        <family val="2"/>
      </rPr>
      <t>H</t>
    </r>
    <r>
      <rPr>
        <b/>
        <sz val="10"/>
        <color rgb="FFFF0000"/>
        <rFont val="Calibri"/>
        <family val="2"/>
      </rPr>
      <t>°</t>
    </r>
  </si>
  <si>
    <r>
      <rPr>
        <sz val="10"/>
        <rFont val="Symbol"/>
        <family val="1"/>
        <charset val="2"/>
      </rPr>
      <t>(D</t>
    </r>
    <r>
      <rPr>
        <vertAlign val="subscript"/>
        <sz val="10"/>
        <rFont val="Arial"/>
        <family val="2"/>
      </rPr>
      <t>r</t>
    </r>
    <r>
      <rPr>
        <sz val="10"/>
        <rFont val="Arial"/>
      </rPr>
      <t>H</t>
    </r>
    <r>
      <rPr>
        <sz val="10"/>
        <rFont val="Calibri"/>
        <family val="2"/>
      </rPr>
      <t xml:space="preserve">° - </t>
    </r>
    <r>
      <rPr>
        <sz val="10"/>
        <rFont val="Symbol"/>
        <family val="1"/>
        <charset val="2"/>
      </rPr>
      <t>D</t>
    </r>
    <r>
      <rPr>
        <vertAlign val="subscript"/>
        <sz val="10"/>
        <rFont val="Calibri"/>
        <family val="2"/>
      </rPr>
      <t>r</t>
    </r>
    <r>
      <rPr>
        <sz val="10"/>
        <rFont val="Calibri"/>
        <family val="2"/>
      </rPr>
      <t xml:space="preserve">G°) / T°  </t>
    </r>
  </si>
  <si>
    <r>
      <rPr>
        <sz val="10"/>
        <color rgb="FFFF0000"/>
        <rFont val="Symbol"/>
        <family val="1"/>
        <charset val="2"/>
      </rPr>
      <t>D</t>
    </r>
    <r>
      <rPr>
        <vertAlign val="subscript"/>
        <sz val="10"/>
        <color rgb="FFFF0000"/>
        <rFont val="Arial"/>
        <family val="2"/>
      </rPr>
      <t>r</t>
    </r>
    <r>
      <rPr>
        <sz val="10"/>
        <color rgb="FFFF0000"/>
        <rFont val="Arial"/>
        <family val="2"/>
      </rPr>
      <t>G</t>
    </r>
    <r>
      <rPr>
        <sz val="10"/>
        <color rgb="FFFF0000"/>
        <rFont val="Calibri"/>
        <family val="2"/>
      </rPr>
      <t>°</t>
    </r>
  </si>
  <si>
    <r>
      <rPr>
        <b/>
        <sz val="10"/>
        <color rgb="FFFF0000"/>
        <rFont val="Symbol"/>
        <family val="1"/>
        <charset val="2"/>
      </rPr>
      <t>D</t>
    </r>
    <r>
      <rPr>
        <b/>
        <vertAlign val="subscript"/>
        <sz val="10"/>
        <color rgb="FFFF0000"/>
        <rFont val="Arial"/>
        <family val="2"/>
      </rPr>
      <t>r</t>
    </r>
    <r>
      <rPr>
        <b/>
        <sz val="10"/>
        <color rgb="FFFF0000"/>
        <rFont val="Arial"/>
        <family val="2"/>
      </rPr>
      <t>C</t>
    </r>
    <r>
      <rPr>
        <b/>
        <vertAlign val="subscript"/>
        <sz val="10"/>
        <color rgb="FFFF0000"/>
        <rFont val="Arial"/>
        <family val="2"/>
      </rPr>
      <t>p</t>
    </r>
    <r>
      <rPr>
        <b/>
        <sz val="10"/>
        <color rgb="FFFF0000"/>
        <rFont val="Calibri"/>
        <family val="2"/>
      </rPr>
      <t>°</t>
    </r>
  </si>
  <si>
    <r>
      <t>Temp (</t>
    </r>
    <r>
      <rPr>
        <sz val="10"/>
        <rFont val="Calibri"/>
        <family val="2"/>
      </rPr>
      <t>°</t>
    </r>
    <r>
      <rPr>
        <sz val="10"/>
        <rFont val="Arial"/>
        <family val="2"/>
      </rPr>
      <t>C)</t>
    </r>
  </si>
  <si>
    <t>Temp (K)</t>
  </si>
  <si>
    <r>
      <t>log</t>
    </r>
    <r>
      <rPr>
        <vertAlign val="subscript"/>
        <sz val="10"/>
        <color theme="1"/>
        <rFont val="Arial"/>
        <family val="2"/>
      </rPr>
      <t>10</t>
    </r>
    <r>
      <rPr>
        <sz val="10"/>
        <color theme="1"/>
        <rFont val="Arial"/>
        <family val="2"/>
      </rPr>
      <t>K</t>
    </r>
  </si>
  <si>
    <t>Temp (1 / K)</t>
  </si>
  <si>
    <r>
      <t>Mg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(PO</t>
    </r>
    <r>
      <rPr>
        <vertAlign val="subscript"/>
        <sz val="10"/>
        <rFont val="Arial"/>
        <family val="2"/>
      </rPr>
      <t>4</t>
    </r>
    <r>
      <rPr>
        <sz val="10"/>
        <rFont val="Calibri"/>
        <family val="2"/>
      </rPr>
      <t>)</t>
    </r>
    <r>
      <rPr>
        <vertAlign val="subscript"/>
        <sz val="10"/>
        <rFont val="Calibri"/>
        <family val="2"/>
      </rPr>
      <t>2</t>
    </r>
    <r>
      <rPr>
        <sz val="10"/>
        <rFont val="Calibri"/>
        <family val="2"/>
      </rPr>
      <t>·</t>
    </r>
    <r>
      <rPr>
        <sz val="10"/>
        <rFont val="Arial"/>
        <family val="2"/>
      </rPr>
      <t>4H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(S fitted)</t>
    </r>
  </si>
  <si>
    <r>
      <t>Mg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(PO</t>
    </r>
    <r>
      <rPr>
        <vertAlign val="subscript"/>
        <sz val="10"/>
        <rFont val="Arial"/>
        <family val="2"/>
      </rPr>
      <t>4</t>
    </r>
    <r>
      <rPr>
        <sz val="10"/>
        <rFont val="Calibri"/>
        <family val="2"/>
      </rPr>
      <t>)</t>
    </r>
    <r>
      <rPr>
        <vertAlign val="subscript"/>
        <sz val="10"/>
        <rFont val="Calibri"/>
        <family val="2"/>
      </rPr>
      <t>2</t>
    </r>
    <r>
      <rPr>
        <sz val="10"/>
        <rFont val="Calibri"/>
        <family val="2"/>
      </rPr>
      <t>·</t>
    </r>
    <r>
      <rPr>
        <sz val="10"/>
        <rFont val="Arial"/>
        <family val="2"/>
      </rPr>
      <t>4H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(S isocou)</t>
    </r>
  </si>
  <si>
    <r>
      <t>Mg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(PO</t>
    </r>
    <r>
      <rPr>
        <vertAlign val="subscript"/>
        <sz val="10"/>
        <rFont val="Arial"/>
        <family val="2"/>
      </rPr>
      <t>4</t>
    </r>
    <r>
      <rPr>
        <sz val="10"/>
        <rFont val="Calibri"/>
        <family val="2"/>
      </rPr>
      <t>)</t>
    </r>
    <r>
      <rPr>
        <vertAlign val="subscript"/>
        <sz val="10"/>
        <rFont val="Calibri"/>
        <family val="2"/>
      </rPr>
      <t>2</t>
    </r>
    <r>
      <rPr>
        <sz val="10"/>
        <rFont val="Calibri"/>
        <family val="2"/>
      </rPr>
      <t>·</t>
    </r>
    <r>
      <rPr>
        <sz val="10"/>
        <rFont val="Arial"/>
        <family val="2"/>
      </rPr>
      <t>4H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(S fitted, maximum)</t>
    </r>
  </si>
  <si>
    <r>
      <t>Mg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(PO</t>
    </r>
    <r>
      <rPr>
        <vertAlign val="subscript"/>
        <sz val="10"/>
        <rFont val="Arial"/>
        <family val="2"/>
      </rPr>
      <t>4</t>
    </r>
    <r>
      <rPr>
        <sz val="10"/>
        <rFont val="Calibri"/>
        <family val="2"/>
      </rPr>
      <t>)</t>
    </r>
    <r>
      <rPr>
        <vertAlign val="subscript"/>
        <sz val="10"/>
        <rFont val="Calibri"/>
        <family val="2"/>
      </rPr>
      <t>2</t>
    </r>
    <r>
      <rPr>
        <sz val="10"/>
        <rFont val="Calibri"/>
        <family val="2"/>
      </rPr>
      <t>·</t>
    </r>
    <r>
      <rPr>
        <sz val="10"/>
        <rFont val="Arial"/>
        <family val="2"/>
      </rPr>
      <t>4H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(S fitted, minimum)</t>
    </r>
  </si>
  <si>
    <r>
      <t>MgH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PO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+</t>
    </r>
  </si>
  <si>
    <r>
      <t>MgHPO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(aq)</t>
    </r>
  </si>
  <si>
    <r>
      <t>MgPO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-</t>
    </r>
  </si>
  <si>
    <r>
      <t>Mg</t>
    </r>
    <r>
      <rPr>
        <vertAlign val="superscript"/>
        <sz val="10"/>
        <rFont val="Arial"/>
        <family val="2"/>
      </rPr>
      <t>2+</t>
    </r>
    <r>
      <rPr>
        <sz val="10"/>
        <rFont val="Arial"/>
        <family val="2"/>
      </rPr>
      <t xml:space="preserve"> + 2 H</t>
    </r>
    <r>
      <rPr>
        <vertAlign val="superscript"/>
        <sz val="10"/>
        <rFont val="Arial"/>
        <family val="2"/>
      </rPr>
      <t>+</t>
    </r>
    <r>
      <rPr>
        <sz val="10"/>
        <rFont val="Arial"/>
        <family val="2"/>
      </rPr>
      <t xml:space="preserve"> + PO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3-</t>
    </r>
    <r>
      <rPr>
        <sz val="10"/>
        <rFont val="Arial"/>
        <family val="2"/>
      </rPr>
      <t xml:space="preserve"> = MgH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PO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+</t>
    </r>
  </si>
  <si>
    <r>
      <t>Mg</t>
    </r>
    <r>
      <rPr>
        <vertAlign val="superscript"/>
        <sz val="10"/>
        <rFont val="Arial"/>
        <family val="2"/>
      </rPr>
      <t>2+</t>
    </r>
    <r>
      <rPr>
        <sz val="10"/>
        <rFont val="Arial"/>
        <family val="2"/>
      </rPr>
      <t xml:space="preserve"> + H</t>
    </r>
    <r>
      <rPr>
        <vertAlign val="superscript"/>
        <sz val="10"/>
        <rFont val="Arial"/>
        <family val="2"/>
      </rPr>
      <t>+</t>
    </r>
    <r>
      <rPr>
        <sz val="10"/>
        <rFont val="Arial"/>
        <family val="2"/>
      </rPr>
      <t xml:space="preserve"> + PO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3-</t>
    </r>
    <r>
      <rPr>
        <sz val="10"/>
        <rFont val="Arial"/>
        <family val="2"/>
      </rPr>
      <t xml:space="preserve"> = MgHPO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(aq)</t>
    </r>
  </si>
  <si>
    <r>
      <t>Mg</t>
    </r>
    <r>
      <rPr>
        <vertAlign val="superscript"/>
        <sz val="10"/>
        <rFont val="Arial"/>
        <family val="2"/>
      </rPr>
      <t>2+</t>
    </r>
    <r>
      <rPr>
        <sz val="10"/>
        <rFont val="Arial"/>
        <family val="2"/>
      </rPr>
      <t xml:space="preserve"> + PO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3-</t>
    </r>
    <r>
      <rPr>
        <sz val="10"/>
        <rFont val="Arial"/>
        <family val="2"/>
      </rPr>
      <t xml:space="preserve"> = MgPO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-</t>
    </r>
  </si>
  <si>
    <r>
      <t>H</t>
    </r>
    <r>
      <rPr>
        <vertAlign val="superscript"/>
        <sz val="10"/>
        <rFont val="Arial"/>
        <family val="2"/>
      </rPr>
      <t>+</t>
    </r>
    <r>
      <rPr>
        <sz val="10"/>
        <rFont val="Arial"/>
        <family val="2"/>
      </rPr>
      <t xml:space="preserve"> + PO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3-</t>
    </r>
    <r>
      <rPr>
        <sz val="10"/>
        <rFont val="Arial"/>
        <family val="2"/>
      </rPr>
      <t xml:space="preserve"> = HPO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2-</t>
    </r>
  </si>
  <si>
    <r>
      <t>2 H</t>
    </r>
    <r>
      <rPr>
        <vertAlign val="superscript"/>
        <sz val="10"/>
        <rFont val="Arial"/>
        <family val="2"/>
      </rPr>
      <t>+</t>
    </r>
    <r>
      <rPr>
        <sz val="10"/>
        <rFont val="Arial"/>
        <family val="2"/>
      </rPr>
      <t xml:space="preserve"> + PO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3-</t>
    </r>
    <r>
      <rPr>
        <sz val="10"/>
        <rFont val="Arial"/>
        <family val="2"/>
      </rPr>
      <t xml:space="preserve"> = 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PO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-</t>
    </r>
  </si>
  <si>
    <r>
      <t>HPO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2-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</si>
  <si>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PO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-</t>
    </r>
  </si>
  <si>
    <r>
      <t>Mg</t>
    </r>
    <r>
      <rPr>
        <vertAlign val="superscript"/>
        <sz val="10"/>
        <rFont val="Arial"/>
        <family val="2"/>
      </rPr>
      <t>2+</t>
    </r>
    <r>
      <rPr>
        <sz val="10"/>
        <rFont val="Arial"/>
        <family val="2"/>
      </rPr>
      <t xml:space="preserve"> + 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PO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 xml:space="preserve"> = MgH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PO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+</t>
    </r>
  </si>
  <si>
    <r>
      <t>Mg</t>
    </r>
    <r>
      <rPr>
        <vertAlign val="superscript"/>
        <sz val="10"/>
        <rFont val="Arial"/>
        <family val="2"/>
      </rPr>
      <t>2+</t>
    </r>
    <r>
      <rPr>
        <sz val="10"/>
        <rFont val="Arial"/>
        <family val="2"/>
      </rPr>
      <t xml:space="preserve"> + HPO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2-</t>
    </r>
    <r>
      <rPr>
        <sz val="10"/>
        <rFont val="Arial"/>
        <family val="2"/>
      </rPr>
      <t xml:space="preserve"> = MgHPO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(aq)</t>
    </r>
  </si>
  <si>
    <t>Hummel W. &amp; Thoenen T. (2023): The PSI Chemical Thermodynamic Database 2020 (TDB 2020), Nagra Technical Report NTB 21-03</t>
  </si>
  <si>
    <t>References</t>
  </si>
  <si>
    <t>Chapter 4.1.8.2 Magnesium(II) phosphate compounds</t>
  </si>
  <si>
    <t>Lothenbach, B., Xu, B. &amp; Winnefeld, F. (2019): Thermodynamic data for magnesium (potassium) phosphates. Applied Geochemistry, 111, 104450.</t>
  </si>
  <si>
    <t>2019LOT/XU</t>
  </si>
  <si>
    <t>TDB2020</t>
  </si>
  <si>
    <r>
      <t>2019LOT/Xu</t>
    </r>
    <r>
      <rPr>
        <sz val="10"/>
        <rFont val="Times New Roman"/>
        <family val="1"/>
      </rPr>
      <t>-calc</t>
    </r>
  </si>
  <si>
    <r>
      <t>Magnesium phosphate hydrate log</t>
    </r>
    <r>
      <rPr>
        <vertAlign val="subscript"/>
        <sz val="10"/>
        <rFont val="Arial"/>
        <family val="2"/>
      </rPr>
      <t>10</t>
    </r>
    <r>
      <rPr>
        <i/>
        <sz val="10"/>
        <rFont val="Arial"/>
        <family val="2"/>
      </rPr>
      <t>K</t>
    </r>
    <r>
      <rPr>
        <sz val="10"/>
        <rFont val="Arial"/>
        <family val="2"/>
      </rPr>
      <t xml:space="preserve"> values from Lothenbach et al. (2019) plotted versus 1/T</t>
    </r>
    <r>
      <rPr>
        <sz val="10"/>
        <color rgb="FF000000"/>
        <rFont val="Arial"/>
        <family val="2"/>
      </rPr>
      <t xml:space="preserve">, and  </t>
    </r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r</t>
    </r>
    <r>
      <rPr>
        <i/>
        <sz val="10"/>
        <rFont val="Arial"/>
        <family val="2"/>
      </rPr>
      <t>H</t>
    </r>
    <r>
      <rPr>
        <vertAlign val="subscript"/>
        <sz val="10"/>
        <rFont val="Arial"/>
        <family val="2"/>
      </rPr>
      <t>m</t>
    </r>
    <r>
      <rPr>
        <sz val="10"/>
        <rFont val="Arial"/>
        <family val="2"/>
      </rPr>
      <t xml:space="preserve">° and 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Symbol"/>
        <family val="1"/>
        <charset val="2"/>
      </rPr>
      <t>D</t>
    </r>
    <r>
      <rPr>
        <vertAlign val="subscript"/>
        <sz val="10"/>
        <color rgb="FF000000"/>
        <rFont val="Arial"/>
        <family val="2"/>
      </rPr>
      <t>r</t>
    </r>
    <r>
      <rPr>
        <i/>
        <sz val="10"/>
        <color rgb="FF000000"/>
        <rFont val="Arial"/>
        <family val="2"/>
      </rPr>
      <t>C</t>
    </r>
    <r>
      <rPr>
        <vertAlign val="subscript"/>
        <sz val="10"/>
        <color rgb="FF000000"/>
        <rFont val="Arial"/>
        <family val="2"/>
      </rPr>
      <t>p,m</t>
    </r>
    <r>
      <rPr>
        <sz val="10"/>
        <color rgb="FF000000"/>
        <rFont val="Arial"/>
        <family val="2"/>
      </rPr>
      <t xml:space="preserve">° calculated by this review from the </t>
    </r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f</t>
    </r>
    <r>
      <rPr>
        <i/>
        <sz val="10"/>
        <rFont val="Arial"/>
        <family val="2"/>
      </rPr>
      <t>H</t>
    </r>
    <r>
      <rPr>
        <vertAlign val="subscript"/>
        <sz val="10"/>
        <rFont val="Arial"/>
        <family val="2"/>
      </rPr>
      <t>m</t>
    </r>
    <r>
      <rPr>
        <sz val="10"/>
        <rFont val="Arial"/>
        <family val="2"/>
      </rPr>
      <t xml:space="preserve">° and </t>
    </r>
    <r>
      <rPr>
        <i/>
        <sz val="10"/>
        <color rgb="FF000000"/>
        <rFont val="Arial"/>
        <family val="2"/>
      </rPr>
      <t>C</t>
    </r>
    <r>
      <rPr>
        <vertAlign val="subscript"/>
        <sz val="10"/>
        <color rgb="FF000000"/>
        <rFont val="Arial"/>
        <family val="2"/>
      </rPr>
      <t>p,m</t>
    </r>
    <r>
      <rPr>
        <sz val="10"/>
        <color rgb="FF000000"/>
        <rFont val="Arial"/>
        <family val="2"/>
      </rPr>
      <t xml:space="preserve">° values given by </t>
    </r>
    <r>
      <rPr>
        <sz val="10"/>
        <rFont val="Arial"/>
        <family val="2"/>
      </rPr>
      <t>Lothenbach et al. (2019)</t>
    </r>
  </si>
  <si>
    <t>doi:10.1016/j.apgeochem.2019.104450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</si>
</sst>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0">
    <font>
      <sz val="10"/>
      <name val="Arial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b/>
      <sz val="10"/>
      <name val="Arial"/>
      <family val="2"/>
    </font>
    <font>
      <sz val="10"/>
      <name val="Calibri"/>
      <family val="2"/>
    </font>
    <font>
      <sz val="10"/>
      <name val="Arial"/>
      <family val="1"/>
      <charset val="2"/>
    </font>
    <font>
      <vertAlign val="subscript"/>
      <sz val="10"/>
      <name val="Calibri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rgb="FF0000FF"/>
      <name val="Arial"/>
      <family val="2"/>
    </font>
    <font>
      <sz val="10"/>
      <color rgb="FFFF0000"/>
      <name val="Arial"/>
      <family val="2"/>
    </font>
    <font>
      <vertAlign val="subscript"/>
      <sz val="10"/>
      <color rgb="FFFF0000"/>
      <name val="Arial"/>
      <family val="2"/>
    </font>
    <font>
      <sz val="10"/>
      <color rgb="FFFF0000"/>
      <name val="Calibri"/>
      <family val="2"/>
    </font>
    <font>
      <b/>
      <vertAlign val="subscript"/>
      <sz val="10"/>
      <color rgb="FFFF0000"/>
      <name val="Arial"/>
      <family val="2"/>
    </font>
    <font>
      <b/>
      <sz val="10"/>
      <color rgb="FFFF0000"/>
      <name val="Calibri"/>
      <family val="2"/>
    </font>
    <font>
      <sz val="10"/>
      <color rgb="FFFF0000"/>
      <name val="Symbol"/>
      <family val="1"/>
      <charset val="2"/>
    </font>
    <font>
      <b/>
      <sz val="10"/>
      <color rgb="FFFF0000"/>
      <name val="Arial"/>
      <family val="1"/>
      <charset val="2"/>
    </font>
    <font>
      <b/>
      <sz val="10"/>
      <color rgb="FFFF0000"/>
      <name val="Symbol"/>
      <family val="1"/>
      <charset val="2"/>
    </font>
    <font>
      <sz val="10"/>
      <color rgb="FF0000FF"/>
      <name val="Arial"/>
      <family val="2"/>
    </font>
    <font>
      <vertAlign val="subscript"/>
      <sz val="10"/>
      <color theme="1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i/>
      <sz val="10"/>
      <name val="Arial"/>
      <family val="2"/>
    </font>
    <font>
      <i/>
      <sz val="10"/>
      <color rgb="FF000000"/>
      <name val="Arial"/>
      <family val="2"/>
    </font>
    <font>
      <vertAlign val="subscript"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Symbol"/>
      <family val="1"/>
      <charset val="2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29" fillId="0" borderId="0" applyNumberFormat="0" applyFill="0" applyBorder="0" applyAlignment="0" applyProtection="0"/>
  </cellStyleXfs>
  <cellXfs count="37">
    <xf numFmtId="0" fontId="0" fillId="0" borderId="0" xfId="0"/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65" fontId="5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/>
    <xf numFmtId="0" fontId="11" fillId="0" borderId="0" xfId="0" applyFont="1"/>
    <xf numFmtId="164" fontId="11" fillId="0" borderId="0" xfId="0" applyNumberFormat="1" applyFont="1"/>
    <xf numFmtId="0" fontId="12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2" fontId="20" fillId="0" borderId="0" xfId="0" applyNumberFormat="1" applyFont="1"/>
    <xf numFmtId="2" fontId="12" fillId="0" borderId="0" xfId="0" applyNumberFormat="1" applyFont="1"/>
    <xf numFmtId="0" fontId="7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10" fillId="0" borderId="0" xfId="0" applyFont="1" applyAlignment="1">
      <alignment horizontal="right"/>
    </xf>
    <xf numFmtId="1" fontId="9" fillId="0" borderId="0" xfId="0" applyNumberFormat="1" applyFont="1"/>
    <xf numFmtId="0" fontId="0" fillId="0" borderId="0" xfId="0" applyAlignment="1">
      <alignment horizontal="right"/>
    </xf>
    <xf numFmtId="165" fontId="0" fillId="0" borderId="0" xfId="0" applyNumberFormat="1"/>
    <xf numFmtId="0" fontId="4" fillId="0" borderId="0" xfId="0" applyFont="1" applyAlignment="1">
      <alignment horizontal="center"/>
    </xf>
    <xf numFmtId="165" fontId="5" fillId="0" borderId="0" xfId="0" quotePrefix="1" applyNumberFormat="1" applyFont="1"/>
    <xf numFmtId="2" fontId="5" fillId="0" borderId="0" xfId="0" applyNumberFormat="1" applyFont="1"/>
    <xf numFmtId="165" fontId="12" fillId="0" borderId="0" xfId="0" applyNumberFormat="1" applyFont="1"/>
    <xf numFmtId="0" fontId="22" fillId="0" borderId="0" xfId="0" applyFont="1"/>
    <xf numFmtId="0" fontId="22" fillId="0" borderId="0" xfId="0" applyFont="1" applyAlignment="1">
      <alignment horizontal="right"/>
    </xf>
    <xf numFmtId="0" fontId="29" fillId="0" borderId="0" xfId="2"/>
  </cellXfs>
  <cellStyles count="3">
    <cellStyle name="Enllaç" xfId="2" builtinId="8"/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09492563429573"/>
          <c:y val="2.5428331875182269E-2"/>
          <c:w val="0.83623840769903757"/>
          <c:h val="0.7857480314960629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MgPO4!$A$42:$A$53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95</c:v>
                </c:pt>
              </c:numCache>
            </c:numRef>
          </c:xVal>
          <c:yVal>
            <c:numRef>
              <c:f>MgPO4!$D$42:$D$53</c:f>
              <c:numCache>
                <c:formatCode>0.00</c:formatCode>
                <c:ptCount val="12"/>
                <c:pt idx="0">
                  <c:v>-18.020355138537411</c:v>
                </c:pt>
                <c:pt idx="1">
                  <c:v>-17.958143188345158</c:v>
                </c:pt>
                <c:pt idx="2">
                  <c:v>-17.93146343209645</c:v>
                </c:pt>
                <c:pt idx="3">
                  <c:v>-17.93</c:v>
                </c:pt>
                <c:pt idx="4">
                  <c:v>-17.935767073526137</c:v>
                </c:pt>
                <c:pt idx="5">
                  <c:v>-17.967152333610127</c:v>
                </c:pt>
                <c:pt idx="6">
                  <c:v>-18.022258209886896</c:v>
                </c:pt>
                <c:pt idx="7">
                  <c:v>-18.098178106221887</c:v>
                </c:pt>
                <c:pt idx="8">
                  <c:v>-18.192389172161352</c:v>
                </c:pt>
                <c:pt idx="9">
                  <c:v>-18.302694151863971</c:v>
                </c:pt>
                <c:pt idx="10">
                  <c:v>-18.494194062755017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1C-41E1-8A5E-B7E4E62EBDBF}"/>
            </c:ext>
          </c:extLst>
        </c:ser>
        <c:ser>
          <c:idx val="1"/>
          <c:order val="1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MgPO4!$A$42:$A$53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95</c:v>
                </c:pt>
              </c:numCache>
            </c:numRef>
          </c:xVal>
          <c:yVal>
            <c:numRef>
              <c:f>MgPO4!$E$42:$E$53</c:f>
              <c:numCache>
                <c:formatCode>0.00</c:formatCode>
                <c:ptCount val="12"/>
                <c:pt idx="0">
                  <c:v>-17.531085760372822</c:v>
                </c:pt>
                <c:pt idx="1">
                  <c:v>-17.29431748354029</c:v>
                </c:pt>
                <c:pt idx="2">
                  <c:v>-17.09610066835852</c:v>
                </c:pt>
                <c:pt idx="3">
                  <c:v>-17.010000000000002</c:v>
                </c:pt>
                <c:pt idx="4">
                  <c:v>-16.931881090613835</c:v>
                </c:pt>
                <c:pt idx="5">
                  <c:v>-16.797733489942274</c:v>
                </c:pt>
                <c:pt idx="6">
                  <c:v>-16.690259864116118</c:v>
                </c:pt>
                <c:pt idx="7">
                  <c:v>-16.606506607742549</c:v>
                </c:pt>
                <c:pt idx="8">
                  <c:v>-16.543896574348452</c:v>
                </c:pt>
                <c:pt idx="9">
                  <c:v>-16.500173042146479</c:v>
                </c:pt>
                <c:pt idx="10">
                  <c:v>-16.465727858013995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1C-41E1-8A5E-B7E4E62EB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81064"/>
        <c:axId val="654670008"/>
      </c:scatterChart>
      <c:valAx>
        <c:axId val="6583810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Temperatue</a:t>
                </a:r>
                <a:r>
                  <a:rPr lang="en-GB" baseline="0"/>
                  <a:t> [C]</a:t>
                </a:r>
              </a:p>
            </c:rich>
          </c:tx>
          <c:layout>
            <c:manualLayout>
              <c:xMode val="edge"/>
              <c:yMode val="edge"/>
              <c:x val="0.43142935258092741"/>
              <c:y val="0.897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70008"/>
        <c:crossesAt val="-40"/>
        <c:crossBetween val="midCat"/>
      </c:valAx>
      <c:valAx>
        <c:axId val="65467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</a:t>
                </a:r>
                <a:r>
                  <a:rPr lang="en-GB" baseline="-25000"/>
                  <a:t>10</a:t>
                </a:r>
                <a:r>
                  <a:rPr lang="en-GB"/>
                  <a:t>K</a:t>
                </a:r>
                <a:r>
                  <a:rPr lang="en-GB" baseline="-25000"/>
                  <a:t>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8106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09492563429573"/>
          <c:y val="4.394685039370079E-2"/>
          <c:w val="0.83623840769903757"/>
          <c:h val="0.7857480314960629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MgPO4!$A$42:$A$53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95</c:v>
                </c:pt>
              </c:numCache>
            </c:numRef>
          </c:xVal>
          <c:yVal>
            <c:numRef>
              <c:f>MgPO4!$F$42:$F$53</c:f>
              <c:numCache>
                <c:formatCode>0.00</c:formatCode>
                <c:ptCount val="12"/>
                <c:pt idx="0">
                  <c:v>-11.142279556455973</c:v>
                </c:pt>
                <c:pt idx="1">
                  <c:v>-11.045833559311003</c:v>
                </c:pt>
                <c:pt idx="2">
                  <c:v>-10.981447817896111</c:v>
                </c:pt>
                <c:pt idx="3">
                  <c:v>-10.96</c:v>
                </c:pt>
                <c:pt idx="4">
                  <c:v>-10.945108770856843</c:v>
                </c:pt>
                <c:pt idx="5">
                  <c:v>-10.933369259257567</c:v>
                </c:pt>
                <c:pt idx="6">
                  <c:v>-10.943255896959379</c:v>
                </c:pt>
                <c:pt idx="7">
                  <c:v>-10.972193723377858</c:v>
                </c:pt>
                <c:pt idx="8">
                  <c:v>-11.017944525653999</c:v>
                </c:pt>
                <c:pt idx="9">
                  <c:v>-11.078556050607334</c:v>
                </c:pt>
                <c:pt idx="10">
                  <c:v>-11.193658139296204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9-47D4-ADDC-20CE860CCCEA}"/>
            </c:ext>
          </c:extLst>
        </c:ser>
        <c:ser>
          <c:idx val="1"/>
          <c:order val="1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MgPO4!$A$42:$A$53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95</c:v>
                </c:pt>
              </c:numCache>
            </c:numRef>
          </c:xVal>
          <c:yVal>
            <c:numRef>
              <c:f>MgPO4!$G$42:$G$53</c:f>
              <c:numCache>
                <c:formatCode>0.00</c:formatCode>
                <c:ptCount val="12"/>
                <c:pt idx="0">
                  <c:v>-10.49366184047693</c:v>
                </c:pt>
                <c:pt idx="1">
                  <c:v>-10.657613947770296</c:v>
                </c:pt>
                <c:pt idx="2">
                  <c:v>-10.846976117104338</c:v>
                </c:pt>
                <c:pt idx="3">
                  <c:v>-10.95</c:v>
                </c:pt>
                <c:pt idx="4">
                  <c:v>-11.05802609057876</c:v>
                </c:pt>
                <c:pt idx="5">
                  <c:v>-11.287594243310359</c:v>
                </c:pt>
                <c:pt idx="6">
                  <c:v>-11.532970906666801</c:v>
                </c:pt>
                <c:pt idx="7">
                  <c:v>-11.791831244054766</c:v>
                </c:pt>
                <c:pt idx="8">
                  <c:v>-12.062173973015238</c:v>
                </c:pt>
                <c:pt idx="9">
                  <c:v>-12.342271088337158</c:v>
                </c:pt>
                <c:pt idx="10">
                  <c:v>-12.77748808150378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49-47D4-ADDC-20CE860CC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81064"/>
        <c:axId val="654670008"/>
      </c:scatterChart>
      <c:valAx>
        <c:axId val="6583810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Temperatue</a:t>
                </a:r>
                <a:r>
                  <a:rPr lang="en-GB" baseline="0"/>
                  <a:t> [C]</a:t>
                </a:r>
              </a:p>
            </c:rich>
          </c:tx>
          <c:layout>
            <c:manualLayout>
              <c:xMode val="edge"/>
              <c:yMode val="edge"/>
              <c:x val="0.43142935258092741"/>
              <c:y val="0.897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70008"/>
        <c:crossesAt val="-40"/>
        <c:crossBetween val="midCat"/>
      </c:valAx>
      <c:valAx>
        <c:axId val="654670008"/>
        <c:scaling>
          <c:orientation val="minMax"/>
          <c:max val="-10"/>
          <c:min val="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</a:t>
                </a:r>
                <a:r>
                  <a:rPr lang="en-GB" baseline="-25000"/>
                  <a:t>10</a:t>
                </a:r>
                <a:r>
                  <a:rPr lang="en-GB"/>
                  <a:t>K</a:t>
                </a:r>
                <a:r>
                  <a:rPr lang="en-GB" baseline="-25000"/>
                  <a:t>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8106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1714785651796"/>
          <c:y val="4.394685039370079E-2"/>
          <c:w val="0.83623840769903757"/>
          <c:h val="0.7857480314960629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MgPO4!$A$42:$A$53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95</c:v>
                </c:pt>
              </c:numCache>
            </c:numRef>
          </c:xVal>
          <c:yVal>
            <c:numRef>
              <c:f>MgPO4!$I$42:$I$53</c:f>
              <c:numCache>
                <c:formatCode>0.00</c:formatCode>
                <c:ptCount val="12"/>
                <c:pt idx="0">
                  <c:v>-19.726877476715931</c:v>
                </c:pt>
                <c:pt idx="1">
                  <c:v>-20.793019269352648</c:v>
                </c:pt>
                <c:pt idx="2">
                  <c:v>-21.869274205477289</c:v>
                </c:pt>
                <c:pt idx="3">
                  <c:v>-22.41</c:v>
                </c:pt>
                <c:pt idx="4">
                  <c:v>-22.951907426153745</c:v>
                </c:pt>
                <c:pt idx="5">
                  <c:v>-24.037835856692553</c:v>
                </c:pt>
                <c:pt idx="6">
                  <c:v>-25.124511126649377</c:v>
                </c:pt>
                <c:pt idx="7">
                  <c:v>-26.20982552632902</c:v>
                </c:pt>
                <c:pt idx="8">
                  <c:v>-27.292036016038491</c:v>
                </c:pt>
                <c:pt idx="9">
                  <c:v>-28.369702481701633</c:v>
                </c:pt>
                <c:pt idx="10">
                  <c:v>-29.975142925948056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6F-4F7B-A2B8-4A2709E5A8F9}"/>
            </c:ext>
          </c:extLst>
        </c:ser>
        <c:ser>
          <c:idx val="1"/>
          <c:order val="1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MgPO4!$A$42:$A$53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95</c:v>
                </c:pt>
              </c:numCache>
            </c:numRef>
          </c:xVal>
          <c:yVal>
            <c:numRef>
              <c:f>MgPO4!$J$42:$J$53</c:f>
              <c:numCache>
                <c:formatCode>0.00</c:formatCode>
                <c:ptCount val="12"/>
                <c:pt idx="0">
                  <c:v>-20.022562334498694</c:v>
                </c:pt>
                <c:pt idx="1">
                  <c:v>-21.430129907904877</c:v>
                </c:pt>
                <c:pt idx="2">
                  <c:v>-22.815620998579735</c:v>
                </c:pt>
                <c:pt idx="3">
                  <c:v>-23.5</c:v>
                </c:pt>
                <c:pt idx="4">
                  <c:v>-24.17877983154148</c:v>
                </c:pt>
                <c:pt idx="5">
                  <c:v>-25.519539257657918</c:v>
                </c:pt>
                <c:pt idx="6">
                  <c:v>-26.837977079563842</c:v>
                </c:pt>
                <c:pt idx="7">
                  <c:v>-28.134281984311389</c:v>
                </c:pt>
                <c:pt idx="8">
                  <c:v>-29.408726869115224</c:v>
                </c:pt>
                <c:pt idx="9">
                  <c:v>-30.661647891205718</c:v>
                </c:pt>
                <c:pt idx="10">
                  <c:v>-32.501519354898761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6F-4F7B-A2B8-4A2709E5A8F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MgPO4!$A$42:$A$53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95</c:v>
                </c:pt>
              </c:numCache>
            </c:numRef>
          </c:xVal>
          <c:yVal>
            <c:numRef>
              <c:f>MgPO4!$K$42:$K$53</c:f>
              <c:numCache>
                <c:formatCode>0.00</c:formatCode>
                <c:ptCount val="12"/>
                <c:pt idx="0">
                  <c:v>-22.564359548500477</c:v>
                </c:pt>
                <c:pt idx="1">
                  <c:v>-23.666352600734292</c:v>
                </c:pt>
                <c:pt idx="2">
                  <c:v>-24.75822708331545</c:v>
                </c:pt>
                <c:pt idx="3">
                  <c:v>-25.3</c:v>
                </c:pt>
                <c:pt idx="4">
                  <c:v>-25.838837216829575</c:v>
                </c:pt>
                <c:pt idx="5">
                  <c:v>-26.907320785089713</c:v>
                </c:pt>
                <c:pt idx="6">
                  <c:v>-27.963042513306462</c:v>
                </c:pt>
                <c:pt idx="7">
                  <c:v>-29.005549175580388</c:v>
                </c:pt>
                <c:pt idx="8">
                  <c:v>-30.034533815611113</c:v>
                </c:pt>
                <c:pt idx="9">
                  <c:v>-31.04980709514945</c:v>
                </c:pt>
                <c:pt idx="10">
                  <c:v>-32.546822127420583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6F-4F7B-A2B8-4A2709E5A8F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MgPO4!$A$42:$A$53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95</c:v>
                </c:pt>
              </c:numCache>
            </c:numRef>
          </c:xVal>
          <c:yVal>
            <c:numRef>
              <c:f>MgPO4!$L$42:$L$53</c:f>
              <c:numCache>
                <c:formatCode>0.00</c:formatCode>
                <c:ptCount val="12"/>
                <c:pt idx="0">
                  <c:v>-23.481204739432364</c:v>
                </c:pt>
                <c:pt idx="1">
                  <c:v>-23.269368068003686</c:v>
                </c:pt>
                <c:pt idx="2">
                  <c:v>-23.100212738531884</c:v>
                </c:pt>
                <c:pt idx="3">
                  <c:v>-23.03</c:v>
                </c:pt>
                <c:pt idx="4">
                  <c:v>-22.968583412838228</c:v>
                </c:pt>
                <c:pt idx="5">
                  <c:v>-22.870042795541607</c:v>
                </c:pt>
                <c:pt idx="6">
                  <c:v>-22.800755003098249</c:v>
                </c:pt>
                <c:pt idx="7">
                  <c:v>-22.757390602549268</c:v>
                </c:pt>
                <c:pt idx="8">
                  <c:v>-22.737048802589797</c:v>
                </c:pt>
                <c:pt idx="9">
                  <c:v>-22.737193319394766</c:v>
                </c:pt>
                <c:pt idx="10">
                  <c:v>-22.771028975276959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6F-4F7B-A2B8-4A2709E5A8F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MgPO4!$A$42:$A$53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95</c:v>
                </c:pt>
              </c:numCache>
            </c:numRef>
          </c:xVal>
          <c:yVal>
            <c:numRef>
              <c:f>MgPO4!$H$42:$H$53</c:f>
              <c:numCache>
                <c:formatCode>0.00</c:formatCode>
                <c:ptCount val="12"/>
                <c:pt idx="0">
                  <c:v>-29.757112040058704</c:v>
                </c:pt>
                <c:pt idx="1">
                  <c:v>-29.26569414584953</c:v>
                </c:pt>
                <c:pt idx="2">
                  <c:v>-28.851242747833265</c:v>
                </c:pt>
                <c:pt idx="3">
                  <c:v>-28.67</c:v>
                </c:pt>
                <c:pt idx="4">
                  <c:v>-28.504707658806943</c:v>
                </c:pt>
                <c:pt idx="5">
                  <c:v>-28.218286316987012</c:v>
                </c:pt>
                <c:pt idx="6">
                  <c:v>-27.985222234353692</c:v>
                </c:pt>
                <c:pt idx="7">
                  <c:v>-27.799640766944048</c:v>
                </c:pt>
                <c:pt idx="8">
                  <c:v>-27.656414444538932</c:v>
                </c:pt>
                <c:pt idx="9">
                  <c:v>-27.551051881030503</c:v>
                </c:pt>
                <c:pt idx="10">
                  <c:v>-27.455497085906718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6F-4F7B-A2B8-4A2709E5A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81064"/>
        <c:axId val="654670008"/>
      </c:scatterChart>
      <c:valAx>
        <c:axId val="6583810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Temperatue</a:t>
                </a:r>
                <a:r>
                  <a:rPr lang="en-GB" baseline="0"/>
                  <a:t> [C]</a:t>
                </a:r>
              </a:p>
            </c:rich>
          </c:tx>
          <c:layout>
            <c:manualLayout>
              <c:xMode val="edge"/>
              <c:yMode val="edge"/>
              <c:x val="0.43142935258092741"/>
              <c:y val="0.897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70008"/>
        <c:crossesAt val="-40"/>
        <c:crossBetween val="midCat"/>
      </c:valAx>
      <c:valAx>
        <c:axId val="654670008"/>
        <c:scaling>
          <c:orientation val="minMax"/>
          <c:max val="-19"/>
          <c:min val="-3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</a:t>
                </a:r>
                <a:r>
                  <a:rPr lang="en-GB" baseline="-25000"/>
                  <a:t>10</a:t>
                </a:r>
                <a:r>
                  <a:rPr lang="en-GB"/>
                  <a:t>K</a:t>
                </a:r>
                <a:r>
                  <a:rPr lang="en-GB" baseline="-25000"/>
                  <a:t>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8106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49784695244756"/>
          <c:y val="2.2565803308743568E-2"/>
          <c:w val="0.83623834891547899"/>
          <c:h val="0.828685664853519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MgPO4!$C$42:$C$53</c:f>
              <c:numCache>
                <c:formatCode>General</c:formatCode>
                <c:ptCount val="12"/>
                <c:pt idx="0">
                  <c:v>3.6609921288669233E-3</c:v>
                </c:pt>
                <c:pt idx="1">
                  <c:v>3.5316969803990822E-3</c:v>
                </c:pt>
                <c:pt idx="2">
                  <c:v>3.4112229234180458E-3</c:v>
                </c:pt>
                <c:pt idx="3">
                  <c:v>3.3540164346805303E-3</c:v>
                </c:pt>
                <c:pt idx="4">
                  <c:v>3.298697014679202E-3</c:v>
                </c:pt>
                <c:pt idx="5">
                  <c:v>3.1933578157432542E-3</c:v>
                </c:pt>
                <c:pt idx="6">
                  <c:v>3.0945381401825778E-3</c:v>
                </c:pt>
                <c:pt idx="7">
                  <c:v>3.0016509079993999E-3</c:v>
                </c:pt>
                <c:pt idx="8">
                  <c:v>2.9141774734081308E-3</c:v>
                </c:pt>
                <c:pt idx="9">
                  <c:v>2.831657935721365E-3</c:v>
                </c:pt>
                <c:pt idx="10">
                  <c:v>2.7162841233192994E-3</c:v>
                </c:pt>
              </c:numCache>
            </c:numRef>
          </c:xVal>
          <c:yVal>
            <c:numRef>
              <c:f>MgPO4!$D$42:$D$53</c:f>
              <c:numCache>
                <c:formatCode>0.00</c:formatCode>
                <c:ptCount val="12"/>
                <c:pt idx="0">
                  <c:v>-18.020355138537411</c:v>
                </c:pt>
                <c:pt idx="1">
                  <c:v>-17.958143188345158</c:v>
                </c:pt>
                <c:pt idx="2">
                  <c:v>-17.93146343209645</c:v>
                </c:pt>
                <c:pt idx="3">
                  <c:v>-17.93</c:v>
                </c:pt>
                <c:pt idx="4">
                  <c:v>-17.935767073526137</c:v>
                </c:pt>
                <c:pt idx="5">
                  <c:v>-17.967152333610127</c:v>
                </c:pt>
                <c:pt idx="6">
                  <c:v>-18.022258209886896</c:v>
                </c:pt>
                <c:pt idx="7">
                  <c:v>-18.098178106221887</c:v>
                </c:pt>
                <c:pt idx="8">
                  <c:v>-18.192389172161352</c:v>
                </c:pt>
                <c:pt idx="9">
                  <c:v>-18.302694151863971</c:v>
                </c:pt>
                <c:pt idx="10">
                  <c:v>-18.494194062755017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3-4D0B-BB57-4084F87ABCA6}"/>
            </c:ext>
          </c:extLst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MgPO4!$F$92:$F$110</c:f>
                <c:numCache>
                  <c:formatCode>General</c:formatCode>
                  <c:ptCount val="19"/>
                  <c:pt idx="0">
                    <c:v>3</c:v>
                  </c:pt>
                  <c:pt idx="1">
                    <c:v>1.8</c:v>
                  </c:pt>
                  <c:pt idx="2">
                    <c:v>0.5</c:v>
                  </c:pt>
                  <c:pt idx="3">
                    <c:v>0.5</c:v>
                  </c:pt>
                  <c:pt idx="4">
                    <c:v>0.5</c:v>
                  </c:pt>
                  <c:pt idx="5">
                    <c:v>0.63</c:v>
                  </c:pt>
                  <c:pt idx="6">
                    <c:v>0.5</c:v>
                  </c:pt>
                  <c:pt idx="7">
                    <c:v>0.5</c:v>
                  </c:pt>
                  <c:pt idx="8">
                    <c:v>0.5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0.45</c:v>
                  </c:pt>
                  <c:pt idx="17">
                    <c:v>1</c:v>
                  </c:pt>
                  <c:pt idx="18">
                    <c:v>1</c:v>
                  </c:pt>
                </c:numCache>
              </c:numRef>
            </c:plus>
            <c:minus>
              <c:numRef>
                <c:f>MgPO4!$F$92:$F$110</c:f>
                <c:numCache>
                  <c:formatCode>General</c:formatCode>
                  <c:ptCount val="19"/>
                  <c:pt idx="0">
                    <c:v>3</c:v>
                  </c:pt>
                  <c:pt idx="1">
                    <c:v>1.8</c:v>
                  </c:pt>
                  <c:pt idx="2">
                    <c:v>0.5</c:v>
                  </c:pt>
                  <c:pt idx="3">
                    <c:v>0.5</c:v>
                  </c:pt>
                  <c:pt idx="4">
                    <c:v>0.5</c:v>
                  </c:pt>
                  <c:pt idx="5">
                    <c:v>0.63</c:v>
                  </c:pt>
                  <c:pt idx="6">
                    <c:v>0.5</c:v>
                  </c:pt>
                  <c:pt idx="7">
                    <c:v>0.5</c:v>
                  </c:pt>
                  <c:pt idx="8">
                    <c:v>0.5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0.45</c:v>
                  </c:pt>
                  <c:pt idx="17">
                    <c:v>1</c:v>
                  </c:pt>
                  <c:pt idx="18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MgPO4!$C$92:$C$110</c:f>
              <c:numCache>
                <c:formatCode>General</c:formatCode>
                <c:ptCount val="19"/>
                <c:pt idx="0">
                  <c:v>3.3540164346805303E-3</c:v>
                </c:pt>
                <c:pt idx="1">
                  <c:v>2.831657935721365E-3</c:v>
                </c:pt>
                <c:pt idx="2">
                  <c:v>3.3540164346805303E-3</c:v>
                </c:pt>
                <c:pt idx="3">
                  <c:v>3.2138839787883662E-3</c:v>
                </c:pt>
                <c:pt idx="4">
                  <c:v>3.2138839787883662E-3</c:v>
                </c:pt>
                <c:pt idx="5">
                  <c:v>3.3540164346805303E-3</c:v>
                </c:pt>
                <c:pt idx="6">
                  <c:v>3.3540164346805303E-3</c:v>
                </c:pt>
                <c:pt idx="7">
                  <c:v>3.3540164346805303E-3</c:v>
                </c:pt>
                <c:pt idx="8">
                  <c:v>3.3540164346805303E-3</c:v>
                </c:pt>
                <c:pt idx="9">
                  <c:v>3.5951824555096176E-3</c:v>
                </c:pt>
                <c:pt idx="10">
                  <c:v>3.5069261792039282E-3</c:v>
                </c:pt>
                <c:pt idx="11">
                  <c:v>3.4112229234180458E-3</c:v>
                </c:pt>
                <c:pt idx="12">
                  <c:v>3.3540164346805303E-3</c:v>
                </c:pt>
                <c:pt idx="13">
                  <c:v>3.2451728054518907E-3</c:v>
                </c:pt>
                <c:pt idx="14">
                  <c:v>3.1431714600031434E-3</c:v>
                </c:pt>
                <c:pt idx="15">
                  <c:v>3.5951824555096176E-3</c:v>
                </c:pt>
                <c:pt idx="16">
                  <c:v>3.4112229234180458E-3</c:v>
                </c:pt>
                <c:pt idx="17">
                  <c:v>3.1933578157432542E-3</c:v>
                </c:pt>
                <c:pt idx="18">
                  <c:v>3.0945381401825778E-3</c:v>
                </c:pt>
              </c:numCache>
            </c:numRef>
          </c:xVal>
          <c:yVal>
            <c:numRef>
              <c:f>MgPO4!$D$92:$D$110</c:f>
              <c:numCache>
                <c:formatCode>General</c:formatCode>
                <c:ptCount val="19"/>
                <c:pt idx="0" formatCode="0.00">
                  <c:v>-17.8</c:v>
                </c:pt>
                <c:pt idx="1">
                  <c:v>-18.399999999999999</c:v>
                </c:pt>
                <c:pt idx="2">
                  <c:v>-17.89</c:v>
                </c:pt>
                <c:pt idx="3">
                  <c:v>-17.829999999999998</c:v>
                </c:pt>
                <c:pt idx="4">
                  <c:v>-17.920000000000002</c:v>
                </c:pt>
                <c:pt idx="5">
                  <c:v>-17.989999999999998</c:v>
                </c:pt>
                <c:pt idx="6">
                  <c:v>-18.03</c:v>
                </c:pt>
                <c:pt idx="7">
                  <c:v>-18.02</c:v>
                </c:pt>
                <c:pt idx="8">
                  <c:v>-18.07</c:v>
                </c:pt>
                <c:pt idx="9">
                  <c:v>-17.8</c:v>
                </c:pt>
                <c:pt idx="10">
                  <c:v>-17.649999999999999</c:v>
                </c:pt>
                <c:pt idx="11">
                  <c:v>-17.89</c:v>
                </c:pt>
                <c:pt idx="12">
                  <c:v>-18.11</c:v>
                </c:pt>
                <c:pt idx="13">
                  <c:v>-18.27</c:v>
                </c:pt>
                <c:pt idx="14">
                  <c:v>-18.45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B3-4D0B-BB57-4084F87ABCA6}"/>
            </c:ext>
          </c:extLst>
        </c:ser>
        <c:ser>
          <c:idx val="3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MgPO4!$F$92:$F$110</c:f>
                <c:numCache>
                  <c:formatCode>General</c:formatCode>
                  <c:ptCount val="19"/>
                  <c:pt idx="0">
                    <c:v>3</c:v>
                  </c:pt>
                  <c:pt idx="1">
                    <c:v>1.8</c:v>
                  </c:pt>
                  <c:pt idx="2">
                    <c:v>0.5</c:v>
                  </c:pt>
                  <c:pt idx="3">
                    <c:v>0.5</c:v>
                  </c:pt>
                  <c:pt idx="4">
                    <c:v>0.5</c:v>
                  </c:pt>
                  <c:pt idx="5">
                    <c:v>0.63</c:v>
                  </c:pt>
                  <c:pt idx="6">
                    <c:v>0.5</c:v>
                  </c:pt>
                  <c:pt idx="7">
                    <c:v>0.5</c:v>
                  </c:pt>
                  <c:pt idx="8">
                    <c:v>0.5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0.45</c:v>
                  </c:pt>
                  <c:pt idx="17">
                    <c:v>1</c:v>
                  </c:pt>
                  <c:pt idx="18">
                    <c:v>1</c:v>
                  </c:pt>
                </c:numCache>
              </c:numRef>
            </c:plus>
            <c:minus>
              <c:numRef>
                <c:f>MgPO4!$F$92:$F$110</c:f>
                <c:numCache>
                  <c:formatCode>General</c:formatCode>
                  <c:ptCount val="19"/>
                  <c:pt idx="0">
                    <c:v>3</c:v>
                  </c:pt>
                  <c:pt idx="1">
                    <c:v>1.8</c:v>
                  </c:pt>
                  <c:pt idx="2">
                    <c:v>0.5</c:v>
                  </c:pt>
                  <c:pt idx="3">
                    <c:v>0.5</c:v>
                  </c:pt>
                  <c:pt idx="4">
                    <c:v>0.5</c:v>
                  </c:pt>
                  <c:pt idx="5">
                    <c:v>0.63</c:v>
                  </c:pt>
                  <c:pt idx="6">
                    <c:v>0.5</c:v>
                  </c:pt>
                  <c:pt idx="7">
                    <c:v>0.5</c:v>
                  </c:pt>
                  <c:pt idx="8">
                    <c:v>0.5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0.45</c:v>
                  </c:pt>
                  <c:pt idx="17">
                    <c:v>1</c:v>
                  </c:pt>
                  <c:pt idx="18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MgPO4!$C$92:$C$110</c:f>
              <c:numCache>
                <c:formatCode>General</c:formatCode>
                <c:ptCount val="19"/>
                <c:pt idx="0">
                  <c:v>3.3540164346805303E-3</c:v>
                </c:pt>
                <c:pt idx="1">
                  <c:v>2.831657935721365E-3</c:v>
                </c:pt>
                <c:pt idx="2">
                  <c:v>3.3540164346805303E-3</c:v>
                </c:pt>
                <c:pt idx="3">
                  <c:v>3.2138839787883662E-3</c:v>
                </c:pt>
                <c:pt idx="4">
                  <c:v>3.2138839787883662E-3</c:v>
                </c:pt>
                <c:pt idx="5">
                  <c:v>3.3540164346805303E-3</c:v>
                </c:pt>
                <c:pt idx="6">
                  <c:v>3.3540164346805303E-3</c:v>
                </c:pt>
                <c:pt idx="7">
                  <c:v>3.3540164346805303E-3</c:v>
                </c:pt>
                <c:pt idx="8">
                  <c:v>3.3540164346805303E-3</c:v>
                </c:pt>
                <c:pt idx="9">
                  <c:v>3.5951824555096176E-3</c:v>
                </c:pt>
                <c:pt idx="10">
                  <c:v>3.5069261792039282E-3</c:v>
                </c:pt>
                <c:pt idx="11">
                  <c:v>3.4112229234180458E-3</c:v>
                </c:pt>
                <c:pt idx="12">
                  <c:v>3.3540164346805303E-3</c:v>
                </c:pt>
                <c:pt idx="13">
                  <c:v>3.2451728054518907E-3</c:v>
                </c:pt>
                <c:pt idx="14">
                  <c:v>3.1431714600031434E-3</c:v>
                </c:pt>
                <c:pt idx="15">
                  <c:v>3.5951824555096176E-3</c:v>
                </c:pt>
                <c:pt idx="16">
                  <c:v>3.4112229234180458E-3</c:v>
                </c:pt>
                <c:pt idx="17">
                  <c:v>3.1933578157432542E-3</c:v>
                </c:pt>
                <c:pt idx="18">
                  <c:v>3.0945381401825778E-3</c:v>
                </c:pt>
              </c:numCache>
            </c:numRef>
          </c:xVal>
          <c:yVal>
            <c:numRef>
              <c:f>MgPO4!$E$92:$E$110</c:f>
              <c:numCache>
                <c:formatCode>General</c:formatCode>
                <c:ptCount val="19"/>
                <c:pt idx="15">
                  <c:v>-17.559999999999999</c:v>
                </c:pt>
                <c:pt idx="16">
                  <c:v>-17.73</c:v>
                </c:pt>
                <c:pt idx="17">
                  <c:v>-18.12</c:v>
                </c:pt>
                <c:pt idx="18">
                  <c:v>-18.170000000000002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B3-4D0B-BB57-4084F87ABCA6}"/>
            </c:ext>
          </c:extLst>
        </c:ser>
        <c:ser>
          <c:idx val="1"/>
          <c:order val="3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MgPO4!$C$42:$C$52</c:f>
              <c:numCache>
                <c:formatCode>General</c:formatCode>
                <c:ptCount val="11"/>
                <c:pt idx="0">
                  <c:v>3.6609921288669233E-3</c:v>
                </c:pt>
                <c:pt idx="1">
                  <c:v>3.5316969803990822E-3</c:v>
                </c:pt>
                <c:pt idx="2">
                  <c:v>3.4112229234180458E-3</c:v>
                </c:pt>
                <c:pt idx="3">
                  <c:v>3.3540164346805303E-3</c:v>
                </c:pt>
                <c:pt idx="4">
                  <c:v>3.298697014679202E-3</c:v>
                </c:pt>
                <c:pt idx="5">
                  <c:v>3.1933578157432542E-3</c:v>
                </c:pt>
                <c:pt idx="6">
                  <c:v>3.0945381401825778E-3</c:v>
                </c:pt>
                <c:pt idx="7">
                  <c:v>3.0016509079993999E-3</c:v>
                </c:pt>
                <c:pt idx="8">
                  <c:v>2.9141774734081308E-3</c:v>
                </c:pt>
                <c:pt idx="9">
                  <c:v>2.831657935721365E-3</c:v>
                </c:pt>
                <c:pt idx="10">
                  <c:v>2.7162841233192994E-3</c:v>
                </c:pt>
              </c:numCache>
            </c:numRef>
          </c:xVal>
          <c:yVal>
            <c:numRef>
              <c:f>MgPO4!$F$42:$F$52</c:f>
              <c:numCache>
                <c:formatCode>0.00</c:formatCode>
                <c:ptCount val="11"/>
                <c:pt idx="0">
                  <c:v>-11.142279556455973</c:v>
                </c:pt>
                <c:pt idx="1">
                  <c:v>-11.045833559311003</c:v>
                </c:pt>
                <c:pt idx="2">
                  <c:v>-10.981447817896111</c:v>
                </c:pt>
                <c:pt idx="3">
                  <c:v>-10.96</c:v>
                </c:pt>
                <c:pt idx="4">
                  <c:v>-10.945108770856843</c:v>
                </c:pt>
                <c:pt idx="5">
                  <c:v>-10.933369259257567</c:v>
                </c:pt>
                <c:pt idx="6">
                  <c:v>-10.943255896959379</c:v>
                </c:pt>
                <c:pt idx="7">
                  <c:v>-10.972193723377858</c:v>
                </c:pt>
                <c:pt idx="8">
                  <c:v>-11.017944525653999</c:v>
                </c:pt>
                <c:pt idx="9">
                  <c:v>-11.078556050607334</c:v>
                </c:pt>
                <c:pt idx="10">
                  <c:v>-11.193658139296204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7-43DD-B2BD-8E27EBB3EBE8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MgPO4!$L$92:$L$100</c:f>
                <c:numCache>
                  <c:formatCode>General</c:formatCode>
                  <c:ptCount val="9"/>
                  <c:pt idx="0">
                    <c:v>0.5</c:v>
                  </c:pt>
                  <c:pt idx="1">
                    <c:v>0.95</c:v>
                  </c:pt>
                  <c:pt idx="2">
                    <c:v>0.7</c:v>
                  </c:pt>
                  <c:pt idx="3">
                    <c:v>0.7</c:v>
                  </c:pt>
                  <c:pt idx="4">
                    <c:v>0.7</c:v>
                  </c:pt>
                  <c:pt idx="5">
                    <c:v>1</c:v>
                  </c:pt>
                  <c:pt idx="6">
                    <c:v>0.55000000000000004</c:v>
                  </c:pt>
                  <c:pt idx="7">
                    <c:v>2</c:v>
                  </c:pt>
                  <c:pt idx="8">
                    <c:v>1.5</c:v>
                  </c:pt>
                </c:numCache>
              </c:numRef>
            </c:plus>
            <c:minus>
              <c:numRef>
                <c:f>MgPO4!$L$92:$L$100</c:f>
                <c:numCache>
                  <c:formatCode>General</c:formatCode>
                  <c:ptCount val="9"/>
                  <c:pt idx="0">
                    <c:v>0.5</c:v>
                  </c:pt>
                  <c:pt idx="1">
                    <c:v>0.95</c:v>
                  </c:pt>
                  <c:pt idx="2">
                    <c:v>0.7</c:v>
                  </c:pt>
                  <c:pt idx="3">
                    <c:v>0.7</c:v>
                  </c:pt>
                  <c:pt idx="4">
                    <c:v>0.7</c:v>
                  </c:pt>
                  <c:pt idx="5">
                    <c:v>1</c:v>
                  </c:pt>
                  <c:pt idx="6">
                    <c:v>0.55000000000000004</c:v>
                  </c:pt>
                  <c:pt idx="7">
                    <c:v>2</c:v>
                  </c:pt>
                  <c:pt idx="8">
                    <c:v>1.5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MgPO4!$I$92:$I$100</c:f>
              <c:numCache>
                <c:formatCode>General</c:formatCode>
                <c:ptCount val="9"/>
                <c:pt idx="0">
                  <c:v>3.3540164346805303E-3</c:v>
                </c:pt>
                <c:pt idx="1">
                  <c:v>3.3540164346805303E-3</c:v>
                </c:pt>
                <c:pt idx="2">
                  <c:v>3.5316969803990822E-3</c:v>
                </c:pt>
                <c:pt idx="3">
                  <c:v>3.3540164346805303E-3</c:v>
                </c:pt>
                <c:pt idx="4">
                  <c:v>3.2346757237586934E-3</c:v>
                </c:pt>
                <c:pt idx="5">
                  <c:v>3.5951824555096176E-3</c:v>
                </c:pt>
                <c:pt idx="6">
                  <c:v>3.4112229234180458E-3</c:v>
                </c:pt>
                <c:pt idx="7">
                  <c:v>3.1933578157432542E-3</c:v>
                </c:pt>
                <c:pt idx="8">
                  <c:v>3.0945381401825778E-3</c:v>
                </c:pt>
              </c:numCache>
            </c:numRef>
          </c:xVal>
          <c:yVal>
            <c:numRef>
              <c:f>MgPO4!$J$92:$J$100</c:f>
              <c:numCache>
                <c:formatCode>General</c:formatCode>
                <c:ptCount val="9"/>
                <c:pt idx="0" formatCode="0.00">
                  <c:v>-10.98</c:v>
                </c:pt>
                <c:pt idx="1">
                  <c:v>-11.08</c:v>
                </c:pt>
                <c:pt idx="2">
                  <c:v>-11.07</c:v>
                </c:pt>
                <c:pt idx="3">
                  <c:v>-11</c:v>
                </c:pt>
                <c:pt idx="4">
                  <c:v>-11.01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37-43DD-B2BD-8E27EBB3EBE8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MgPO4!$L$92:$L$100</c:f>
                <c:numCache>
                  <c:formatCode>General</c:formatCode>
                  <c:ptCount val="9"/>
                  <c:pt idx="0">
                    <c:v>0.5</c:v>
                  </c:pt>
                  <c:pt idx="1">
                    <c:v>0.95</c:v>
                  </c:pt>
                  <c:pt idx="2">
                    <c:v>0.7</c:v>
                  </c:pt>
                  <c:pt idx="3">
                    <c:v>0.7</c:v>
                  </c:pt>
                  <c:pt idx="4">
                    <c:v>0.7</c:v>
                  </c:pt>
                  <c:pt idx="5">
                    <c:v>1</c:v>
                  </c:pt>
                  <c:pt idx="6">
                    <c:v>0.55000000000000004</c:v>
                  </c:pt>
                  <c:pt idx="7">
                    <c:v>2</c:v>
                  </c:pt>
                  <c:pt idx="8">
                    <c:v>1.5</c:v>
                  </c:pt>
                </c:numCache>
              </c:numRef>
            </c:plus>
            <c:minus>
              <c:numRef>
                <c:f>MgPO4!$L$92:$L$100</c:f>
                <c:numCache>
                  <c:formatCode>General</c:formatCode>
                  <c:ptCount val="9"/>
                  <c:pt idx="0">
                    <c:v>0.5</c:v>
                  </c:pt>
                  <c:pt idx="1">
                    <c:v>0.95</c:v>
                  </c:pt>
                  <c:pt idx="2">
                    <c:v>0.7</c:v>
                  </c:pt>
                  <c:pt idx="3">
                    <c:v>0.7</c:v>
                  </c:pt>
                  <c:pt idx="4">
                    <c:v>0.7</c:v>
                  </c:pt>
                  <c:pt idx="5">
                    <c:v>1</c:v>
                  </c:pt>
                  <c:pt idx="6">
                    <c:v>0.55000000000000004</c:v>
                  </c:pt>
                  <c:pt idx="7">
                    <c:v>2</c:v>
                  </c:pt>
                  <c:pt idx="8">
                    <c:v>1.5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MgPO4!$I$92:$I$100</c:f>
              <c:numCache>
                <c:formatCode>General</c:formatCode>
                <c:ptCount val="9"/>
                <c:pt idx="0">
                  <c:v>3.3540164346805303E-3</c:v>
                </c:pt>
                <c:pt idx="1">
                  <c:v>3.3540164346805303E-3</c:v>
                </c:pt>
                <c:pt idx="2">
                  <c:v>3.5316969803990822E-3</c:v>
                </c:pt>
                <c:pt idx="3">
                  <c:v>3.3540164346805303E-3</c:v>
                </c:pt>
                <c:pt idx="4">
                  <c:v>3.2346757237586934E-3</c:v>
                </c:pt>
                <c:pt idx="5">
                  <c:v>3.5951824555096176E-3</c:v>
                </c:pt>
                <c:pt idx="6">
                  <c:v>3.4112229234180458E-3</c:v>
                </c:pt>
                <c:pt idx="7">
                  <c:v>3.1933578157432542E-3</c:v>
                </c:pt>
                <c:pt idx="8">
                  <c:v>3.0945381401825778E-3</c:v>
                </c:pt>
              </c:numCache>
            </c:numRef>
          </c:xVal>
          <c:yVal>
            <c:numRef>
              <c:f>MgPO4!$K$92:$K$100</c:f>
              <c:numCache>
                <c:formatCode>General</c:formatCode>
                <c:ptCount val="9"/>
                <c:pt idx="5">
                  <c:v>-10.58</c:v>
                </c:pt>
                <c:pt idx="6">
                  <c:v>-10.77</c:v>
                </c:pt>
                <c:pt idx="7">
                  <c:v>-11.78</c:v>
                </c:pt>
                <c:pt idx="8">
                  <c:v>-11.67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37-43DD-B2BD-8E27EBB3EBE8}"/>
            </c:ext>
          </c:extLst>
        </c:ser>
        <c:ser>
          <c:idx val="6"/>
          <c:order val="6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MgPO4!$C$42:$C$52</c:f>
              <c:numCache>
                <c:formatCode>General</c:formatCode>
                <c:ptCount val="11"/>
                <c:pt idx="0">
                  <c:v>3.6609921288669233E-3</c:v>
                </c:pt>
                <c:pt idx="1">
                  <c:v>3.5316969803990822E-3</c:v>
                </c:pt>
                <c:pt idx="2">
                  <c:v>3.4112229234180458E-3</c:v>
                </c:pt>
                <c:pt idx="3">
                  <c:v>3.3540164346805303E-3</c:v>
                </c:pt>
                <c:pt idx="4">
                  <c:v>3.298697014679202E-3</c:v>
                </c:pt>
                <c:pt idx="5">
                  <c:v>3.1933578157432542E-3</c:v>
                </c:pt>
                <c:pt idx="6">
                  <c:v>3.0945381401825778E-3</c:v>
                </c:pt>
                <c:pt idx="7">
                  <c:v>3.0016509079993999E-3</c:v>
                </c:pt>
                <c:pt idx="8">
                  <c:v>2.9141774734081308E-3</c:v>
                </c:pt>
                <c:pt idx="9">
                  <c:v>2.831657935721365E-3</c:v>
                </c:pt>
                <c:pt idx="10">
                  <c:v>2.7162841233192994E-3</c:v>
                </c:pt>
              </c:numCache>
            </c:numRef>
          </c:xVal>
          <c:yVal>
            <c:numRef>
              <c:f>MgPO4!$L$42:$L$52</c:f>
              <c:numCache>
                <c:formatCode>0.00</c:formatCode>
                <c:ptCount val="11"/>
                <c:pt idx="0">
                  <c:v>-23.481204739432364</c:v>
                </c:pt>
                <c:pt idx="1">
                  <c:v>-23.269368068003686</c:v>
                </c:pt>
                <c:pt idx="2">
                  <c:v>-23.100212738531884</c:v>
                </c:pt>
                <c:pt idx="3">
                  <c:v>-23.03</c:v>
                </c:pt>
                <c:pt idx="4">
                  <c:v>-22.968583412838228</c:v>
                </c:pt>
                <c:pt idx="5">
                  <c:v>-22.870042795541607</c:v>
                </c:pt>
                <c:pt idx="6">
                  <c:v>-22.800755003098249</c:v>
                </c:pt>
                <c:pt idx="7">
                  <c:v>-22.757390602549268</c:v>
                </c:pt>
                <c:pt idx="8">
                  <c:v>-22.737048802589797</c:v>
                </c:pt>
                <c:pt idx="9">
                  <c:v>-22.737193319394766</c:v>
                </c:pt>
                <c:pt idx="10">
                  <c:v>-22.771028975276959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37-43DD-B2BD-8E27EBB3EBE8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MgPO4!$X$92:$X$99</c:f>
                <c:numCache>
                  <c:formatCode>General</c:formatCode>
                  <c:ptCount val="8"/>
                  <c:pt idx="0">
                    <c:v>1.18</c:v>
                  </c:pt>
                  <c:pt idx="1">
                    <c:v>1</c:v>
                  </c:pt>
                  <c:pt idx="2">
                    <c:v>1.5</c:v>
                  </c:pt>
                  <c:pt idx="3">
                    <c:v>1.5</c:v>
                  </c:pt>
                  <c:pt idx="4">
                    <c:v>1.5</c:v>
                  </c:pt>
                  <c:pt idx="5">
                    <c:v>1.08</c:v>
                  </c:pt>
                  <c:pt idx="6">
                    <c:v>0.92</c:v>
                  </c:pt>
                  <c:pt idx="7">
                    <c:v>1.3</c:v>
                  </c:pt>
                </c:numCache>
              </c:numRef>
            </c:plus>
            <c:minus>
              <c:numRef>
                <c:f>MgPO4!$X$92:$X$99</c:f>
                <c:numCache>
                  <c:formatCode>General</c:formatCode>
                  <c:ptCount val="8"/>
                  <c:pt idx="0">
                    <c:v>1.18</c:v>
                  </c:pt>
                  <c:pt idx="1">
                    <c:v>1</c:v>
                  </c:pt>
                  <c:pt idx="2">
                    <c:v>1.5</c:v>
                  </c:pt>
                  <c:pt idx="3">
                    <c:v>1.5</c:v>
                  </c:pt>
                  <c:pt idx="4">
                    <c:v>1.5</c:v>
                  </c:pt>
                  <c:pt idx="5">
                    <c:v>1.08</c:v>
                  </c:pt>
                  <c:pt idx="6">
                    <c:v>0.92</c:v>
                  </c:pt>
                  <c:pt idx="7">
                    <c:v>1.3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MgPO4!$U$92:$U$99</c:f>
              <c:numCache>
                <c:formatCode>General</c:formatCode>
                <c:ptCount val="8"/>
                <c:pt idx="0">
                  <c:v>3.3540164346805303E-3</c:v>
                </c:pt>
                <c:pt idx="1">
                  <c:v>3.3540164346805303E-3</c:v>
                </c:pt>
                <c:pt idx="2">
                  <c:v>3.5951824555096176E-3</c:v>
                </c:pt>
                <c:pt idx="3">
                  <c:v>3.5069261792039282E-3</c:v>
                </c:pt>
                <c:pt idx="4">
                  <c:v>3.4112229234180458E-3</c:v>
                </c:pt>
                <c:pt idx="5">
                  <c:v>3.5951824555096176E-3</c:v>
                </c:pt>
                <c:pt idx="6">
                  <c:v>3.4112229234180458E-3</c:v>
                </c:pt>
                <c:pt idx="7">
                  <c:v>3.1933578157432542E-3</c:v>
                </c:pt>
              </c:numCache>
            </c:numRef>
          </c:xVal>
          <c:yVal>
            <c:numRef>
              <c:f>MgPO4!$V$92:$V$99</c:f>
              <c:numCache>
                <c:formatCode>General</c:formatCode>
                <c:ptCount val="8"/>
                <c:pt idx="0" formatCode="0.00">
                  <c:v>-23.03</c:v>
                </c:pt>
                <c:pt idx="1">
                  <c:v>-22.9</c:v>
                </c:pt>
                <c:pt idx="2">
                  <c:v>-23.94</c:v>
                </c:pt>
                <c:pt idx="3">
                  <c:v>-23.75</c:v>
                </c:pt>
                <c:pt idx="4">
                  <c:v>-23.35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37-43DD-B2BD-8E27EBB3EBE8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MgPO4!$X$92:$X$99</c:f>
                <c:numCache>
                  <c:formatCode>General</c:formatCode>
                  <c:ptCount val="8"/>
                  <c:pt idx="0">
                    <c:v>1.18</c:v>
                  </c:pt>
                  <c:pt idx="1">
                    <c:v>1</c:v>
                  </c:pt>
                  <c:pt idx="2">
                    <c:v>1.5</c:v>
                  </c:pt>
                  <c:pt idx="3">
                    <c:v>1.5</c:v>
                  </c:pt>
                  <c:pt idx="4">
                    <c:v>1.5</c:v>
                  </c:pt>
                  <c:pt idx="5">
                    <c:v>1.08</c:v>
                  </c:pt>
                  <c:pt idx="6">
                    <c:v>0.92</c:v>
                  </c:pt>
                  <c:pt idx="7">
                    <c:v>1.3</c:v>
                  </c:pt>
                </c:numCache>
              </c:numRef>
            </c:plus>
            <c:minus>
              <c:numRef>
                <c:f>MgPO4!$X$92:$X$99</c:f>
                <c:numCache>
                  <c:formatCode>General</c:formatCode>
                  <c:ptCount val="8"/>
                  <c:pt idx="0">
                    <c:v>1.18</c:v>
                  </c:pt>
                  <c:pt idx="1">
                    <c:v>1</c:v>
                  </c:pt>
                  <c:pt idx="2">
                    <c:v>1.5</c:v>
                  </c:pt>
                  <c:pt idx="3">
                    <c:v>1.5</c:v>
                  </c:pt>
                  <c:pt idx="4">
                    <c:v>1.5</c:v>
                  </c:pt>
                  <c:pt idx="5">
                    <c:v>1.08</c:v>
                  </c:pt>
                  <c:pt idx="6">
                    <c:v>0.92</c:v>
                  </c:pt>
                  <c:pt idx="7">
                    <c:v>1.3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MgPO4!$U$92:$U$99</c:f>
              <c:numCache>
                <c:formatCode>General</c:formatCode>
                <c:ptCount val="8"/>
                <c:pt idx="0">
                  <c:v>3.3540164346805303E-3</c:v>
                </c:pt>
                <c:pt idx="1">
                  <c:v>3.3540164346805303E-3</c:v>
                </c:pt>
                <c:pt idx="2">
                  <c:v>3.5951824555096176E-3</c:v>
                </c:pt>
                <c:pt idx="3">
                  <c:v>3.5069261792039282E-3</c:v>
                </c:pt>
                <c:pt idx="4">
                  <c:v>3.4112229234180458E-3</c:v>
                </c:pt>
                <c:pt idx="5">
                  <c:v>3.5951824555096176E-3</c:v>
                </c:pt>
                <c:pt idx="6">
                  <c:v>3.4112229234180458E-3</c:v>
                </c:pt>
                <c:pt idx="7">
                  <c:v>3.1933578157432542E-3</c:v>
                </c:pt>
              </c:numCache>
            </c:numRef>
          </c:xVal>
          <c:yVal>
            <c:numRef>
              <c:f>MgPO4!$W$92:$W$99</c:f>
              <c:numCache>
                <c:formatCode>General</c:formatCode>
                <c:ptCount val="8"/>
                <c:pt idx="5">
                  <c:v>-23.3</c:v>
                </c:pt>
                <c:pt idx="6">
                  <c:v>-23.97</c:v>
                </c:pt>
                <c:pt idx="7">
                  <c:v>-24.28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37-43DD-B2BD-8E27EBB3EBE8}"/>
            </c:ext>
          </c:extLst>
        </c:ser>
        <c:ser>
          <c:idx val="9"/>
          <c:order val="9"/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MgPO4!$C$42:$C$52</c:f>
              <c:numCache>
                <c:formatCode>General</c:formatCode>
                <c:ptCount val="11"/>
                <c:pt idx="0">
                  <c:v>3.6609921288669233E-3</c:v>
                </c:pt>
                <c:pt idx="1">
                  <c:v>3.5316969803990822E-3</c:v>
                </c:pt>
                <c:pt idx="2">
                  <c:v>3.4112229234180458E-3</c:v>
                </c:pt>
                <c:pt idx="3">
                  <c:v>3.3540164346805303E-3</c:v>
                </c:pt>
                <c:pt idx="4">
                  <c:v>3.298697014679202E-3</c:v>
                </c:pt>
                <c:pt idx="5">
                  <c:v>3.1933578157432542E-3</c:v>
                </c:pt>
                <c:pt idx="6">
                  <c:v>3.0945381401825778E-3</c:v>
                </c:pt>
                <c:pt idx="7">
                  <c:v>3.0016509079993999E-3</c:v>
                </c:pt>
                <c:pt idx="8">
                  <c:v>2.9141774734081308E-3</c:v>
                </c:pt>
                <c:pt idx="9">
                  <c:v>2.831657935721365E-3</c:v>
                </c:pt>
                <c:pt idx="10">
                  <c:v>2.7162841233192994E-3</c:v>
                </c:pt>
              </c:numCache>
            </c:numRef>
          </c:xVal>
          <c:yVal>
            <c:numRef>
              <c:f>MgPO4!$S$42:$S$52</c:f>
              <c:numCache>
                <c:formatCode>0.00</c:formatCode>
                <c:ptCount val="11"/>
                <c:pt idx="0">
                  <c:v>-17.790355138537411</c:v>
                </c:pt>
                <c:pt idx="1">
                  <c:v>-17.728143188345157</c:v>
                </c:pt>
                <c:pt idx="2">
                  <c:v>-17.70146343209645</c:v>
                </c:pt>
                <c:pt idx="3">
                  <c:v>-17.7</c:v>
                </c:pt>
                <c:pt idx="4">
                  <c:v>-17.705767073526136</c:v>
                </c:pt>
                <c:pt idx="5">
                  <c:v>-17.737152333610126</c:v>
                </c:pt>
                <c:pt idx="6">
                  <c:v>-17.792258209886896</c:v>
                </c:pt>
                <c:pt idx="7">
                  <c:v>-17.868178106221887</c:v>
                </c:pt>
                <c:pt idx="8">
                  <c:v>-17.962389172161352</c:v>
                </c:pt>
                <c:pt idx="9">
                  <c:v>-18.072694151863971</c:v>
                </c:pt>
                <c:pt idx="10">
                  <c:v>-18.264194062755017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5-491C-B360-541F06C907A9}"/>
            </c:ext>
          </c:extLst>
        </c:ser>
        <c:ser>
          <c:idx val="10"/>
          <c:order val="10"/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MgPO4!$C$42:$C$52</c:f>
              <c:numCache>
                <c:formatCode>General</c:formatCode>
                <c:ptCount val="11"/>
                <c:pt idx="0">
                  <c:v>3.6609921288669233E-3</c:v>
                </c:pt>
                <c:pt idx="1">
                  <c:v>3.5316969803990822E-3</c:v>
                </c:pt>
                <c:pt idx="2">
                  <c:v>3.4112229234180458E-3</c:v>
                </c:pt>
                <c:pt idx="3">
                  <c:v>3.3540164346805303E-3</c:v>
                </c:pt>
                <c:pt idx="4">
                  <c:v>3.298697014679202E-3</c:v>
                </c:pt>
                <c:pt idx="5">
                  <c:v>3.1933578157432542E-3</c:v>
                </c:pt>
                <c:pt idx="6">
                  <c:v>3.0945381401825778E-3</c:v>
                </c:pt>
                <c:pt idx="7">
                  <c:v>3.0016509079993999E-3</c:v>
                </c:pt>
                <c:pt idx="8">
                  <c:v>2.9141774734081308E-3</c:v>
                </c:pt>
                <c:pt idx="9">
                  <c:v>2.831657935721365E-3</c:v>
                </c:pt>
                <c:pt idx="10">
                  <c:v>2.7162841233192994E-3</c:v>
                </c:pt>
              </c:numCache>
            </c:numRef>
          </c:xVal>
          <c:yVal>
            <c:numRef>
              <c:f>MgPO4!$T$42:$T$52</c:f>
              <c:numCache>
                <c:formatCode>0.00</c:formatCode>
                <c:ptCount val="11"/>
                <c:pt idx="0">
                  <c:v>-18.250355138537412</c:v>
                </c:pt>
                <c:pt idx="1">
                  <c:v>-18.188143188345158</c:v>
                </c:pt>
                <c:pt idx="2">
                  <c:v>-18.161463432096451</c:v>
                </c:pt>
                <c:pt idx="3">
                  <c:v>-18.16</c:v>
                </c:pt>
                <c:pt idx="4">
                  <c:v>-18.165767073526137</c:v>
                </c:pt>
                <c:pt idx="5">
                  <c:v>-18.197152333610127</c:v>
                </c:pt>
                <c:pt idx="6">
                  <c:v>-18.252258209886897</c:v>
                </c:pt>
                <c:pt idx="7">
                  <c:v>-18.328178106221888</c:v>
                </c:pt>
                <c:pt idx="8">
                  <c:v>-18.422389172161353</c:v>
                </c:pt>
                <c:pt idx="9">
                  <c:v>-18.532694151863971</c:v>
                </c:pt>
                <c:pt idx="10">
                  <c:v>-18.724194062755018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5-491C-B360-541F06C907A9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MgPO4!$C$42:$C$52</c:f>
              <c:numCache>
                <c:formatCode>General</c:formatCode>
                <c:ptCount val="11"/>
                <c:pt idx="0">
                  <c:v>3.6609921288669233E-3</c:v>
                </c:pt>
                <c:pt idx="1">
                  <c:v>3.5316969803990822E-3</c:v>
                </c:pt>
                <c:pt idx="2">
                  <c:v>3.4112229234180458E-3</c:v>
                </c:pt>
                <c:pt idx="3">
                  <c:v>3.3540164346805303E-3</c:v>
                </c:pt>
                <c:pt idx="4">
                  <c:v>3.298697014679202E-3</c:v>
                </c:pt>
                <c:pt idx="5">
                  <c:v>3.1933578157432542E-3</c:v>
                </c:pt>
                <c:pt idx="6">
                  <c:v>3.0945381401825778E-3</c:v>
                </c:pt>
                <c:pt idx="7">
                  <c:v>3.0016509079993999E-3</c:v>
                </c:pt>
                <c:pt idx="8">
                  <c:v>2.9141774734081308E-3</c:v>
                </c:pt>
                <c:pt idx="9">
                  <c:v>2.831657935721365E-3</c:v>
                </c:pt>
                <c:pt idx="10">
                  <c:v>2.7162841233192994E-3</c:v>
                </c:pt>
              </c:numCache>
            </c:numRef>
          </c:xVal>
          <c:yVal>
            <c:numRef>
              <c:f>MgPO4!$V$42:$V$52</c:f>
              <c:numCache>
                <c:formatCode>0.00</c:formatCode>
                <c:ptCount val="11"/>
                <c:pt idx="0">
                  <c:v>-10.832279556455973</c:v>
                </c:pt>
                <c:pt idx="1">
                  <c:v>-10.735833559311002</c:v>
                </c:pt>
                <c:pt idx="2">
                  <c:v>-10.671447817896111</c:v>
                </c:pt>
                <c:pt idx="3">
                  <c:v>-10.65</c:v>
                </c:pt>
                <c:pt idx="4">
                  <c:v>-10.635108770856842</c:v>
                </c:pt>
                <c:pt idx="5">
                  <c:v>-10.623369259257567</c:v>
                </c:pt>
                <c:pt idx="6">
                  <c:v>-10.633255896959378</c:v>
                </c:pt>
                <c:pt idx="7">
                  <c:v>-10.662193723377857</c:v>
                </c:pt>
                <c:pt idx="8">
                  <c:v>-10.707944525653998</c:v>
                </c:pt>
                <c:pt idx="9">
                  <c:v>-10.768556050607334</c:v>
                </c:pt>
                <c:pt idx="10">
                  <c:v>-10.883658139296204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25-491C-B360-541F06C907A9}"/>
            </c:ext>
          </c:extLst>
        </c:ser>
        <c:ser>
          <c:idx val="12"/>
          <c:order val="12"/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MgPO4!$C$42:$C$52</c:f>
              <c:numCache>
                <c:formatCode>General</c:formatCode>
                <c:ptCount val="11"/>
                <c:pt idx="0">
                  <c:v>3.6609921288669233E-3</c:v>
                </c:pt>
                <c:pt idx="1">
                  <c:v>3.5316969803990822E-3</c:v>
                </c:pt>
                <c:pt idx="2">
                  <c:v>3.4112229234180458E-3</c:v>
                </c:pt>
                <c:pt idx="3">
                  <c:v>3.3540164346805303E-3</c:v>
                </c:pt>
                <c:pt idx="4">
                  <c:v>3.298697014679202E-3</c:v>
                </c:pt>
                <c:pt idx="5">
                  <c:v>3.1933578157432542E-3</c:v>
                </c:pt>
                <c:pt idx="6">
                  <c:v>3.0945381401825778E-3</c:v>
                </c:pt>
                <c:pt idx="7">
                  <c:v>3.0016509079993999E-3</c:v>
                </c:pt>
                <c:pt idx="8">
                  <c:v>2.9141774734081308E-3</c:v>
                </c:pt>
                <c:pt idx="9">
                  <c:v>2.831657935721365E-3</c:v>
                </c:pt>
                <c:pt idx="10">
                  <c:v>2.7162841233192994E-3</c:v>
                </c:pt>
              </c:numCache>
            </c:numRef>
          </c:xVal>
          <c:yVal>
            <c:numRef>
              <c:f>MgPO4!$W$42:$W$52</c:f>
              <c:numCache>
                <c:formatCode>0.00</c:formatCode>
                <c:ptCount val="11"/>
                <c:pt idx="0">
                  <c:v>-11.452279556455974</c:v>
                </c:pt>
                <c:pt idx="1">
                  <c:v>-11.355833559311003</c:v>
                </c:pt>
                <c:pt idx="2">
                  <c:v>-11.291447817896112</c:v>
                </c:pt>
                <c:pt idx="3">
                  <c:v>-11.270000000000001</c:v>
                </c:pt>
                <c:pt idx="4">
                  <c:v>-11.255108770856843</c:v>
                </c:pt>
                <c:pt idx="5">
                  <c:v>-11.243369259257568</c:v>
                </c:pt>
                <c:pt idx="6">
                  <c:v>-11.253255896959379</c:v>
                </c:pt>
                <c:pt idx="7">
                  <c:v>-11.282193723377858</c:v>
                </c:pt>
                <c:pt idx="8">
                  <c:v>-11.327944525653999</c:v>
                </c:pt>
                <c:pt idx="9">
                  <c:v>-11.388556050607335</c:v>
                </c:pt>
                <c:pt idx="10">
                  <c:v>-11.503658139296205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25-491C-B360-541F06C907A9}"/>
            </c:ext>
          </c:extLst>
        </c:ser>
        <c:ser>
          <c:idx val="13"/>
          <c:order val="13"/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MgPO4!$C$42:$C$52</c:f>
              <c:numCache>
                <c:formatCode>General</c:formatCode>
                <c:ptCount val="11"/>
                <c:pt idx="0">
                  <c:v>3.6609921288669233E-3</c:v>
                </c:pt>
                <c:pt idx="1">
                  <c:v>3.5316969803990822E-3</c:v>
                </c:pt>
                <c:pt idx="2">
                  <c:v>3.4112229234180458E-3</c:v>
                </c:pt>
                <c:pt idx="3">
                  <c:v>3.3540164346805303E-3</c:v>
                </c:pt>
                <c:pt idx="4">
                  <c:v>3.298697014679202E-3</c:v>
                </c:pt>
                <c:pt idx="5">
                  <c:v>3.1933578157432542E-3</c:v>
                </c:pt>
                <c:pt idx="6">
                  <c:v>3.0945381401825778E-3</c:v>
                </c:pt>
                <c:pt idx="7">
                  <c:v>3.0016509079993999E-3</c:v>
                </c:pt>
                <c:pt idx="8">
                  <c:v>2.9141774734081308E-3</c:v>
                </c:pt>
                <c:pt idx="9">
                  <c:v>2.831657935721365E-3</c:v>
                </c:pt>
                <c:pt idx="10">
                  <c:v>2.7162841233192994E-3</c:v>
                </c:pt>
              </c:numCache>
            </c:numRef>
          </c:xVal>
          <c:yVal>
            <c:numRef>
              <c:f>MgPO4!$Y$42:$Y$52</c:f>
              <c:numCache>
                <c:formatCode>0.00</c:formatCode>
                <c:ptCount val="11"/>
                <c:pt idx="0">
                  <c:v>-22.921204739432365</c:v>
                </c:pt>
                <c:pt idx="1">
                  <c:v>-22.709368068003688</c:v>
                </c:pt>
                <c:pt idx="2">
                  <c:v>-22.540212738531885</c:v>
                </c:pt>
                <c:pt idx="3">
                  <c:v>-22.470000000000002</c:v>
                </c:pt>
                <c:pt idx="4">
                  <c:v>-22.40858341283823</c:v>
                </c:pt>
                <c:pt idx="5">
                  <c:v>-22.310042795541609</c:v>
                </c:pt>
                <c:pt idx="6">
                  <c:v>-22.240755003098251</c:v>
                </c:pt>
                <c:pt idx="7">
                  <c:v>-22.19739060254927</c:v>
                </c:pt>
                <c:pt idx="8">
                  <c:v>-22.177048802589798</c:v>
                </c:pt>
                <c:pt idx="9">
                  <c:v>-22.177193319394767</c:v>
                </c:pt>
                <c:pt idx="10">
                  <c:v>-22.21102897527696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25-491C-B360-541F06C907A9}"/>
            </c:ext>
          </c:extLst>
        </c:ser>
        <c:ser>
          <c:idx val="14"/>
          <c:order val="14"/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MgPO4!$C$42:$C$52</c:f>
              <c:numCache>
                <c:formatCode>General</c:formatCode>
                <c:ptCount val="11"/>
                <c:pt idx="0">
                  <c:v>3.6609921288669233E-3</c:v>
                </c:pt>
                <c:pt idx="1">
                  <c:v>3.5316969803990822E-3</c:v>
                </c:pt>
                <c:pt idx="2">
                  <c:v>3.4112229234180458E-3</c:v>
                </c:pt>
                <c:pt idx="3">
                  <c:v>3.3540164346805303E-3</c:v>
                </c:pt>
                <c:pt idx="4">
                  <c:v>3.298697014679202E-3</c:v>
                </c:pt>
                <c:pt idx="5">
                  <c:v>3.1933578157432542E-3</c:v>
                </c:pt>
                <c:pt idx="6">
                  <c:v>3.0945381401825778E-3</c:v>
                </c:pt>
                <c:pt idx="7">
                  <c:v>3.0016509079993999E-3</c:v>
                </c:pt>
                <c:pt idx="8">
                  <c:v>2.9141774734081308E-3</c:v>
                </c:pt>
                <c:pt idx="9">
                  <c:v>2.831657935721365E-3</c:v>
                </c:pt>
                <c:pt idx="10">
                  <c:v>2.7162841233192994E-3</c:v>
                </c:pt>
              </c:numCache>
            </c:numRef>
          </c:xVal>
          <c:yVal>
            <c:numRef>
              <c:f>MgPO4!$Z$42:$Z$52</c:f>
              <c:numCache>
                <c:formatCode>0.00</c:formatCode>
                <c:ptCount val="11"/>
                <c:pt idx="0">
                  <c:v>-24.041204739432363</c:v>
                </c:pt>
                <c:pt idx="1">
                  <c:v>-23.829368068003685</c:v>
                </c:pt>
                <c:pt idx="2">
                  <c:v>-23.660212738531882</c:v>
                </c:pt>
                <c:pt idx="3">
                  <c:v>-23.59</c:v>
                </c:pt>
                <c:pt idx="4">
                  <c:v>-23.528583412838227</c:v>
                </c:pt>
                <c:pt idx="5">
                  <c:v>-23.430042795541606</c:v>
                </c:pt>
                <c:pt idx="6">
                  <c:v>-23.360755003098248</c:v>
                </c:pt>
                <c:pt idx="7">
                  <c:v>-23.317390602549267</c:v>
                </c:pt>
                <c:pt idx="8">
                  <c:v>-23.297048802589796</c:v>
                </c:pt>
                <c:pt idx="9">
                  <c:v>-23.297193319394765</c:v>
                </c:pt>
                <c:pt idx="10">
                  <c:v>-23.331028975276958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25-491C-B360-541F06C90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81064"/>
        <c:axId val="654670008"/>
      </c:scatterChart>
      <c:valAx>
        <c:axId val="658381064"/>
        <c:scaling>
          <c:orientation val="minMax"/>
          <c:max val="3.700000000000001E-3"/>
          <c:min val="2.7000000000000006E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 / T </a:t>
                </a:r>
                <a:r>
                  <a:rPr lang="en-GB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[K]</a:t>
                </a:r>
              </a:p>
            </c:rich>
          </c:tx>
          <c:layout>
            <c:manualLayout>
              <c:xMode val="edge"/>
              <c:yMode val="edge"/>
              <c:x val="0.46920128305474496"/>
              <c:y val="0.92926472540547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4670008"/>
        <c:crossesAt val="-40"/>
        <c:crossBetween val="midCat"/>
        <c:minorUnit val="5.0000000000000023E-5"/>
      </c:valAx>
      <c:valAx>
        <c:axId val="654670008"/>
        <c:scaling>
          <c:orientation val="minMax"/>
          <c:max val="-9"/>
          <c:min val="-2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</a:t>
                </a:r>
                <a:r>
                  <a:rPr lang="en-GB" sz="140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10</a:t>
                </a:r>
                <a:r>
                  <a:rPr lang="en-GB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en-GB" sz="140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  <a:r>
                  <a:rPr lang="en-GB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°</a:t>
                </a:r>
              </a:p>
            </c:rich>
          </c:tx>
          <c:layout>
            <c:manualLayout>
              <c:xMode val="edge"/>
              <c:yMode val="edge"/>
              <c:x val="4.7244609697859553E-3"/>
              <c:y val="0.36627614095169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8381064"/>
        <c:crosses val="autoZero"/>
        <c:crossBetween val="midCat"/>
        <c:minorUnit val="0.5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09492563429573"/>
          <c:y val="4.394685039370079E-2"/>
          <c:w val="0.83623840769903757"/>
          <c:h val="0.7857480314960629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MgPO4!$C$42:$C$53</c:f>
              <c:numCache>
                <c:formatCode>General</c:formatCode>
                <c:ptCount val="12"/>
                <c:pt idx="0">
                  <c:v>3.6609921288669233E-3</c:v>
                </c:pt>
                <c:pt idx="1">
                  <c:v>3.5316969803990822E-3</c:v>
                </c:pt>
                <c:pt idx="2">
                  <c:v>3.4112229234180458E-3</c:v>
                </c:pt>
                <c:pt idx="3">
                  <c:v>3.3540164346805303E-3</c:v>
                </c:pt>
                <c:pt idx="4">
                  <c:v>3.298697014679202E-3</c:v>
                </c:pt>
                <c:pt idx="5">
                  <c:v>3.1933578157432542E-3</c:v>
                </c:pt>
                <c:pt idx="6">
                  <c:v>3.0945381401825778E-3</c:v>
                </c:pt>
                <c:pt idx="7">
                  <c:v>3.0016509079993999E-3</c:v>
                </c:pt>
                <c:pt idx="8">
                  <c:v>2.9141774734081308E-3</c:v>
                </c:pt>
                <c:pt idx="9">
                  <c:v>2.831657935721365E-3</c:v>
                </c:pt>
                <c:pt idx="10">
                  <c:v>2.7162841233192994E-3</c:v>
                </c:pt>
              </c:numCache>
            </c:numRef>
          </c:xVal>
          <c:yVal>
            <c:numRef>
              <c:f>MgPO4!$F$42:$F$53</c:f>
              <c:numCache>
                <c:formatCode>0.00</c:formatCode>
                <c:ptCount val="12"/>
                <c:pt idx="0">
                  <c:v>-11.142279556455973</c:v>
                </c:pt>
                <c:pt idx="1">
                  <c:v>-11.045833559311003</c:v>
                </c:pt>
                <c:pt idx="2">
                  <c:v>-10.981447817896111</c:v>
                </c:pt>
                <c:pt idx="3">
                  <c:v>-10.96</c:v>
                </c:pt>
                <c:pt idx="4">
                  <c:v>-10.945108770856843</c:v>
                </c:pt>
                <c:pt idx="5">
                  <c:v>-10.933369259257567</c:v>
                </c:pt>
                <c:pt idx="6">
                  <c:v>-10.943255896959379</c:v>
                </c:pt>
                <c:pt idx="7">
                  <c:v>-10.972193723377858</c:v>
                </c:pt>
                <c:pt idx="8">
                  <c:v>-11.017944525653999</c:v>
                </c:pt>
                <c:pt idx="9">
                  <c:v>-11.078556050607334</c:v>
                </c:pt>
                <c:pt idx="10">
                  <c:v>-11.193658139296204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3A-445B-8CA3-04764D164902}"/>
            </c:ext>
          </c:extLst>
        </c:ser>
        <c:ser>
          <c:idx val="1"/>
          <c:order val="1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MgPO4!$C$42:$C$53</c:f>
              <c:numCache>
                <c:formatCode>General</c:formatCode>
                <c:ptCount val="12"/>
                <c:pt idx="0">
                  <c:v>3.6609921288669233E-3</c:v>
                </c:pt>
                <c:pt idx="1">
                  <c:v>3.5316969803990822E-3</c:v>
                </c:pt>
                <c:pt idx="2">
                  <c:v>3.4112229234180458E-3</c:v>
                </c:pt>
                <c:pt idx="3">
                  <c:v>3.3540164346805303E-3</c:v>
                </c:pt>
                <c:pt idx="4">
                  <c:v>3.298697014679202E-3</c:v>
                </c:pt>
                <c:pt idx="5">
                  <c:v>3.1933578157432542E-3</c:v>
                </c:pt>
                <c:pt idx="6">
                  <c:v>3.0945381401825778E-3</c:v>
                </c:pt>
                <c:pt idx="7">
                  <c:v>3.0016509079993999E-3</c:v>
                </c:pt>
                <c:pt idx="8">
                  <c:v>2.9141774734081308E-3</c:v>
                </c:pt>
                <c:pt idx="9">
                  <c:v>2.831657935721365E-3</c:v>
                </c:pt>
                <c:pt idx="10">
                  <c:v>2.7162841233192994E-3</c:v>
                </c:pt>
              </c:numCache>
            </c:numRef>
          </c:xVal>
          <c:yVal>
            <c:numRef>
              <c:f>MgPO4!$G$42:$G$53</c:f>
              <c:numCache>
                <c:formatCode>0.00</c:formatCode>
                <c:ptCount val="12"/>
                <c:pt idx="0">
                  <c:v>-10.49366184047693</c:v>
                </c:pt>
                <c:pt idx="1">
                  <c:v>-10.657613947770296</c:v>
                </c:pt>
                <c:pt idx="2">
                  <c:v>-10.846976117104338</c:v>
                </c:pt>
                <c:pt idx="3">
                  <c:v>-10.95</c:v>
                </c:pt>
                <c:pt idx="4">
                  <c:v>-11.05802609057876</c:v>
                </c:pt>
                <c:pt idx="5">
                  <c:v>-11.287594243310359</c:v>
                </c:pt>
                <c:pt idx="6">
                  <c:v>-11.532970906666801</c:v>
                </c:pt>
                <c:pt idx="7">
                  <c:v>-11.791831244054766</c:v>
                </c:pt>
                <c:pt idx="8">
                  <c:v>-12.062173973015238</c:v>
                </c:pt>
                <c:pt idx="9">
                  <c:v>-12.342271088337158</c:v>
                </c:pt>
                <c:pt idx="10">
                  <c:v>-12.77748808150378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3A-445B-8CA3-04764D164902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MgPO4!$I$92:$I$100</c:f>
              <c:numCache>
                <c:formatCode>General</c:formatCode>
                <c:ptCount val="9"/>
                <c:pt idx="0">
                  <c:v>3.3540164346805303E-3</c:v>
                </c:pt>
                <c:pt idx="1">
                  <c:v>3.3540164346805303E-3</c:v>
                </c:pt>
                <c:pt idx="2">
                  <c:v>3.5316969803990822E-3</c:v>
                </c:pt>
                <c:pt idx="3">
                  <c:v>3.3540164346805303E-3</c:v>
                </c:pt>
                <c:pt idx="4">
                  <c:v>3.2346757237586934E-3</c:v>
                </c:pt>
                <c:pt idx="5">
                  <c:v>3.5951824555096176E-3</c:v>
                </c:pt>
                <c:pt idx="6">
                  <c:v>3.4112229234180458E-3</c:v>
                </c:pt>
                <c:pt idx="7">
                  <c:v>3.1933578157432542E-3</c:v>
                </c:pt>
                <c:pt idx="8">
                  <c:v>3.0945381401825778E-3</c:v>
                </c:pt>
              </c:numCache>
            </c:numRef>
          </c:xVal>
          <c:yVal>
            <c:numRef>
              <c:f>MgPO4!$J$92:$J$100</c:f>
              <c:numCache>
                <c:formatCode>General</c:formatCode>
                <c:ptCount val="9"/>
                <c:pt idx="0" formatCode="0.00">
                  <c:v>-10.98</c:v>
                </c:pt>
                <c:pt idx="1">
                  <c:v>-11.08</c:v>
                </c:pt>
                <c:pt idx="2">
                  <c:v>-11.07</c:v>
                </c:pt>
                <c:pt idx="3">
                  <c:v>-11</c:v>
                </c:pt>
                <c:pt idx="4">
                  <c:v>-11.01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3A-445B-8CA3-04764D164902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MgPO4!$I$92:$I$100</c:f>
              <c:numCache>
                <c:formatCode>General</c:formatCode>
                <c:ptCount val="9"/>
                <c:pt idx="0">
                  <c:v>3.3540164346805303E-3</c:v>
                </c:pt>
                <c:pt idx="1">
                  <c:v>3.3540164346805303E-3</c:v>
                </c:pt>
                <c:pt idx="2">
                  <c:v>3.5316969803990822E-3</c:v>
                </c:pt>
                <c:pt idx="3">
                  <c:v>3.3540164346805303E-3</c:v>
                </c:pt>
                <c:pt idx="4">
                  <c:v>3.2346757237586934E-3</c:v>
                </c:pt>
                <c:pt idx="5">
                  <c:v>3.5951824555096176E-3</c:v>
                </c:pt>
                <c:pt idx="6">
                  <c:v>3.4112229234180458E-3</c:v>
                </c:pt>
                <c:pt idx="7">
                  <c:v>3.1933578157432542E-3</c:v>
                </c:pt>
                <c:pt idx="8">
                  <c:v>3.0945381401825778E-3</c:v>
                </c:pt>
              </c:numCache>
            </c:numRef>
          </c:xVal>
          <c:yVal>
            <c:numRef>
              <c:f>MgPO4!$K$92:$K$100</c:f>
              <c:numCache>
                <c:formatCode>General</c:formatCode>
                <c:ptCount val="9"/>
                <c:pt idx="5">
                  <c:v>-10.58</c:v>
                </c:pt>
                <c:pt idx="6">
                  <c:v>-10.77</c:v>
                </c:pt>
                <c:pt idx="7">
                  <c:v>-11.78</c:v>
                </c:pt>
                <c:pt idx="8">
                  <c:v>-11.67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3A-445B-8CA3-04764D164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81064"/>
        <c:axId val="654670008"/>
      </c:scatterChart>
      <c:valAx>
        <c:axId val="658381064"/>
        <c:scaling>
          <c:orientation val="minMax"/>
          <c:max val="3.700000000000001E-3"/>
          <c:min val="2.6000000000000007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Temperatue</a:t>
                </a:r>
                <a:r>
                  <a:rPr lang="en-GB" baseline="0"/>
                  <a:t> [C]</a:t>
                </a:r>
              </a:p>
            </c:rich>
          </c:tx>
          <c:layout>
            <c:manualLayout>
              <c:xMode val="edge"/>
              <c:yMode val="edge"/>
              <c:x val="0.43142935258092741"/>
              <c:y val="0.897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70008"/>
        <c:crossesAt val="-40"/>
        <c:crossBetween val="midCat"/>
      </c:valAx>
      <c:valAx>
        <c:axId val="654670008"/>
        <c:scaling>
          <c:orientation val="minMax"/>
          <c:max val="-10"/>
          <c:min val="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</a:t>
                </a:r>
                <a:r>
                  <a:rPr lang="en-GB" baseline="-25000"/>
                  <a:t>10</a:t>
                </a:r>
                <a:r>
                  <a:rPr lang="en-GB"/>
                  <a:t>K</a:t>
                </a:r>
                <a:r>
                  <a:rPr lang="en-GB" baseline="-25000"/>
                  <a:t>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8106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1714785651796"/>
          <c:y val="4.394685039370079E-2"/>
          <c:w val="0.83623840769903757"/>
          <c:h val="0.7857480314960629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MgPO4!$C$42:$C$53</c:f>
              <c:numCache>
                <c:formatCode>General</c:formatCode>
                <c:ptCount val="12"/>
                <c:pt idx="0">
                  <c:v>3.6609921288669233E-3</c:v>
                </c:pt>
                <c:pt idx="1">
                  <c:v>3.5316969803990822E-3</c:v>
                </c:pt>
                <c:pt idx="2">
                  <c:v>3.4112229234180458E-3</c:v>
                </c:pt>
                <c:pt idx="3">
                  <c:v>3.3540164346805303E-3</c:v>
                </c:pt>
                <c:pt idx="4">
                  <c:v>3.298697014679202E-3</c:v>
                </c:pt>
                <c:pt idx="5">
                  <c:v>3.1933578157432542E-3</c:v>
                </c:pt>
                <c:pt idx="6">
                  <c:v>3.0945381401825778E-3</c:v>
                </c:pt>
                <c:pt idx="7">
                  <c:v>3.0016509079993999E-3</c:v>
                </c:pt>
                <c:pt idx="8">
                  <c:v>2.9141774734081308E-3</c:v>
                </c:pt>
                <c:pt idx="9">
                  <c:v>2.831657935721365E-3</c:v>
                </c:pt>
                <c:pt idx="10">
                  <c:v>2.7162841233192994E-3</c:v>
                </c:pt>
              </c:numCache>
            </c:numRef>
          </c:xVal>
          <c:yVal>
            <c:numRef>
              <c:f>MgPO4!$I$42:$I$53</c:f>
              <c:numCache>
                <c:formatCode>0.00</c:formatCode>
                <c:ptCount val="12"/>
                <c:pt idx="0">
                  <c:v>-19.726877476715931</c:v>
                </c:pt>
                <c:pt idx="1">
                  <c:v>-20.793019269352648</c:v>
                </c:pt>
                <c:pt idx="2">
                  <c:v>-21.869274205477289</c:v>
                </c:pt>
                <c:pt idx="3">
                  <c:v>-22.41</c:v>
                </c:pt>
                <c:pt idx="4">
                  <c:v>-22.951907426153745</c:v>
                </c:pt>
                <c:pt idx="5">
                  <c:v>-24.037835856692553</c:v>
                </c:pt>
                <c:pt idx="6">
                  <c:v>-25.124511126649377</c:v>
                </c:pt>
                <c:pt idx="7">
                  <c:v>-26.20982552632902</c:v>
                </c:pt>
                <c:pt idx="8">
                  <c:v>-27.292036016038491</c:v>
                </c:pt>
                <c:pt idx="9">
                  <c:v>-28.369702481701633</c:v>
                </c:pt>
                <c:pt idx="10">
                  <c:v>-29.975142925948056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3-45F9-BFAC-ABB8E6824FEE}"/>
            </c:ext>
          </c:extLst>
        </c:ser>
        <c:ser>
          <c:idx val="1"/>
          <c:order val="1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MgPO4!$C$42:$C$53</c:f>
              <c:numCache>
                <c:formatCode>General</c:formatCode>
                <c:ptCount val="12"/>
                <c:pt idx="0">
                  <c:v>3.6609921288669233E-3</c:v>
                </c:pt>
                <c:pt idx="1">
                  <c:v>3.5316969803990822E-3</c:v>
                </c:pt>
                <c:pt idx="2">
                  <c:v>3.4112229234180458E-3</c:v>
                </c:pt>
                <c:pt idx="3">
                  <c:v>3.3540164346805303E-3</c:v>
                </c:pt>
                <c:pt idx="4">
                  <c:v>3.298697014679202E-3</c:v>
                </c:pt>
                <c:pt idx="5">
                  <c:v>3.1933578157432542E-3</c:v>
                </c:pt>
                <c:pt idx="6">
                  <c:v>3.0945381401825778E-3</c:v>
                </c:pt>
                <c:pt idx="7">
                  <c:v>3.0016509079993999E-3</c:v>
                </c:pt>
                <c:pt idx="8">
                  <c:v>2.9141774734081308E-3</c:v>
                </c:pt>
                <c:pt idx="9">
                  <c:v>2.831657935721365E-3</c:v>
                </c:pt>
                <c:pt idx="10">
                  <c:v>2.7162841233192994E-3</c:v>
                </c:pt>
              </c:numCache>
            </c:numRef>
          </c:xVal>
          <c:yVal>
            <c:numRef>
              <c:f>MgPO4!$J$42:$J$53</c:f>
              <c:numCache>
                <c:formatCode>0.00</c:formatCode>
                <c:ptCount val="12"/>
                <c:pt idx="0">
                  <c:v>-20.022562334498694</c:v>
                </c:pt>
                <c:pt idx="1">
                  <c:v>-21.430129907904877</c:v>
                </c:pt>
                <c:pt idx="2">
                  <c:v>-22.815620998579735</c:v>
                </c:pt>
                <c:pt idx="3">
                  <c:v>-23.5</c:v>
                </c:pt>
                <c:pt idx="4">
                  <c:v>-24.17877983154148</c:v>
                </c:pt>
                <c:pt idx="5">
                  <c:v>-25.519539257657918</c:v>
                </c:pt>
                <c:pt idx="6">
                  <c:v>-26.837977079563842</c:v>
                </c:pt>
                <c:pt idx="7">
                  <c:v>-28.134281984311389</c:v>
                </c:pt>
                <c:pt idx="8">
                  <c:v>-29.408726869115224</c:v>
                </c:pt>
                <c:pt idx="9">
                  <c:v>-30.661647891205718</c:v>
                </c:pt>
                <c:pt idx="10">
                  <c:v>-32.501519354898761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3-45F9-BFAC-ABB8E6824FE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MgPO4!$C$42:$C$53</c:f>
              <c:numCache>
                <c:formatCode>General</c:formatCode>
                <c:ptCount val="12"/>
                <c:pt idx="0">
                  <c:v>3.6609921288669233E-3</c:v>
                </c:pt>
                <c:pt idx="1">
                  <c:v>3.5316969803990822E-3</c:v>
                </c:pt>
                <c:pt idx="2">
                  <c:v>3.4112229234180458E-3</c:v>
                </c:pt>
                <c:pt idx="3">
                  <c:v>3.3540164346805303E-3</c:v>
                </c:pt>
                <c:pt idx="4">
                  <c:v>3.298697014679202E-3</c:v>
                </c:pt>
                <c:pt idx="5">
                  <c:v>3.1933578157432542E-3</c:v>
                </c:pt>
                <c:pt idx="6">
                  <c:v>3.0945381401825778E-3</c:v>
                </c:pt>
                <c:pt idx="7">
                  <c:v>3.0016509079993999E-3</c:v>
                </c:pt>
                <c:pt idx="8">
                  <c:v>2.9141774734081308E-3</c:v>
                </c:pt>
                <c:pt idx="9">
                  <c:v>2.831657935721365E-3</c:v>
                </c:pt>
                <c:pt idx="10">
                  <c:v>2.7162841233192994E-3</c:v>
                </c:pt>
              </c:numCache>
            </c:numRef>
          </c:xVal>
          <c:yVal>
            <c:numRef>
              <c:f>MgPO4!$K$42:$K$53</c:f>
              <c:numCache>
                <c:formatCode>0.00</c:formatCode>
                <c:ptCount val="12"/>
                <c:pt idx="0">
                  <c:v>-22.564359548500477</c:v>
                </c:pt>
                <c:pt idx="1">
                  <c:v>-23.666352600734292</c:v>
                </c:pt>
                <c:pt idx="2">
                  <c:v>-24.75822708331545</c:v>
                </c:pt>
                <c:pt idx="3">
                  <c:v>-25.3</c:v>
                </c:pt>
                <c:pt idx="4">
                  <c:v>-25.838837216829575</c:v>
                </c:pt>
                <c:pt idx="5">
                  <c:v>-26.907320785089713</c:v>
                </c:pt>
                <c:pt idx="6">
                  <c:v>-27.963042513306462</c:v>
                </c:pt>
                <c:pt idx="7">
                  <c:v>-29.005549175580388</c:v>
                </c:pt>
                <c:pt idx="8">
                  <c:v>-30.034533815611113</c:v>
                </c:pt>
                <c:pt idx="9">
                  <c:v>-31.04980709514945</c:v>
                </c:pt>
                <c:pt idx="10">
                  <c:v>-32.546822127420583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33-45F9-BFAC-ABB8E6824FE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MgPO4!$C$42:$C$53</c:f>
              <c:numCache>
                <c:formatCode>General</c:formatCode>
                <c:ptCount val="12"/>
                <c:pt idx="0">
                  <c:v>3.6609921288669233E-3</c:v>
                </c:pt>
                <c:pt idx="1">
                  <c:v>3.5316969803990822E-3</c:v>
                </c:pt>
                <c:pt idx="2">
                  <c:v>3.4112229234180458E-3</c:v>
                </c:pt>
                <c:pt idx="3">
                  <c:v>3.3540164346805303E-3</c:v>
                </c:pt>
                <c:pt idx="4">
                  <c:v>3.298697014679202E-3</c:v>
                </c:pt>
                <c:pt idx="5">
                  <c:v>3.1933578157432542E-3</c:v>
                </c:pt>
                <c:pt idx="6">
                  <c:v>3.0945381401825778E-3</c:v>
                </c:pt>
                <c:pt idx="7">
                  <c:v>3.0016509079993999E-3</c:v>
                </c:pt>
                <c:pt idx="8">
                  <c:v>2.9141774734081308E-3</c:v>
                </c:pt>
                <c:pt idx="9">
                  <c:v>2.831657935721365E-3</c:v>
                </c:pt>
                <c:pt idx="10">
                  <c:v>2.7162841233192994E-3</c:v>
                </c:pt>
              </c:numCache>
            </c:numRef>
          </c:xVal>
          <c:yVal>
            <c:numRef>
              <c:f>MgPO4!$L$42:$L$53</c:f>
              <c:numCache>
                <c:formatCode>0.00</c:formatCode>
                <c:ptCount val="12"/>
                <c:pt idx="0">
                  <c:v>-23.481204739432364</c:v>
                </c:pt>
                <c:pt idx="1">
                  <c:v>-23.269368068003686</c:v>
                </c:pt>
                <c:pt idx="2">
                  <c:v>-23.100212738531884</c:v>
                </c:pt>
                <c:pt idx="3">
                  <c:v>-23.03</c:v>
                </c:pt>
                <c:pt idx="4">
                  <c:v>-22.968583412838228</c:v>
                </c:pt>
                <c:pt idx="5">
                  <c:v>-22.870042795541607</c:v>
                </c:pt>
                <c:pt idx="6">
                  <c:v>-22.800755003098249</c:v>
                </c:pt>
                <c:pt idx="7">
                  <c:v>-22.757390602549268</c:v>
                </c:pt>
                <c:pt idx="8">
                  <c:v>-22.737048802589797</c:v>
                </c:pt>
                <c:pt idx="9">
                  <c:v>-22.737193319394766</c:v>
                </c:pt>
                <c:pt idx="10">
                  <c:v>-22.771028975276959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33-45F9-BFAC-ABB8E6824FE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MgPO4!$C$42:$C$53</c:f>
              <c:numCache>
                <c:formatCode>General</c:formatCode>
                <c:ptCount val="12"/>
                <c:pt idx="0">
                  <c:v>3.6609921288669233E-3</c:v>
                </c:pt>
                <c:pt idx="1">
                  <c:v>3.5316969803990822E-3</c:v>
                </c:pt>
                <c:pt idx="2">
                  <c:v>3.4112229234180458E-3</c:v>
                </c:pt>
                <c:pt idx="3">
                  <c:v>3.3540164346805303E-3</c:v>
                </c:pt>
                <c:pt idx="4">
                  <c:v>3.298697014679202E-3</c:v>
                </c:pt>
                <c:pt idx="5">
                  <c:v>3.1933578157432542E-3</c:v>
                </c:pt>
                <c:pt idx="6">
                  <c:v>3.0945381401825778E-3</c:v>
                </c:pt>
                <c:pt idx="7">
                  <c:v>3.0016509079993999E-3</c:v>
                </c:pt>
                <c:pt idx="8">
                  <c:v>2.9141774734081308E-3</c:v>
                </c:pt>
                <c:pt idx="9">
                  <c:v>2.831657935721365E-3</c:v>
                </c:pt>
                <c:pt idx="10">
                  <c:v>2.7162841233192994E-3</c:v>
                </c:pt>
              </c:numCache>
            </c:numRef>
          </c:xVal>
          <c:yVal>
            <c:numRef>
              <c:f>MgPO4!$H$42:$H$53</c:f>
              <c:numCache>
                <c:formatCode>0.00</c:formatCode>
                <c:ptCount val="12"/>
                <c:pt idx="0">
                  <c:v>-29.757112040058704</c:v>
                </c:pt>
                <c:pt idx="1">
                  <c:v>-29.26569414584953</c:v>
                </c:pt>
                <c:pt idx="2">
                  <c:v>-28.851242747833265</c:v>
                </c:pt>
                <c:pt idx="3">
                  <c:v>-28.67</c:v>
                </c:pt>
                <c:pt idx="4">
                  <c:v>-28.504707658806943</c:v>
                </c:pt>
                <c:pt idx="5">
                  <c:v>-28.218286316987012</c:v>
                </c:pt>
                <c:pt idx="6">
                  <c:v>-27.985222234353692</c:v>
                </c:pt>
                <c:pt idx="7">
                  <c:v>-27.799640766944048</c:v>
                </c:pt>
                <c:pt idx="8">
                  <c:v>-27.656414444538932</c:v>
                </c:pt>
                <c:pt idx="9">
                  <c:v>-27.551051881030503</c:v>
                </c:pt>
                <c:pt idx="10">
                  <c:v>-27.455497085906718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33-45F9-BFAC-ABB8E6824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81064"/>
        <c:axId val="654670008"/>
      </c:scatterChart>
      <c:valAx>
        <c:axId val="658381064"/>
        <c:scaling>
          <c:orientation val="minMax"/>
          <c:max val="3.700000000000001E-3"/>
          <c:min val="2.6000000000000007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Temperatue</a:t>
                </a:r>
                <a:r>
                  <a:rPr lang="en-GB" baseline="0"/>
                  <a:t> [C]</a:t>
                </a:r>
              </a:p>
            </c:rich>
          </c:tx>
          <c:layout>
            <c:manualLayout>
              <c:xMode val="edge"/>
              <c:yMode val="edge"/>
              <c:x val="0.43142935258092741"/>
              <c:y val="0.897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70008"/>
        <c:crossesAt val="-40"/>
        <c:crossBetween val="midCat"/>
      </c:valAx>
      <c:valAx>
        <c:axId val="654670008"/>
        <c:scaling>
          <c:orientation val="minMax"/>
          <c:max val="-19"/>
          <c:min val="-3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</a:t>
                </a:r>
                <a:r>
                  <a:rPr lang="en-GB" baseline="-25000"/>
                  <a:t>10</a:t>
                </a:r>
                <a:r>
                  <a:rPr lang="en-GB"/>
                  <a:t>K</a:t>
                </a:r>
                <a:r>
                  <a:rPr lang="en-GB" baseline="-25000"/>
                  <a:t>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8106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29865263925281"/>
          <c:y val="1.881968011539074E-2"/>
          <c:w val="0.84252820318443078"/>
          <c:h val="0.84522289385809246"/>
        </c:manualLayout>
      </c:layout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MgPO4!$C$42:$C$53</c:f>
              <c:numCache>
                <c:formatCode>General</c:formatCode>
                <c:ptCount val="12"/>
                <c:pt idx="0">
                  <c:v>3.6609921288669233E-3</c:v>
                </c:pt>
                <c:pt idx="1">
                  <c:v>3.5316969803990822E-3</c:v>
                </c:pt>
                <c:pt idx="2">
                  <c:v>3.4112229234180458E-3</c:v>
                </c:pt>
                <c:pt idx="3">
                  <c:v>3.3540164346805303E-3</c:v>
                </c:pt>
                <c:pt idx="4">
                  <c:v>3.298697014679202E-3</c:v>
                </c:pt>
                <c:pt idx="5">
                  <c:v>3.1933578157432542E-3</c:v>
                </c:pt>
                <c:pt idx="6">
                  <c:v>3.0945381401825778E-3</c:v>
                </c:pt>
                <c:pt idx="7">
                  <c:v>3.0016509079993999E-3</c:v>
                </c:pt>
                <c:pt idx="8">
                  <c:v>2.9141774734081308E-3</c:v>
                </c:pt>
                <c:pt idx="9">
                  <c:v>2.831657935721365E-3</c:v>
                </c:pt>
                <c:pt idx="10">
                  <c:v>2.7162841233192994E-3</c:v>
                </c:pt>
              </c:numCache>
            </c:numRef>
          </c:xVal>
          <c:yVal>
            <c:numRef>
              <c:f>MgPO4!$K$42:$K$53</c:f>
              <c:numCache>
                <c:formatCode>0.00</c:formatCode>
                <c:ptCount val="12"/>
                <c:pt idx="0">
                  <c:v>-22.564359548500477</c:v>
                </c:pt>
                <c:pt idx="1">
                  <c:v>-23.666352600734292</c:v>
                </c:pt>
                <c:pt idx="2">
                  <c:v>-24.75822708331545</c:v>
                </c:pt>
                <c:pt idx="3">
                  <c:v>-25.3</c:v>
                </c:pt>
                <c:pt idx="4">
                  <c:v>-25.838837216829575</c:v>
                </c:pt>
                <c:pt idx="5">
                  <c:v>-26.907320785089713</c:v>
                </c:pt>
                <c:pt idx="6">
                  <c:v>-27.963042513306462</c:v>
                </c:pt>
                <c:pt idx="7">
                  <c:v>-29.005549175580388</c:v>
                </c:pt>
                <c:pt idx="8">
                  <c:v>-30.034533815611113</c:v>
                </c:pt>
                <c:pt idx="9">
                  <c:v>-31.04980709514945</c:v>
                </c:pt>
                <c:pt idx="10">
                  <c:v>-32.546822127420583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C7-4BF3-B017-1F92603CBEEE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MgPO4!$R$92:$R$103</c:f>
                <c:numCache>
                  <c:formatCode>General</c:formatCode>
                  <c:ptCount val="12"/>
                  <c:pt idx="0">
                    <c:v>0.85</c:v>
                  </c:pt>
                  <c:pt idx="1">
                    <c:v>1.5</c:v>
                  </c:pt>
                  <c:pt idx="2">
                    <c:v>1.5</c:v>
                  </c:pt>
                  <c:pt idx="3">
                    <c:v>1.5</c:v>
                  </c:pt>
                  <c:pt idx="4">
                    <c:v>1.5</c:v>
                  </c:pt>
                  <c:pt idx="5">
                    <c:v>1.5</c:v>
                  </c:pt>
                  <c:pt idx="6">
                    <c:v>1.5</c:v>
                  </c:pt>
                  <c:pt idx="7">
                    <c:v>0.79</c:v>
                  </c:pt>
                  <c:pt idx="8">
                    <c:v>4.6100000000000003</c:v>
                  </c:pt>
                  <c:pt idx="9">
                    <c:v>1.69</c:v>
                  </c:pt>
                  <c:pt idx="10">
                    <c:v>1.1499999999999999</c:v>
                  </c:pt>
                  <c:pt idx="11">
                    <c:v>2.39</c:v>
                  </c:pt>
                </c:numCache>
              </c:numRef>
            </c:plus>
            <c:minus>
              <c:numRef>
                <c:f>MgPO4!$R$92:$R$103</c:f>
                <c:numCache>
                  <c:formatCode>General</c:formatCode>
                  <c:ptCount val="12"/>
                  <c:pt idx="0">
                    <c:v>0.85</c:v>
                  </c:pt>
                  <c:pt idx="1">
                    <c:v>1.5</c:v>
                  </c:pt>
                  <c:pt idx="2">
                    <c:v>1.5</c:v>
                  </c:pt>
                  <c:pt idx="3">
                    <c:v>1.5</c:v>
                  </c:pt>
                  <c:pt idx="4">
                    <c:v>1.5</c:v>
                  </c:pt>
                  <c:pt idx="5">
                    <c:v>1.5</c:v>
                  </c:pt>
                  <c:pt idx="6">
                    <c:v>1.5</c:v>
                  </c:pt>
                  <c:pt idx="7">
                    <c:v>0.79</c:v>
                  </c:pt>
                  <c:pt idx="8">
                    <c:v>4.6100000000000003</c:v>
                  </c:pt>
                  <c:pt idx="9">
                    <c:v>1.69</c:v>
                  </c:pt>
                  <c:pt idx="10">
                    <c:v>1.1499999999999999</c:v>
                  </c:pt>
                  <c:pt idx="11">
                    <c:v>2.39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MgPO4!$O$92:$O$103</c:f>
              <c:numCache>
                <c:formatCode>General</c:formatCode>
                <c:ptCount val="12"/>
                <c:pt idx="0">
                  <c:v>3.3540164346805303E-3</c:v>
                </c:pt>
                <c:pt idx="1">
                  <c:v>3.4112229234180458E-3</c:v>
                </c:pt>
                <c:pt idx="2">
                  <c:v>3.2451728054518907E-3</c:v>
                </c:pt>
                <c:pt idx="3">
                  <c:v>3.1431714600031434E-3</c:v>
                </c:pt>
                <c:pt idx="4">
                  <c:v>3.0473868657626088E-3</c:v>
                </c:pt>
                <c:pt idx="5">
                  <c:v>2.9572674848440043E-3</c:v>
                </c:pt>
                <c:pt idx="6">
                  <c:v>2.8723251472066642E-3</c:v>
                </c:pt>
                <c:pt idx="7">
                  <c:v>3.2346757237586934E-3</c:v>
                </c:pt>
                <c:pt idx="8">
                  <c:v>3.4112229234180458E-3</c:v>
                </c:pt>
                <c:pt idx="9">
                  <c:v>3.1933578157432542E-3</c:v>
                </c:pt>
                <c:pt idx="10">
                  <c:v>2.831657935721365E-3</c:v>
                </c:pt>
                <c:pt idx="11">
                  <c:v>2.7536830510808208E-3</c:v>
                </c:pt>
              </c:numCache>
            </c:numRef>
          </c:xVal>
          <c:yVal>
            <c:numRef>
              <c:f>MgPO4!$P$92:$P$103</c:f>
              <c:numCache>
                <c:formatCode>General</c:formatCode>
                <c:ptCount val="12"/>
                <c:pt idx="0" formatCode="0.00">
                  <c:v>-24.5</c:v>
                </c:pt>
                <c:pt idx="1">
                  <c:v>-24.44</c:v>
                </c:pt>
                <c:pt idx="2">
                  <c:v>-26.07</c:v>
                </c:pt>
                <c:pt idx="3">
                  <c:v>-27</c:v>
                </c:pt>
                <c:pt idx="4">
                  <c:v>-27.16</c:v>
                </c:pt>
                <c:pt idx="5">
                  <c:v>-30.82</c:v>
                </c:pt>
                <c:pt idx="6">
                  <c:v>-29.91</c:v>
                </c:pt>
                <c:pt idx="7">
                  <c:v>-24.81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C7-4BF3-B017-1F92603CBEEE}"/>
            </c:ext>
          </c:extLst>
        </c:ser>
        <c:ser>
          <c:idx val="1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MgPO4!$R$92:$R$103</c:f>
                <c:numCache>
                  <c:formatCode>General</c:formatCode>
                  <c:ptCount val="12"/>
                  <c:pt idx="0">
                    <c:v>0.85</c:v>
                  </c:pt>
                  <c:pt idx="1">
                    <c:v>1.5</c:v>
                  </c:pt>
                  <c:pt idx="2">
                    <c:v>1.5</c:v>
                  </c:pt>
                  <c:pt idx="3">
                    <c:v>1.5</c:v>
                  </c:pt>
                  <c:pt idx="4">
                    <c:v>1.5</c:v>
                  </c:pt>
                  <c:pt idx="5">
                    <c:v>1.5</c:v>
                  </c:pt>
                  <c:pt idx="6">
                    <c:v>1.5</c:v>
                  </c:pt>
                  <c:pt idx="7">
                    <c:v>0.79</c:v>
                  </c:pt>
                  <c:pt idx="8">
                    <c:v>4.6100000000000003</c:v>
                  </c:pt>
                  <c:pt idx="9">
                    <c:v>1.69</c:v>
                  </c:pt>
                  <c:pt idx="10">
                    <c:v>1.1499999999999999</c:v>
                  </c:pt>
                  <c:pt idx="11">
                    <c:v>2.39</c:v>
                  </c:pt>
                </c:numCache>
              </c:numRef>
            </c:plus>
            <c:minus>
              <c:numRef>
                <c:f>MgPO4!$R$92:$R$103</c:f>
                <c:numCache>
                  <c:formatCode>General</c:formatCode>
                  <c:ptCount val="12"/>
                  <c:pt idx="0">
                    <c:v>0.85</c:v>
                  </c:pt>
                  <c:pt idx="1">
                    <c:v>1.5</c:v>
                  </c:pt>
                  <c:pt idx="2">
                    <c:v>1.5</c:v>
                  </c:pt>
                  <c:pt idx="3">
                    <c:v>1.5</c:v>
                  </c:pt>
                  <c:pt idx="4">
                    <c:v>1.5</c:v>
                  </c:pt>
                  <c:pt idx="5">
                    <c:v>1.5</c:v>
                  </c:pt>
                  <c:pt idx="6">
                    <c:v>1.5</c:v>
                  </c:pt>
                  <c:pt idx="7">
                    <c:v>0.79</c:v>
                  </c:pt>
                  <c:pt idx="8">
                    <c:v>4.6100000000000003</c:v>
                  </c:pt>
                  <c:pt idx="9">
                    <c:v>1.69</c:v>
                  </c:pt>
                  <c:pt idx="10">
                    <c:v>1.1499999999999999</c:v>
                  </c:pt>
                  <c:pt idx="11">
                    <c:v>2.39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MgPO4!$O$92:$O$103</c:f>
              <c:numCache>
                <c:formatCode>General</c:formatCode>
                <c:ptCount val="12"/>
                <c:pt idx="0">
                  <c:v>3.3540164346805303E-3</c:v>
                </c:pt>
                <c:pt idx="1">
                  <c:v>3.4112229234180458E-3</c:v>
                </c:pt>
                <c:pt idx="2">
                  <c:v>3.2451728054518907E-3</c:v>
                </c:pt>
                <c:pt idx="3">
                  <c:v>3.1431714600031434E-3</c:v>
                </c:pt>
                <c:pt idx="4">
                  <c:v>3.0473868657626088E-3</c:v>
                </c:pt>
                <c:pt idx="5">
                  <c:v>2.9572674848440043E-3</c:v>
                </c:pt>
                <c:pt idx="6">
                  <c:v>2.8723251472066642E-3</c:v>
                </c:pt>
                <c:pt idx="7">
                  <c:v>3.2346757237586934E-3</c:v>
                </c:pt>
                <c:pt idx="8">
                  <c:v>3.4112229234180458E-3</c:v>
                </c:pt>
                <c:pt idx="9">
                  <c:v>3.1933578157432542E-3</c:v>
                </c:pt>
                <c:pt idx="10">
                  <c:v>2.831657935721365E-3</c:v>
                </c:pt>
                <c:pt idx="11">
                  <c:v>2.7536830510808208E-3</c:v>
                </c:pt>
              </c:numCache>
            </c:numRef>
          </c:xVal>
          <c:yVal>
            <c:numRef>
              <c:f>MgPO4!$Q$92:$Q$103</c:f>
              <c:numCache>
                <c:formatCode>General</c:formatCode>
                <c:ptCount val="12"/>
                <c:pt idx="8">
                  <c:v>-25</c:v>
                </c:pt>
                <c:pt idx="9">
                  <c:v>-26.23</c:v>
                </c:pt>
                <c:pt idx="10">
                  <c:v>-31.35</c:v>
                </c:pt>
                <c:pt idx="11">
                  <c:v>-32.159999999999997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C7-4BF3-B017-1F92603CBEEE}"/>
            </c:ext>
          </c:extLst>
        </c:ser>
        <c:ser>
          <c:idx val="3"/>
          <c:order val="3"/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MgPO4!$C$42:$C$52</c:f>
              <c:numCache>
                <c:formatCode>General</c:formatCode>
                <c:ptCount val="11"/>
                <c:pt idx="0">
                  <c:v>3.6609921288669233E-3</c:v>
                </c:pt>
                <c:pt idx="1">
                  <c:v>3.5316969803990822E-3</c:v>
                </c:pt>
                <c:pt idx="2">
                  <c:v>3.4112229234180458E-3</c:v>
                </c:pt>
                <c:pt idx="3">
                  <c:v>3.3540164346805303E-3</c:v>
                </c:pt>
                <c:pt idx="4">
                  <c:v>3.298697014679202E-3</c:v>
                </c:pt>
                <c:pt idx="5">
                  <c:v>3.1933578157432542E-3</c:v>
                </c:pt>
                <c:pt idx="6">
                  <c:v>3.0945381401825778E-3</c:v>
                </c:pt>
                <c:pt idx="7">
                  <c:v>3.0016509079993999E-3</c:v>
                </c:pt>
                <c:pt idx="8">
                  <c:v>2.9141774734081308E-3</c:v>
                </c:pt>
                <c:pt idx="9">
                  <c:v>2.831657935721365E-3</c:v>
                </c:pt>
                <c:pt idx="10">
                  <c:v>2.7162841233192994E-3</c:v>
                </c:pt>
              </c:numCache>
            </c:numRef>
          </c:xVal>
          <c:yVal>
            <c:numRef>
              <c:f>MgPO4!$M$42:$M$52</c:f>
              <c:numCache>
                <c:formatCode>0.00</c:formatCode>
                <c:ptCount val="11"/>
                <c:pt idx="0">
                  <c:v>-21.564359548500477</c:v>
                </c:pt>
                <c:pt idx="1">
                  <c:v>-22.666352600734292</c:v>
                </c:pt>
                <c:pt idx="2">
                  <c:v>-23.75822708331545</c:v>
                </c:pt>
                <c:pt idx="3">
                  <c:v>-24.3</c:v>
                </c:pt>
                <c:pt idx="4">
                  <c:v>-24.838837216829575</c:v>
                </c:pt>
                <c:pt idx="5">
                  <c:v>-25.907320785089713</c:v>
                </c:pt>
                <c:pt idx="6">
                  <c:v>-26.963042513306462</c:v>
                </c:pt>
                <c:pt idx="7">
                  <c:v>-28.005549175580388</c:v>
                </c:pt>
                <c:pt idx="8">
                  <c:v>-29.034533815611113</c:v>
                </c:pt>
                <c:pt idx="9">
                  <c:v>-30.04980709514945</c:v>
                </c:pt>
                <c:pt idx="10">
                  <c:v>-31.546822127420583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B-45D9-806D-091659DD9EDA}"/>
            </c:ext>
          </c:extLst>
        </c:ser>
        <c:ser>
          <c:idx val="4"/>
          <c:order val="4"/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MgPO4!$C$42:$C$52</c:f>
              <c:numCache>
                <c:formatCode>General</c:formatCode>
                <c:ptCount val="11"/>
                <c:pt idx="0">
                  <c:v>3.6609921288669233E-3</c:v>
                </c:pt>
                <c:pt idx="1">
                  <c:v>3.5316969803990822E-3</c:v>
                </c:pt>
                <c:pt idx="2">
                  <c:v>3.4112229234180458E-3</c:v>
                </c:pt>
                <c:pt idx="3">
                  <c:v>3.3540164346805303E-3</c:v>
                </c:pt>
                <c:pt idx="4">
                  <c:v>3.298697014679202E-3</c:v>
                </c:pt>
                <c:pt idx="5">
                  <c:v>3.1933578157432542E-3</c:v>
                </c:pt>
                <c:pt idx="6">
                  <c:v>3.0945381401825778E-3</c:v>
                </c:pt>
                <c:pt idx="7">
                  <c:v>3.0016509079993999E-3</c:v>
                </c:pt>
                <c:pt idx="8">
                  <c:v>2.9141774734081308E-3</c:v>
                </c:pt>
                <c:pt idx="9">
                  <c:v>2.831657935721365E-3</c:v>
                </c:pt>
                <c:pt idx="10">
                  <c:v>2.7162841233192994E-3</c:v>
                </c:pt>
              </c:numCache>
            </c:numRef>
          </c:xVal>
          <c:yVal>
            <c:numRef>
              <c:f>MgPO4!$N$42:$N$52</c:f>
              <c:numCache>
                <c:formatCode>0.00</c:formatCode>
                <c:ptCount val="11"/>
                <c:pt idx="0">
                  <c:v>-23.564359548500477</c:v>
                </c:pt>
                <c:pt idx="1">
                  <c:v>-24.666352600734292</c:v>
                </c:pt>
                <c:pt idx="2">
                  <c:v>-25.75822708331545</c:v>
                </c:pt>
                <c:pt idx="3">
                  <c:v>-26.3</c:v>
                </c:pt>
                <c:pt idx="4">
                  <c:v>-26.838837216829575</c:v>
                </c:pt>
                <c:pt idx="5">
                  <c:v>-27.907320785089713</c:v>
                </c:pt>
                <c:pt idx="6">
                  <c:v>-28.963042513306462</c:v>
                </c:pt>
                <c:pt idx="7">
                  <c:v>-30.005549175580388</c:v>
                </c:pt>
                <c:pt idx="8">
                  <c:v>-31.034533815611113</c:v>
                </c:pt>
                <c:pt idx="9">
                  <c:v>-32.049807095149454</c:v>
                </c:pt>
                <c:pt idx="10">
                  <c:v>-33.546822127420583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B-45D9-806D-091659DD9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81064"/>
        <c:axId val="654670008"/>
      </c:scatterChart>
      <c:valAx>
        <c:axId val="658381064"/>
        <c:scaling>
          <c:orientation val="minMax"/>
          <c:max val="3.700000000000001E-3"/>
          <c:min val="2.7000000000000006E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 / T</a:t>
                </a:r>
                <a:r>
                  <a:rPr lang="en-GB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[K]</a:t>
                </a:r>
              </a:p>
            </c:rich>
          </c:tx>
          <c:layout>
            <c:manualLayout>
              <c:xMode val="edge"/>
              <c:yMode val="edge"/>
              <c:x val="0.47336099944003041"/>
              <c:y val="0.93176282635950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4670008"/>
        <c:crossesAt val="-40"/>
        <c:crossBetween val="midCat"/>
        <c:minorUnit val="5.0000000000000023E-5"/>
      </c:valAx>
      <c:valAx>
        <c:axId val="654670008"/>
        <c:scaling>
          <c:orientation val="minMax"/>
          <c:max val="-19"/>
          <c:min val="-3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</a:t>
                </a:r>
                <a:r>
                  <a:rPr lang="en-GB" sz="140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10</a:t>
                </a:r>
                <a:r>
                  <a:rPr lang="en-GB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en-GB" sz="140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  <a:r>
                  <a:rPr lang="en-GB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°</a:t>
                </a:r>
              </a:p>
            </c:rich>
          </c:tx>
          <c:layout>
            <c:manualLayout>
              <c:xMode val="edge"/>
              <c:yMode val="edge"/>
              <c:x val="5.8781947320598413E-3"/>
              <c:y val="0.35980172345738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8381064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1714785651796"/>
          <c:y val="4.394685039370079E-2"/>
          <c:w val="0.83623840769903757"/>
          <c:h val="0.82260984306379492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MgPO4!$C$42:$C$53</c:f>
              <c:numCache>
                <c:formatCode>General</c:formatCode>
                <c:ptCount val="12"/>
                <c:pt idx="0">
                  <c:v>3.6609921288669233E-3</c:v>
                </c:pt>
                <c:pt idx="1">
                  <c:v>3.5316969803990822E-3</c:v>
                </c:pt>
                <c:pt idx="2">
                  <c:v>3.4112229234180458E-3</c:v>
                </c:pt>
                <c:pt idx="3">
                  <c:v>3.3540164346805303E-3</c:v>
                </c:pt>
                <c:pt idx="4">
                  <c:v>3.298697014679202E-3</c:v>
                </c:pt>
                <c:pt idx="5">
                  <c:v>3.1933578157432542E-3</c:v>
                </c:pt>
                <c:pt idx="6">
                  <c:v>3.0945381401825778E-3</c:v>
                </c:pt>
                <c:pt idx="7">
                  <c:v>3.0016509079993999E-3</c:v>
                </c:pt>
                <c:pt idx="8">
                  <c:v>2.9141774734081308E-3</c:v>
                </c:pt>
                <c:pt idx="9">
                  <c:v>2.831657935721365E-3</c:v>
                </c:pt>
                <c:pt idx="10">
                  <c:v>2.7162841233192994E-3</c:v>
                </c:pt>
              </c:numCache>
            </c:numRef>
          </c:xVal>
          <c:yVal>
            <c:numRef>
              <c:f>MgPO4!$J$42:$J$53</c:f>
              <c:numCache>
                <c:formatCode>0.00</c:formatCode>
                <c:ptCount val="12"/>
                <c:pt idx="0">
                  <c:v>-20.022562334498694</c:v>
                </c:pt>
                <c:pt idx="1">
                  <c:v>-21.430129907904877</c:v>
                </c:pt>
                <c:pt idx="2">
                  <c:v>-22.815620998579735</c:v>
                </c:pt>
                <c:pt idx="3">
                  <c:v>-23.5</c:v>
                </c:pt>
                <c:pt idx="4">
                  <c:v>-24.17877983154148</c:v>
                </c:pt>
                <c:pt idx="5">
                  <c:v>-25.519539257657918</c:v>
                </c:pt>
                <c:pt idx="6">
                  <c:v>-26.837977079563842</c:v>
                </c:pt>
                <c:pt idx="7">
                  <c:v>-28.134281984311389</c:v>
                </c:pt>
                <c:pt idx="8">
                  <c:v>-29.408726869115224</c:v>
                </c:pt>
                <c:pt idx="9">
                  <c:v>-30.661647891205718</c:v>
                </c:pt>
                <c:pt idx="10">
                  <c:v>-32.501519354898761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54-4358-92B4-1FA4E5F85B36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MgPO4!$AD$92:$AD$97</c:f>
                <c:numCache>
                  <c:formatCode>General</c:formatCode>
                  <c:ptCount val="6"/>
                  <c:pt idx="0">
                    <c:v>0.8</c:v>
                  </c:pt>
                  <c:pt idx="1">
                    <c:v>1.5</c:v>
                  </c:pt>
                  <c:pt idx="2">
                    <c:v>1.1599999999999999</c:v>
                  </c:pt>
                  <c:pt idx="3">
                    <c:v>1.5</c:v>
                  </c:pt>
                  <c:pt idx="4">
                    <c:v>1.7</c:v>
                  </c:pt>
                  <c:pt idx="5">
                    <c:v>1.5</c:v>
                  </c:pt>
                </c:numCache>
              </c:numRef>
            </c:plus>
            <c:minus>
              <c:numRef>
                <c:f>MgPO4!$AD$92:$AD$97</c:f>
                <c:numCache>
                  <c:formatCode>General</c:formatCode>
                  <c:ptCount val="6"/>
                  <c:pt idx="0">
                    <c:v>0.8</c:v>
                  </c:pt>
                  <c:pt idx="1">
                    <c:v>1.5</c:v>
                  </c:pt>
                  <c:pt idx="2">
                    <c:v>1.1599999999999999</c:v>
                  </c:pt>
                  <c:pt idx="3">
                    <c:v>1.5</c:v>
                  </c:pt>
                  <c:pt idx="4">
                    <c:v>1.7</c:v>
                  </c:pt>
                  <c:pt idx="5">
                    <c:v>1.5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MgPO4!$AA$92:$AA$97</c:f>
              <c:numCache>
                <c:formatCode>General</c:formatCode>
                <c:ptCount val="6"/>
                <c:pt idx="0">
                  <c:v>3.2138839787883662E-3</c:v>
                </c:pt>
                <c:pt idx="1">
                  <c:v>2.7921262041044259E-3</c:v>
                </c:pt>
                <c:pt idx="2">
                  <c:v>3.4112229234180458E-3</c:v>
                </c:pt>
                <c:pt idx="3">
                  <c:v>3.1933578157432542E-3</c:v>
                </c:pt>
                <c:pt idx="4">
                  <c:v>3.0945381401825778E-3</c:v>
                </c:pt>
                <c:pt idx="5">
                  <c:v>2.831657935721365E-3</c:v>
                </c:pt>
              </c:numCache>
            </c:numRef>
          </c:xVal>
          <c:yVal>
            <c:numRef>
              <c:f>MgPO4!$AB$92:$AB$97</c:f>
              <c:numCache>
                <c:formatCode>General</c:formatCode>
                <c:ptCount val="6"/>
                <c:pt idx="0" formatCode="0.00">
                  <c:v>-25.09</c:v>
                </c:pt>
                <c:pt idx="1">
                  <c:v>-30.26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54-4358-92B4-1FA4E5F85B36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MgPO4!$AD$92:$AD$97</c:f>
                <c:numCache>
                  <c:formatCode>General</c:formatCode>
                  <c:ptCount val="6"/>
                  <c:pt idx="0">
                    <c:v>0.8</c:v>
                  </c:pt>
                  <c:pt idx="1">
                    <c:v>1.5</c:v>
                  </c:pt>
                  <c:pt idx="2">
                    <c:v>1.1599999999999999</c:v>
                  </c:pt>
                  <c:pt idx="3">
                    <c:v>1.5</c:v>
                  </c:pt>
                  <c:pt idx="4">
                    <c:v>1.7</c:v>
                  </c:pt>
                  <c:pt idx="5">
                    <c:v>1.5</c:v>
                  </c:pt>
                </c:numCache>
              </c:numRef>
            </c:plus>
            <c:minus>
              <c:numRef>
                <c:f>MgPO4!$AD$92:$AD$97</c:f>
                <c:numCache>
                  <c:formatCode>General</c:formatCode>
                  <c:ptCount val="6"/>
                  <c:pt idx="0">
                    <c:v>0.8</c:v>
                  </c:pt>
                  <c:pt idx="1">
                    <c:v>1.5</c:v>
                  </c:pt>
                  <c:pt idx="2">
                    <c:v>1.1599999999999999</c:v>
                  </c:pt>
                  <c:pt idx="3">
                    <c:v>1.5</c:v>
                  </c:pt>
                  <c:pt idx="4">
                    <c:v>1.7</c:v>
                  </c:pt>
                  <c:pt idx="5">
                    <c:v>1.5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MgPO4!$AA$92:$AA$97</c:f>
              <c:numCache>
                <c:formatCode>General</c:formatCode>
                <c:ptCount val="6"/>
                <c:pt idx="0">
                  <c:v>3.2138839787883662E-3</c:v>
                </c:pt>
                <c:pt idx="1">
                  <c:v>2.7921262041044259E-3</c:v>
                </c:pt>
                <c:pt idx="2">
                  <c:v>3.4112229234180458E-3</c:v>
                </c:pt>
                <c:pt idx="3">
                  <c:v>3.1933578157432542E-3</c:v>
                </c:pt>
                <c:pt idx="4">
                  <c:v>3.0945381401825778E-3</c:v>
                </c:pt>
                <c:pt idx="5">
                  <c:v>2.831657935721365E-3</c:v>
                </c:pt>
              </c:numCache>
            </c:numRef>
          </c:xVal>
          <c:yVal>
            <c:numRef>
              <c:f>MgPO4!$AC$92:$AC$97</c:f>
              <c:numCache>
                <c:formatCode>General</c:formatCode>
                <c:ptCount val="6"/>
                <c:pt idx="2">
                  <c:v>-22.99</c:v>
                </c:pt>
                <c:pt idx="3">
                  <c:v>-26.52</c:v>
                </c:pt>
                <c:pt idx="4">
                  <c:v>-27.67</c:v>
                </c:pt>
                <c:pt idx="5">
                  <c:v>-31.18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54-4358-92B4-1FA4E5F85B36}"/>
            </c:ext>
          </c:extLst>
        </c:ser>
        <c:ser>
          <c:idx val="3"/>
          <c:order val="3"/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MgPO4!$C$42:$C$52</c:f>
              <c:numCache>
                <c:formatCode>General</c:formatCode>
                <c:ptCount val="11"/>
                <c:pt idx="0">
                  <c:v>3.6609921288669233E-3</c:v>
                </c:pt>
                <c:pt idx="1">
                  <c:v>3.5316969803990822E-3</c:v>
                </c:pt>
                <c:pt idx="2">
                  <c:v>3.4112229234180458E-3</c:v>
                </c:pt>
                <c:pt idx="3">
                  <c:v>3.3540164346805303E-3</c:v>
                </c:pt>
                <c:pt idx="4">
                  <c:v>3.298697014679202E-3</c:v>
                </c:pt>
                <c:pt idx="5">
                  <c:v>3.1933578157432542E-3</c:v>
                </c:pt>
                <c:pt idx="6">
                  <c:v>3.0945381401825778E-3</c:v>
                </c:pt>
                <c:pt idx="7">
                  <c:v>3.0016509079993999E-3</c:v>
                </c:pt>
                <c:pt idx="8">
                  <c:v>2.9141774734081308E-3</c:v>
                </c:pt>
                <c:pt idx="9">
                  <c:v>2.831657935721365E-3</c:v>
                </c:pt>
                <c:pt idx="10">
                  <c:v>2.7162841233192994E-3</c:v>
                </c:pt>
              </c:numCache>
            </c:numRef>
          </c:xVal>
          <c:yVal>
            <c:numRef>
              <c:f>MgPO4!$O$42:$O$52</c:f>
              <c:numCache>
                <c:formatCode>0.00</c:formatCode>
                <c:ptCount val="11"/>
                <c:pt idx="0">
                  <c:v>-18.268603645763356</c:v>
                </c:pt>
                <c:pt idx="1">
                  <c:v>-20.414921398292183</c:v>
                </c:pt>
                <c:pt idx="2">
                  <c:v>-22.488761837175637</c:v>
                </c:pt>
                <c:pt idx="3">
                  <c:v>-23.5</c:v>
                </c:pt>
                <c:pt idx="4">
                  <c:v>-24.494856899546139</c:v>
                </c:pt>
                <c:pt idx="5">
                  <c:v>-26.437490046407195</c:v>
                </c:pt>
                <c:pt idx="6">
                  <c:v>-28.320551165369377</c:v>
                </c:pt>
                <c:pt idx="7">
                  <c:v>-30.147583326527453</c:v>
                </c:pt>
                <c:pt idx="8">
                  <c:v>-31.921822799438711</c:v>
                </c:pt>
                <c:pt idx="9">
                  <c:v>-33.646233463403732</c:v>
                </c:pt>
                <c:pt idx="10">
                  <c:v>-36.145313146338559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54-4358-92B4-1FA4E5F85B36}"/>
            </c:ext>
          </c:extLst>
        </c:ser>
        <c:ser>
          <c:idx val="4"/>
          <c:order val="4"/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MgPO4!$C$42:$C$52</c:f>
              <c:numCache>
                <c:formatCode>General</c:formatCode>
                <c:ptCount val="11"/>
                <c:pt idx="0">
                  <c:v>3.6609921288669233E-3</c:v>
                </c:pt>
                <c:pt idx="1">
                  <c:v>3.5316969803990822E-3</c:v>
                </c:pt>
                <c:pt idx="2">
                  <c:v>3.4112229234180458E-3</c:v>
                </c:pt>
                <c:pt idx="3">
                  <c:v>3.3540164346805303E-3</c:v>
                </c:pt>
                <c:pt idx="4">
                  <c:v>3.298697014679202E-3</c:v>
                </c:pt>
                <c:pt idx="5">
                  <c:v>3.1933578157432542E-3</c:v>
                </c:pt>
                <c:pt idx="6">
                  <c:v>3.0945381401825778E-3</c:v>
                </c:pt>
                <c:pt idx="7">
                  <c:v>3.0016509079993999E-3</c:v>
                </c:pt>
                <c:pt idx="8">
                  <c:v>2.9141774734081308E-3</c:v>
                </c:pt>
                <c:pt idx="9">
                  <c:v>2.831657935721365E-3</c:v>
                </c:pt>
                <c:pt idx="10">
                  <c:v>2.7162841233192994E-3</c:v>
                </c:pt>
              </c:numCache>
            </c:numRef>
          </c:xVal>
          <c:yVal>
            <c:numRef>
              <c:f>MgPO4!$P$42:$P$52</c:f>
              <c:numCache>
                <c:formatCode>0.00</c:formatCode>
                <c:ptCount val="11"/>
                <c:pt idx="0">
                  <c:v>-18.799719991524526</c:v>
                </c:pt>
                <c:pt idx="1">
                  <c:v>-20.722336753781494</c:v>
                </c:pt>
                <c:pt idx="2">
                  <c:v>-22.587738081313219</c:v>
                </c:pt>
                <c:pt idx="3">
                  <c:v>-23.5</c:v>
                </c:pt>
                <c:pt idx="4">
                  <c:v>-24.054541772106766</c:v>
                </c:pt>
                <c:pt idx="5">
                  <c:v>-25.158727176697038</c:v>
                </c:pt>
                <c:pt idx="6">
                  <c:v>-26.255232723728572</c:v>
                </c:pt>
                <c:pt idx="7">
                  <c:v>-27.342928617889555</c:v>
                </c:pt>
                <c:pt idx="8">
                  <c:v>-28.420922965694853</c:v>
                </c:pt>
                <c:pt idx="9">
                  <c:v>-29.488519065228175</c:v>
                </c:pt>
                <c:pt idx="10">
                  <c:v>-31.069280463015378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2-4716-915C-1AA0A4C20344}"/>
            </c:ext>
          </c:extLst>
        </c:ser>
        <c:ser>
          <c:idx val="5"/>
          <c:order val="5"/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MgPO4!$C$42:$C$52</c:f>
              <c:numCache>
                <c:formatCode>General</c:formatCode>
                <c:ptCount val="11"/>
                <c:pt idx="0">
                  <c:v>3.6609921288669233E-3</c:v>
                </c:pt>
                <c:pt idx="1">
                  <c:v>3.5316969803990822E-3</c:v>
                </c:pt>
                <c:pt idx="2">
                  <c:v>3.4112229234180458E-3</c:v>
                </c:pt>
                <c:pt idx="3">
                  <c:v>3.3540164346805303E-3</c:v>
                </c:pt>
                <c:pt idx="4">
                  <c:v>3.298697014679202E-3</c:v>
                </c:pt>
                <c:pt idx="5">
                  <c:v>3.1933578157432542E-3</c:v>
                </c:pt>
                <c:pt idx="6">
                  <c:v>3.0945381401825778E-3</c:v>
                </c:pt>
                <c:pt idx="7">
                  <c:v>3.0016509079993999E-3</c:v>
                </c:pt>
                <c:pt idx="8">
                  <c:v>2.9141774734081308E-3</c:v>
                </c:pt>
                <c:pt idx="9">
                  <c:v>2.831657935721365E-3</c:v>
                </c:pt>
                <c:pt idx="10">
                  <c:v>2.7162841233192994E-3</c:v>
                </c:pt>
              </c:numCache>
            </c:numRef>
          </c:xVal>
          <c:yVal>
            <c:numRef>
              <c:f>MgPO4!$Q$42:$Q$52</c:f>
              <c:numCache>
                <c:formatCode>0.00</c:formatCode>
                <c:ptCount val="11"/>
                <c:pt idx="0">
                  <c:v>-20.711977815326691</c:v>
                </c:pt>
                <c:pt idx="1">
                  <c:v>-21.829170356970394</c:v>
                </c:pt>
                <c:pt idx="2">
                  <c:v>-22.944097095177497</c:v>
                </c:pt>
                <c:pt idx="3">
                  <c:v>-23.5</c:v>
                </c:pt>
                <c:pt idx="4">
                  <c:v>-24.399145581819162</c:v>
                </c:pt>
                <c:pt idx="5">
                  <c:v>-26.159525307761822</c:v>
                </c:pt>
                <c:pt idx="6">
                  <c:v>-27.871612809049822</c:v>
                </c:pt>
                <c:pt idx="7">
                  <c:v>-29.537935414828432</c:v>
                </c:pt>
                <c:pt idx="8">
                  <c:v>-31.160832055681187</c:v>
                </c:pt>
                <c:pt idx="9">
                  <c:v>-32.742470910215964</c:v>
                </c:pt>
                <c:pt idx="10">
                  <c:v>-35.041935708975913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32-4716-915C-1AA0A4C20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81064"/>
        <c:axId val="654670008"/>
      </c:scatterChart>
      <c:valAx>
        <c:axId val="658381064"/>
        <c:scaling>
          <c:orientation val="minMax"/>
          <c:max val="3.700000000000001E-3"/>
          <c:min val="2.7000000000000006E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 / T [K]</a:t>
                </a:r>
                <a:endParaRPr lang="en-GB" sz="140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9067923491352389"/>
              <c:y val="0.93047317527333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4670008"/>
        <c:crossesAt val="-40"/>
        <c:crossBetween val="midCat"/>
        <c:minorUnit val="5.0000000000000023E-5"/>
      </c:valAx>
      <c:valAx>
        <c:axId val="654670008"/>
        <c:scaling>
          <c:orientation val="minMax"/>
          <c:max val="-19"/>
          <c:min val="-3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</a:t>
                </a:r>
                <a:r>
                  <a:rPr lang="en-GB" sz="140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10</a:t>
                </a:r>
                <a:r>
                  <a:rPr lang="en-GB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en-GB" sz="140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  <a:r>
                  <a:rPr lang="en-GB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°</a:t>
                </a:r>
              </a:p>
            </c:rich>
          </c:tx>
          <c:layout>
            <c:manualLayout>
              <c:xMode val="edge"/>
              <c:yMode val="edge"/>
              <c:x val="2.035123364781709E-3"/>
              <c:y val="0.38546246949579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8381064"/>
        <c:crosses val="autoZero"/>
        <c:crossBetween val="midCat"/>
        <c:minorUnit val="0.5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1714785651796"/>
          <c:y val="4.394685039370079E-2"/>
          <c:w val="0.83623840769903757"/>
          <c:h val="0.78574803149606298"/>
        </c:manualLayout>
      </c:layout>
      <c:scatterChart>
        <c:scatterStyle val="line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MgPO4!$C$42:$C$53</c:f>
              <c:numCache>
                <c:formatCode>General</c:formatCode>
                <c:ptCount val="12"/>
                <c:pt idx="0">
                  <c:v>3.6609921288669233E-3</c:v>
                </c:pt>
                <c:pt idx="1">
                  <c:v>3.5316969803990822E-3</c:v>
                </c:pt>
                <c:pt idx="2">
                  <c:v>3.4112229234180458E-3</c:v>
                </c:pt>
                <c:pt idx="3">
                  <c:v>3.3540164346805303E-3</c:v>
                </c:pt>
                <c:pt idx="4">
                  <c:v>3.298697014679202E-3</c:v>
                </c:pt>
                <c:pt idx="5">
                  <c:v>3.1933578157432542E-3</c:v>
                </c:pt>
                <c:pt idx="6">
                  <c:v>3.0945381401825778E-3</c:v>
                </c:pt>
                <c:pt idx="7">
                  <c:v>3.0016509079993999E-3</c:v>
                </c:pt>
                <c:pt idx="8">
                  <c:v>2.9141774734081308E-3</c:v>
                </c:pt>
                <c:pt idx="9">
                  <c:v>2.831657935721365E-3</c:v>
                </c:pt>
                <c:pt idx="10">
                  <c:v>2.7162841233192994E-3</c:v>
                </c:pt>
              </c:numCache>
            </c:numRef>
          </c:xVal>
          <c:yVal>
            <c:numRef>
              <c:f>MgPO4!$L$42:$L$53</c:f>
              <c:numCache>
                <c:formatCode>0.00</c:formatCode>
                <c:ptCount val="12"/>
                <c:pt idx="0">
                  <c:v>-23.481204739432364</c:v>
                </c:pt>
                <c:pt idx="1">
                  <c:v>-23.269368068003686</c:v>
                </c:pt>
                <c:pt idx="2">
                  <c:v>-23.100212738531884</c:v>
                </c:pt>
                <c:pt idx="3">
                  <c:v>-23.03</c:v>
                </c:pt>
                <c:pt idx="4">
                  <c:v>-22.968583412838228</c:v>
                </c:pt>
                <c:pt idx="5">
                  <c:v>-22.870042795541607</c:v>
                </c:pt>
                <c:pt idx="6">
                  <c:v>-22.800755003098249</c:v>
                </c:pt>
                <c:pt idx="7">
                  <c:v>-22.757390602549268</c:v>
                </c:pt>
                <c:pt idx="8">
                  <c:v>-22.737048802589797</c:v>
                </c:pt>
                <c:pt idx="9">
                  <c:v>-22.737193319394766</c:v>
                </c:pt>
                <c:pt idx="10">
                  <c:v>-22.771028975276959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70-4E68-91CA-5F25FABC56B7}"/>
            </c:ext>
          </c:extLst>
        </c:ser>
        <c:ser>
          <c:idx val="4"/>
          <c:order val="1"/>
          <c:spPr>
            <a:ln w="1905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MgPO4!$U$92:$U$99</c:f>
              <c:numCache>
                <c:formatCode>General</c:formatCode>
                <c:ptCount val="8"/>
                <c:pt idx="0">
                  <c:v>3.3540164346805303E-3</c:v>
                </c:pt>
                <c:pt idx="1">
                  <c:v>3.3540164346805303E-3</c:v>
                </c:pt>
                <c:pt idx="2">
                  <c:v>3.5951824555096176E-3</c:v>
                </c:pt>
                <c:pt idx="3">
                  <c:v>3.5069261792039282E-3</c:v>
                </c:pt>
                <c:pt idx="4">
                  <c:v>3.4112229234180458E-3</c:v>
                </c:pt>
                <c:pt idx="5">
                  <c:v>3.5951824555096176E-3</c:v>
                </c:pt>
                <c:pt idx="6">
                  <c:v>3.4112229234180458E-3</c:v>
                </c:pt>
                <c:pt idx="7">
                  <c:v>3.1933578157432542E-3</c:v>
                </c:pt>
              </c:numCache>
            </c:numRef>
          </c:xVal>
          <c:yVal>
            <c:numRef>
              <c:f>MgPO4!$V$92:$V$99</c:f>
              <c:numCache>
                <c:formatCode>General</c:formatCode>
                <c:ptCount val="8"/>
                <c:pt idx="0" formatCode="0.00">
                  <c:v>-23.03</c:v>
                </c:pt>
                <c:pt idx="1">
                  <c:v>-22.9</c:v>
                </c:pt>
                <c:pt idx="2">
                  <c:v>-23.94</c:v>
                </c:pt>
                <c:pt idx="3">
                  <c:v>-23.75</c:v>
                </c:pt>
                <c:pt idx="4">
                  <c:v>-23.35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70-4E68-91CA-5F25FABC56B7}"/>
            </c:ext>
          </c:extLst>
        </c:ser>
        <c:ser>
          <c:idx val="5"/>
          <c:order val="2"/>
          <c:spPr>
            <a:ln w="1905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MgPO4!$U$92:$U$99</c:f>
              <c:numCache>
                <c:formatCode>General</c:formatCode>
                <c:ptCount val="8"/>
                <c:pt idx="0">
                  <c:v>3.3540164346805303E-3</c:v>
                </c:pt>
                <c:pt idx="1">
                  <c:v>3.3540164346805303E-3</c:v>
                </c:pt>
                <c:pt idx="2">
                  <c:v>3.5951824555096176E-3</c:v>
                </c:pt>
                <c:pt idx="3">
                  <c:v>3.5069261792039282E-3</c:v>
                </c:pt>
                <c:pt idx="4">
                  <c:v>3.4112229234180458E-3</c:v>
                </c:pt>
                <c:pt idx="5">
                  <c:v>3.5951824555096176E-3</c:v>
                </c:pt>
                <c:pt idx="6">
                  <c:v>3.4112229234180458E-3</c:v>
                </c:pt>
                <c:pt idx="7">
                  <c:v>3.1933578157432542E-3</c:v>
                </c:pt>
              </c:numCache>
            </c:numRef>
          </c:xVal>
          <c:yVal>
            <c:numRef>
              <c:f>MgPO4!$W$92:$W$99</c:f>
              <c:numCache>
                <c:formatCode>General</c:formatCode>
                <c:ptCount val="8"/>
                <c:pt idx="5">
                  <c:v>-23.3</c:v>
                </c:pt>
                <c:pt idx="6">
                  <c:v>-23.97</c:v>
                </c:pt>
                <c:pt idx="7">
                  <c:v>-24.28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70-4E68-91CA-5F25FABC5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81064"/>
        <c:axId val="654670008"/>
      </c:scatterChart>
      <c:valAx>
        <c:axId val="658381064"/>
        <c:scaling>
          <c:orientation val="minMax"/>
          <c:max val="3.700000000000001E-3"/>
          <c:min val="2.6000000000000007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Temperatue</a:t>
                </a:r>
                <a:r>
                  <a:rPr lang="en-GB" baseline="0"/>
                  <a:t> [C]</a:t>
                </a:r>
              </a:p>
            </c:rich>
          </c:tx>
          <c:layout>
            <c:manualLayout>
              <c:xMode val="edge"/>
              <c:yMode val="edge"/>
              <c:x val="0.43142935258092741"/>
              <c:y val="0.897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70008"/>
        <c:crossesAt val="-40"/>
        <c:crossBetween val="midCat"/>
      </c:valAx>
      <c:valAx>
        <c:axId val="654670008"/>
        <c:scaling>
          <c:orientation val="minMax"/>
          <c:max val="-19"/>
          <c:min val="-3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</a:t>
                </a:r>
                <a:r>
                  <a:rPr lang="en-GB" baseline="-25000"/>
                  <a:t>10</a:t>
                </a:r>
                <a:r>
                  <a:rPr lang="en-GB"/>
                  <a:t>K</a:t>
                </a:r>
                <a:r>
                  <a:rPr lang="en-GB" baseline="-25000"/>
                  <a:t>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8106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21431</xdr:rowOff>
    </xdr:from>
    <xdr:to>
      <xdr:col>6</xdr:col>
      <xdr:colOff>0</xdr:colOff>
      <xdr:row>71</xdr:row>
      <xdr:rowOff>11906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47A97F0-D81C-4C22-9162-D720A9CFF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</xdr:colOff>
      <xdr:row>54</xdr:row>
      <xdr:rowOff>9525</xdr:rowOff>
    </xdr:from>
    <xdr:to>
      <xdr:col>11</xdr:col>
      <xdr:colOff>723899</xdr:colOff>
      <xdr:row>71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1238FC-EC78-4E81-9D0C-9ECE8556A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9526</xdr:colOff>
      <xdr:row>54</xdr:row>
      <xdr:rowOff>14288</xdr:rowOff>
    </xdr:from>
    <xdr:to>
      <xdr:col>18</xdr:col>
      <xdr:colOff>9526</xdr:colOff>
      <xdr:row>71</xdr:row>
      <xdr:rowOff>4763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CABE74B-D6A1-47F5-826B-9157F0E7E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219397</xdr:colOff>
      <xdr:row>103</xdr:row>
      <xdr:rowOff>127839</xdr:rowOff>
    </xdr:from>
    <xdr:to>
      <xdr:col>16</xdr:col>
      <xdr:colOff>139128</xdr:colOff>
      <xdr:row>131</xdr:row>
      <xdr:rowOff>128426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989F745-64A6-4AF6-9107-48E6A82B7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72</xdr:row>
      <xdr:rowOff>0</xdr:rowOff>
    </xdr:from>
    <xdr:to>
      <xdr:col>11</xdr:col>
      <xdr:colOff>709612</xdr:colOff>
      <xdr:row>88</xdr:row>
      <xdr:rowOff>152400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4578F37-9414-44A6-AE5A-4A07F464E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23815</xdr:colOff>
      <xdr:row>72</xdr:row>
      <xdr:rowOff>0</xdr:rowOff>
    </xdr:from>
    <xdr:to>
      <xdr:col>18</xdr:col>
      <xdr:colOff>23815</xdr:colOff>
      <xdr:row>88</xdr:row>
      <xdr:rowOff>152400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97D641D4-85E0-4B02-90FB-3AB23A47C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230099</xdr:colOff>
      <xdr:row>103</xdr:row>
      <xdr:rowOff>123075</xdr:rowOff>
    </xdr:from>
    <xdr:to>
      <xdr:col>24</xdr:col>
      <xdr:colOff>208695</xdr:colOff>
      <xdr:row>131</xdr:row>
      <xdr:rowOff>112373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D7793EE-92FD-40E0-9F15-F58F0F509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395395</xdr:colOff>
      <xdr:row>103</xdr:row>
      <xdr:rowOff>149831</xdr:rowOff>
    </xdr:from>
    <xdr:to>
      <xdr:col>32</xdr:col>
      <xdr:colOff>321068</xdr:colOff>
      <xdr:row>131</xdr:row>
      <xdr:rowOff>133777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4921355-8C51-4E0C-8004-6E5BE6FFE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542920</xdr:colOff>
      <xdr:row>54</xdr:row>
      <xdr:rowOff>0</xdr:rowOff>
    </xdr:from>
    <xdr:to>
      <xdr:col>23</xdr:col>
      <xdr:colOff>542920</xdr:colOff>
      <xdr:row>70</xdr:row>
      <xdr:rowOff>152400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3BCF7903-A56D-449A-B074-8CC0BD416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0.17049</cdr:x>
      <cdr:y>0.14526</cdr:y>
    </cdr:from>
    <cdr:to>
      <cdr:x>0.46216</cdr:x>
      <cdr:y>0.27199</cdr:y>
    </cdr:to>
    <cdr:sp macro="" textlink="">
      <cdr:nvSpPr>
        <cdr:cNvPr id="3" name="Textfeld 1">
          <a:extLst xmlns:a="http://schemas.openxmlformats.org/drawingml/2006/main">
            <a:ext uri="{FF2B5EF4-FFF2-40B4-BE49-F238E27FC236}">
              <a16:creationId xmlns:a16="http://schemas.microsoft.com/office/drawing/2014/main" id="{585EAFC4-198E-4C18-85BA-9940FEDE10D8}"/>
            </a:ext>
          </a:extLst>
        </cdr:cNvPr>
        <cdr:cNvSpPr txBox="1"/>
      </cdr:nvSpPr>
      <cdr:spPr>
        <a:xfrm xmlns:a="http://schemas.openxmlformats.org/drawingml/2006/main">
          <a:off x="779458" y="398484"/>
          <a:ext cx="1333515" cy="3476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cattite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0.37396</cdr:x>
      <cdr:y>0.58073</cdr:y>
    </cdr:from>
    <cdr:to>
      <cdr:x>0.66562</cdr:x>
      <cdr:y>0.70747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2ED69A6A-FC89-4814-AE67-E98ADA163207}"/>
            </a:ext>
          </a:extLst>
        </cdr:cNvPr>
        <cdr:cNvSpPr txBox="1"/>
      </cdr:nvSpPr>
      <cdr:spPr>
        <a:xfrm xmlns:a="http://schemas.openxmlformats.org/drawingml/2006/main">
          <a:off x="1709737" y="1593056"/>
          <a:ext cx="1333500" cy="3476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Newberyite</a:t>
          </a:r>
        </a:p>
      </cdr:txBody>
    </cdr:sp>
  </cdr:relSizeAnchor>
  <cdr:relSizeAnchor xmlns:cdr="http://schemas.openxmlformats.org/drawingml/2006/chartDrawing">
    <cdr:from>
      <cdr:x>0.32986</cdr:x>
      <cdr:y>0.07755</cdr:y>
    </cdr:from>
    <cdr:to>
      <cdr:x>0.62153</cdr:x>
      <cdr:y>0.20428</cdr:y>
    </cdr:to>
    <cdr:sp macro="" textlink="">
      <cdr:nvSpPr>
        <cdr:cNvPr id="3" name="Textfeld 1">
          <a:extLst xmlns:a="http://schemas.openxmlformats.org/drawingml/2006/main">
            <a:ext uri="{FF2B5EF4-FFF2-40B4-BE49-F238E27FC236}">
              <a16:creationId xmlns:a16="http://schemas.microsoft.com/office/drawing/2014/main" id="{585EAFC4-198E-4C18-85BA-9940FEDE10D8}"/>
            </a:ext>
          </a:extLst>
        </cdr:cNvPr>
        <cdr:cNvSpPr txBox="1"/>
      </cdr:nvSpPr>
      <cdr:spPr>
        <a:xfrm xmlns:a="http://schemas.openxmlformats.org/drawingml/2006/main">
          <a:off x="1508125" y="212726"/>
          <a:ext cx="1333500" cy="3476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Phosphorröslerite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0.50104</cdr:x>
      <cdr:y>0.56163</cdr:y>
    </cdr:from>
    <cdr:to>
      <cdr:x>0.7927</cdr:x>
      <cdr:y>0.68837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2ED69A6A-FC89-4814-AE67-E98ADA163207}"/>
            </a:ext>
          </a:extLst>
        </cdr:cNvPr>
        <cdr:cNvSpPr txBox="1"/>
      </cdr:nvSpPr>
      <cdr:spPr>
        <a:xfrm xmlns:a="http://schemas.openxmlformats.org/drawingml/2006/main">
          <a:off x="2290770" y="1540672"/>
          <a:ext cx="1333470" cy="347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MgKPO</a:t>
          </a:r>
          <a:r>
            <a:rPr lang="en-GB" sz="1100" baseline="-25000"/>
            <a:t>4</a:t>
          </a:r>
          <a:r>
            <a:rPr lang="en-GB" sz="1100"/>
            <a:t>.H</a:t>
          </a:r>
          <a:r>
            <a:rPr lang="en-GB" sz="1100" baseline="-25000"/>
            <a:t>2</a:t>
          </a:r>
          <a:r>
            <a:rPr lang="en-GB" sz="1100"/>
            <a:t>O</a:t>
          </a:r>
        </a:p>
      </cdr:txBody>
    </cdr:sp>
  </cdr:relSizeAnchor>
  <cdr:relSizeAnchor xmlns:cdr="http://schemas.openxmlformats.org/drawingml/2006/chartDrawing">
    <cdr:from>
      <cdr:x>0.46215</cdr:x>
      <cdr:y>0.1713</cdr:y>
    </cdr:from>
    <cdr:to>
      <cdr:x>0.75382</cdr:x>
      <cdr:y>0.29803</cdr:y>
    </cdr:to>
    <cdr:sp macro="" textlink="">
      <cdr:nvSpPr>
        <cdr:cNvPr id="3" name="Textfeld 1">
          <a:extLst xmlns:a="http://schemas.openxmlformats.org/drawingml/2006/main">
            <a:ext uri="{FF2B5EF4-FFF2-40B4-BE49-F238E27FC236}">
              <a16:creationId xmlns:a16="http://schemas.microsoft.com/office/drawing/2014/main" id="{585EAFC4-198E-4C18-85BA-9940FEDE10D8}"/>
            </a:ext>
          </a:extLst>
        </cdr:cNvPr>
        <cdr:cNvSpPr txBox="1"/>
      </cdr:nvSpPr>
      <cdr:spPr>
        <a:xfrm xmlns:a="http://schemas.openxmlformats.org/drawingml/2006/main">
          <a:off x="2112957" y="469910"/>
          <a:ext cx="1333515" cy="3476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K-struvite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0.45</cdr:x>
      <cdr:y>0.38628</cdr:y>
    </cdr:from>
    <cdr:to>
      <cdr:x>0.74166</cdr:x>
      <cdr:y>0.51302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2ED69A6A-FC89-4814-AE67-E98ADA163207}"/>
            </a:ext>
          </a:extLst>
        </cdr:cNvPr>
        <cdr:cNvSpPr txBox="1"/>
      </cdr:nvSpPr>
      <cdr:spPr>
        <a:xfrm xmlns:a="http://schemas.openxmlformats.org/drawingml/2006/main">
          <a:off x="2057392" y="1059651"/>
          <a:ext cx="1333469" cy="347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MO4</a:t>
          </a:r>
        </a:p>
      </cdr:txBody>
    </cdr:sp>
  </cdr:relSizeAnchor>
  <cdr:relSizeAnchor xmlns:cdr="http://schemas.openxmlformats.org/drawingml/2006/chartDrawing">
    <cdr:from>
      <cdr:x>0.62986</cdr:x>
      <cdr:y>0.16436</cdr:y>
    </cdr:from>
    <cdr:to>
      <cdr:x>0.92153</cdr:x>
      <cdr:y>0.29109</cdr:y>
    </cdr:to>
    <cdr:sp macro="" textlink="">
      <cdr:nvSpPr>
        <cdr:cNvPr id="3" name="Textfeld 1">
          <a:extLst xmlns:a="http://schemas.openxmlformats.org/drawingml/2006/main">
            <a:ext uri="{FF2B5EF4-FFF2-40B4-BE49-F238E27FC236}">
              <a16:creationId xmlns:a16="http://schemas.microsoft.com/office/drawing/2014/main" id="{585EAFC4-198E-4C18-85BA-9940FEDE10D8}"/>
            </a:ext>
          </a:extLst>
        </cdr:cNvPr>
        <cdr:cNvSpPr txBox="1"/>
      </cdr:nvSpPr>
      <cdr:spPr>
        <a:xfrm xmlns:a="http://schemas.openxmlformats.org/drawingml/2006/main">
          <a:off x="2879713" y="450860"/>
          <a:ext cx="1333515" cy="3476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cattite</a:t>
          </a:r>
        </a:p>
      </cdr:txBody>
    </cdr:sp>
  </cdr:relSizeAnchor>
  <cdr:relSizeAnchor xmlns:cdr="http://schemas.openxmlformats.org/drawingml/2006/chartDrawing">
    <cdr:from>
      <cdr:x>0.60799</cdr:x>
      <cdr:y>0.34838</cdr:y>
    </cdr:from>
    <cdr:to>
      <cdr:x>0.89966</cdr:x>
      <cdr:y>0.47511</cdr:y>
    </cdr:to>
    <cdr:sp macro="" textlink="">
      <cdr:nvSpPr>
        <cdr:cNvPr id="4" name="Textfeld 1">
          <a:extLst xmlns:a="http://schemas.openxmlformats.org/drawingml/2006/main">
            <a:ext uri="{FF2B5EF4-FFF2-40B4-BE49-F238E27FC236}">
              <a16:creationId xmlns:a16="http://schemas.microsoft.com/office/drawing/2014/main" id="{9BAC54AD-9334-44FE-BE86-96F84A259AB8}"/>
            </a:ext>
          </a:extLst>
        </cdr:cNvPr>
        <cdr:cNvSpPr txBox="1"/>
      </cdr:nvSpPr>
      <cdr:spPr>
        <a:xfrm xmlns:a="http://schemas.openxmlformats.org/drawingml/2006/main">
          <a:off x="2779712" y="955675"/>
          <a:ext cx="1333515" cy="3476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farringtonite</a:t>
          </a:r>
        </a:p>
      </cdr:txBody>
    </cdr:sp>
  </cdr:relSizeAnchor>
  <cdr:relSizeAnchor xmlns:cdr="http://schemas.openxmlformats.org/drawingml/2006/chartDrawing">
    <cdr:from>
      <cdr:x>0.21424</cdr:x>
      <cdr:y>0.39873</cdr:y>
    </cdr:from>
    <cdr:to>
      <cdr:x>0.50591</cdr:x>
      <cdr:y>0.52546</cdr:y>
    </cdr:to>
    <cdr:sp macro="" textlink="">
      <cdr:nvSpPr>
        <cdr:cNvPr id="5" name="Textfeld 1">
          <a:extLst xmlns:a="http://schemas.openxmlformats.org/drawingml/2006/main">
            <a:ext uri="{FF2B5EF4-FFF2-40B4-BE49-F238E27FC236}">
              <a16:creationId xmlns:a16="http://schemas.microsoft.com/office/drawing/2014/main" id="{E303A443-5326-4E40-B0E5-C886B779BF72}"/>
            </a:ext>
          </a:extLst>
        </cdr:cNvPr>
        <cdr:cNvSpPr txBox="1"/>
      </cdr:nvSpPr>
      <cdr:spPr>
        <a:xfrm xmlns:a="http://schemas.openxmlformats.org/drawingml/2006/main">
          <a:off x="979487" y="1093788"/>
          <a:ext cx="1333515" cy="3476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bobbierite</a:t>
          </a:r>
        </a:p>
      </cdr:txBody>
    </cdr:sp>
  </cdr:relSizeAnchor>
  <cdr:relSizeAnchor xmlns:cdr="http://schemas.openxmlformats.org/drawingml/2006/chartDrawing">
    <cdr:from>
      <cdr:x>0.28611</cdr:x>
      <cdr:y>0.59317</cdr:y>
    </cdr:from>
    <cdr:to>
      <cdr:x>0.60625</cdr:x>
      <cdr:y>0.71991</cdr:y>
    </cdr:to>
    <cdr:sp macro="" textlink="">
      <cdr:nvSpPr>
        <cdr:cNvPr id="6" name="Textfeld 1">
          <a:extLst xmlns:a="http://schemas.openxmlformats.org/drawingml/2006/main">
            <a:ext uri="{FF2B5EF4-FFF2-40B4-BE49-F238E27FC236}">
              <a16:creationId xmlns:a16="http://schemas.microsoft.com/office/drawing/2014/main" id="{A83BC94E-ABAC-4BAF-9FE4-7437DF7758CD}"/>
            </a:ext>
          </a:extLst>
        </cdr:cNvPr>
        <cdr:cNvSpPr txBox="1"/>
      </cdr:nvSpPr>
      <cdr:spPr>
        <a:xfrm xmlns:a="http://schemas.openxmlformats.org/drawingml/2006/main">
          <a:off x="1308099" y="1627187"/>
          <a:ext cx="1463675" cy="347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Mg</a:t>
          </a:r>
          <a:r>
            <a:rPr lang="en-GB" sz="1100" baseline="-25000"/>
            <a:t>2</a:t>
          </a:r>
          <a:r>
            <a:rPr lang="en-GB" sz="1100"/>
            <a:t>KH(PO</a:t>
          </a:r>
          <a:r>
            <a:rPr lang="en-GB" sz="1100" baseline="-25000"/>
            <a:t>4</a:t>
          </a:r>
          <a:r>
            <a:rPr lang="en-GB" sz="1100"/>
            <a:t>)</a:t>
          </a:r>
          <a:r>
            <a:rPr lang="en-GB" sz="1100" baseline="-25000"/>
            <a:t>2</a:t>
          </a:r>
          <a:r>
            <a:rPr lang="en-GB" sz="1100"/>
            <a:t>.15H</a:t>
          </a:r>
          <a:r>
            <a:rPr lang="en-GB" sz="1100" baseline="-25000"/>
            <a:t>2</a:t>
          </a:r>
          <a:r>
            <a:rPr lang="en-GB" sz="1100"/>
            <a:t>O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0.23533</cdr:x>
      <cdr:y>0.47084</cdr:y>
    </cdr:from>
    <cdr:to>
      <cdr:x>0.40584</cdr:x>
      <cdr:y>0.55967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2ED69A6A-FC89-4814-AE67-E98ADA163207}"/>
            </a:ext>
          </a:extLst>
        </cdr:cNvPr>
        <cdr:cNvSpPr txBox="1"/>
      </cdr:nvSpPr>
      <cdr:spPr>
        <a:xfrm xmlns:a="http://schemas.openxmlformats.org/drawingml/2006/main">
          <a:off x="1424215" y="2116679"/>
          <a:ext cx="1031950" cy="3993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400">
              <a:latin typeface="Times New Roman" panose="02020603050405020304" pitchFamily="18" charset="0"/>
              <a:cs typeface="Times New Roman" panose="02020603050405020304" pitchFamily="18" charset="0"/>
            </a:rPr>
            <a:t>Newberyite</a:t>
          </a:r>
        </a:p>
      </cdr:txBody>
    </cdr:sp>
  </cdr:relSizeAnchor>
  <cdr:relSizeAnchor xmlns:cdr="http://schemas.openxmlformats.org/drawingml/2006/chartDrawing">
    <cdr:from>
      <cdr:x>0.15705</cdr:x>
      <cdr:y>0.14839</cdr:y>
    </cdr:from>
    <cdr:to>
      <cdr:x>0.34836</cdr:x>
      <cdr:y>0.24859</cdr:y>
    </cdr:to>
    <cdr:sp macro="" textlink="">
      <cdr:nvSpPr>
        <cdr:cNvPr id="4" name="Textfeld 1">
          <a:extLst xmlns:a="http://schemas.openxmlformats.org/drawingml/2006/main">
            <a:ext uri="{FF2B5EF4-FFF2-40B4-BE49-F238E27FC236}">
              <a16:creationId xmlns:a16="http://schemas.microsoft.com/office/drawing/2014/main" id="{0ABEF89D-2A01-4639-8AF3-CD8D50410A6D}"/>
            </a:ext>
          </a:extLst>
        </cdr:cNvPr>
        <cdr:cNvSpPr txBox="1"/>
      </cdr:nvSpPr>
      <cdr:spPr>
        <a:xfrm xmlns:a="http://schemas.openxmlformats.org/drawingml/2006/main">
          <a:off x="950456" y="658376"/>
          <a:ext cx="1157886" cy="444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>
              <a:latin typeface="Times New Roman" panose="02020603050405020304" pitchFamily="18" charset="0"/>
              <a:cs typeface="Times New Roman" panose="02020603050405020304" pitchFamily="18" charset="0"/>
            </a:rPr>
            <a:t>K-struvite</a:t>
          </a:r>
        </a:p>
      </cdr:txBody>
    </cdr:sp>
  </cdr:relSizeAnchor>
  <cdr:relSizeAnchor xmlns:cdr="http://schemas.openxmlformats.org/drawingml/2006/chartDrawing">
    <cdr:from>
      <cdr:x>0.16313</cdr:x>
      <cdr:y>0.69622</cdr:y>
    </cdr:from>
    <cdr:to>
      <cdr:x>0.3466</cdr:x>
      <cdr:y>0.78503</cdr:y>
    </cdr:to>
    <cdr:sp macro="" textlink="">
      <cdr:nvSpPr>
        <cdr:cNvPr id="5" name="Textfeld 1">
          <a:extLst xmlns:a="http://schemas.openxmlformats.org/drawingml/2006/main">
            <a:ext uri="{FF2B5EF4-FFF2-40B4-BE49-F238E27FC236}">
              <a16:creationId xmlns:a16="http://schemas.microsoft.com/office/drawing/2014/main" id="{59AB64B1-9BE5-44B7-91AA-79337B1ED054}"/>
            </a:ext>
          </a:extLst>
        </cdr:cNvPr>
        <cdr:cNvSpPr txBox="1"/>
      </cdr:nvSpPr>
      <cdr:spPr>
        <a:xfrm xmlns:a="http://schemas.openxmlformats.org/drawingml/2006/main">
          <a:off x="987278" y="3129863"/>
          <a:ext cx="1110362" cy="3992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>
              <a:latin typeface="Times New Roman" panose="02020603050405020304" pitchFamily="18" charset="0"/>
              <a:cs typeface="Times New Roman" panose="02020603050405020304" pitchFamily="18" charset="0"/>
            </a:rPr>
            <a:t>Cattite</a:t>
          </a:r>
        </a:p>
      </cdr:txBody>
    </cdr:sp>
  </cdr:relSizeAnchor>
  <cdr:relSizeAnchor xmlns:cdr="http://schemas.openxmlformats.org/drawingml/2006/chartDrawing">
    <cdr:from>
      <cdr:x>0.61981</cdr:x>
      <cdr:y>0.78574</cdr:y>
    </cdr:from>
    <cdr:to>
      <cdr:x>0.72591</cdr:x>
      <cdr:y>0.8405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51E17675-0DE6-4A36-88D1-72562880FD27}"/>
            </a:ext>
          </a:extLst>
        </cdr:cNvPr>
        <cdr:cNvSpPr txBox="1"/>
      </cdr:nvSpPr>
      <cdr:spPr>
        <a:xfrm xmlns:a="http://schemas.openxmlformats.org/drawingml/2006/main">
          <a:off x="3751137" y="3532330"/>
          <a:ext cx="642135" cy="2461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>
              <a:latin typeface="Times New Roman" panose="02020603050405020304" pitchFamily="18" charset="0"/>
              <a:cs typeface="Times New Roman" panose="02020603050405020304" pitchFamily="18" charset="0"/>
            </a:rPr>
            <a:t>25°C</a:t>
          </a:r>
        </a:p>
      </cdr:txBody>
    </cdr:sp>
  </cdr:relSizeAnchor>
  <cdr:relSizeAnchor xmlns:cdr="http://schemas.openxmlformats.org/drawingml/2006/chartDrawing">
    <cdr:from>
      <cdr:x>0.82625</cdr:x>
      <cdr:y>0.78858</cdr:y>
    </cdr:from>
    <cdr:to>
      <cdr:x>0.93236</cdr:x>
      <cdr:y>0.84333</cdr:y>
    </cdr:to>
    <cdr:sp macro="" textlink="">
      <cdr:nvSpPr>
        <cdr:cNvPr id="6" name="Textfeld 1">
          <a:extLst xmlns:a="http://schemas.openxmlformats.org/drawingml/2006/main">
            <a:ext uri="{FF2B5EF4-FFF2-40B4-BE49-F238E27FC236}">
              <a16:creationId xmlns:a16="http://schemas.microsoft.com/office/drawing/2014/main" id="{11DF5104-9120-48C4-81BA-1079CF24F14C}"/>
            </a:ext>
          </a:extLst>
        </cdr:cNvPr>
        <cdr:cNvSpPr txBox="1"/>
      </cdr:nvSpPr>
      <cdr:spPr>
        <a:xfrm xmlns:a="http://schemas.openxmlformats.org/drawingml/2006/main">
          <a:off x="5000589" y="3545084"/>
          <a:ext cx="642135" cy="2461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>
              <a:latin typeface="Times New Roman" panose="02020603050405020304" pitchFamily="18" charset="0"/>
              <a:cs typeface="Times New Roman" panose="02020603050405020304" pitchFamily="18" charset="0"/>
            </a:rPr>
            <a:t>5°C</a:t>
          </a:r>
        </a:p>
      </cdr:txBody>
    </cdr:sp>
  </cdr:relSizeAnchor>
  <cdr:relSizeAnchor xmlns:cdr="http://schemas.openxmlformats.org/drawingml/2006/chartDrawing">
    <cdr:from>
      <cdr:x>0.187</cdr:x>
      <cdr:y>0.78739</cdr:y>
    </cdr:from>
    <cdr:to>
      <cdr:x>0.2931</cdr:x>
      <cdr:y>0.84214</cdr:y>
    </cdr:to>
    <cdr:sp macro="" textlink="">
      <cdr:nvSpPr>
        <cdr:cNvPr id="7" name="Textfeld 1">
          <a:extLst xmlns:a="http://schemas.openxmlformats.org/drawingml/2006/main">
            <a:ext uri="{FF2B5EF4-FFF2-40B4-BE49-F238E27FC236}">
              <a16:creationId xmlns:a16="http://schemas.microsoft.com/office/drawing/2014/main" id="{0090E0AD-6419-437E-B545-44EFE64E5577}"/>
            </a:ext>
          </a:extLst>
        </cdr:cNvPr>
        <cdr:cNvSpPr txBox="1"/>
      </cdr:nvSpPr>
      <cdr:spPr>
        <a:xfrm xmlns:a="http://schemas.openxmlformats.org/drawingml/2006/main">
          <a:off x="1131727" y="3539733"/>
          <a:ext cx="642135" cy="2461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>
              <a:latin typeface="Times New Roman" panose="02020603050405020304" pitchFamily="18" charset="0"/>
              <a:cs typeface="Times New Roman" panose="02020603050405020304" pitchFamily="18" charset="0"/>
            </a:rPr>
            <a:t>80°C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0.28541</cdr:x>
      <cdr:y>0.67969</cdr:y>
    </cdr:from>
    <cdr:to>
      <cdr:x>0.57707</cdr:x>
      <cdr:y>0.80643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2ED69A6A-FC89-4814-AE67-E98ADA163207}"/>
            </a:ext>
          </a:extLst>
        </cdr:cNvPr>
        <cdr:cNvSpPr txBox="1"/>
      </cdr:nvSpPr>
      <cdr:spPr>
        <a:xfrm xmlns:a="http://schemas.openxmlformats.org/drawingml/2006/main">
          <a:off x="1304917" y="1864513"/>
          <a:ext cx="1333469" cy="347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MgKPO</a:t>
          </a:r>
          <a:r>
            <a:rPr lang="en-GB" sz="1100" baseline="-25000"/>
            <a:t>4</a:t>
          </a:r>
          <a:r>
            <a:rPr lang="en-GB" sz="1100"/>
            <a:t>.H</a:t>
          </a:r>
          <a:r>
            <a:rPr lang="en-GB" sz="1100" baseline="-25000"/>
            <a:t>2</a:t>
          </a:r>
          <a:r>
            <a:rPr lang="en-GB" sz="1100"/>
            <a:t>O</a:t>
          </a:r>
        </a:p>
      </cdr:txBody>
    </cdr:sp>
  </cdr:relSizeAnchor>
  <cdr:relSizeAnchor xmlns:cdr="http://schemas.openxmlformats.org/drawingml/2006/chartDrawing">
    <cdr:from>
      <cdr:x>0.46215</cdr:x>
      <cdr:y>0.1713</cdr:y>
    </cdr:from>
    <cdr:to>
      <cdr:x>0.75382</cdr:x>
      <cdr:y>0.29803</cdr:y>
    </cdr:to>
    <cdr:sp macro="" textlink="">
      <cdr:nvSpPr>
        <cdr:cNvPr id="3" name="Textfeld 1">
          <a:extLst xmlns:a="http://schemas.openxmlformats.org/drawingml/2006/main">
            <a:ext uri="{FF2B5EF4-FFF2-40B4-BE49-F238E27FC236}">
              <a16:creationId xmlns:a16="http://schemas.microsoft.com/office/drawing/2014/main" id="{585EAFC4-198E-4C18-85BA-9940FEDE10D8}"/>
            </a:ext>
          </a:extLst>
        </cdr:cNvPr>
        <cdr:cNvSpPr txBox="1"/>
      </cdr:nvSpPr>
      <cdr:spPr>
        <a:xfrm xmlns:a="http://schemas.openxmlformats.org/drawingml/2006/main">
          <a:off x="2112957" y="469910"/>
          <a:ext cx="1333515" cy="3476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K-struvite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0.45</cdr:x>
      <cdr:y>0.38628</cdr:y>
    </cdr:from>
    <cdr:to>
      <cdr:x>0.74166</cdr:x>
      <cdr:y>0.51302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2ED69A6A-FC89-4814-AE67-E98ADA163207}"/>
            </a:ext>
          </a:extLst>
        </cdr:cNvPr>
        <cdr:cNvSpPr txBox="1"/>
      </cdr:nvSpPr>
      <cdr:spPr>
        <a:xfrm xmlns:a="http://schemas.openxmlformats.org/drawingml/2006/main">
          <a:off x="2057392" y="1059651"/>
          <a:ext cx="1333469" cy="347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MO4</a:t>
          </a:r>
        </a:p>
      </cdr:txBody>
    </cdr:sp>
  </cdr:relSizeAnchor>
  <cdr:relSizeAnchor xmlns:cdr="http://schemas.openxmlformats.org/drawingml/2006/chartDrawing">
    <cdr:from>
      <cdr:x>0.17049</cdr:x>
      <cdr:y>0.14526</cdr:y>
    </cdr:from>
    <cdr:to>
      <cdr:x>0.46216</cdr:x>
      <cdr:y>0.27199</cdr:y>
    </cdr:to>
    <cdr:sp macro="" textlink="">
      <cdr:nvSpPr>
        <cdr:cNvPr id="3" name="Textfeld 1">
          <a:extLst xmlns:a="http://schemas.openxmlformats.org/drawingml/2006/main">
            <a:ext uri="{FF2B5EF4-FFF2-40B4-BE49-F238E27FC236}">
              <a16:creationId xmlns:a16="http://schemas.microsoft.com/office/drawing/2014/main" id="{585EAFC4-198E-4C18-85BA-9940FEDE10D8}"/>
            </a:ext>
          </a:extLst>
        </cdr:cNvPr>
        <cdr:cNvSpPr txBox="1"/>
      </cdr:nvSpPr>
      <cdr:spPr>
        <a:xfrm xmlns:a="http://schemas.openxmlformats.org/drawingml/2006/main">
          <a:off x="779458" y="398484"/>
          <a:ext cx="1333515" cy="3476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cattite</a:t>
          </a:r>
        </a:p>
      </cdr:txBody>
    </cdr:sp>
  </cdr:relSizeAnchor>
  <cdr:relSizeAnchor xmlns:cdr="http://schemas.openxmlformats.org/drawingml/2006/chartDrawing">
    <cdr:from>
      <cdr:x>0.64549</cdr:x>
      <cdr:y>0.05845</cdr:y>
    </cdr:from>
    <cdr:to>
      <cdr:x>0.93716</cdr:x>
      <cdr:y>0.18518</cdr:y>
    </cdr:to>
    <cdr:sp macro="" textlink="">
      <cdr:nvSpPr>
        <cdr:cNvPr id="4" name="Textfeld 1">
          <a:extLst xmlns:a="http://schemas.openxmlformats.org/drawingml/2006/main">
            <a:ext uri="{FF2B5EF4-FFF2-40B4-BE49-F238E27FC236}">
              <a16:creationId xmlns:a16="http://schemas.microsoft.com/office/drawing/2014/main" id="{9BAC54AD-9334-44FE-BE86-96F84A259AB8}"/>
            </a:ext>
          </a:extLst>
        </cdr:cNvPr>
        <cdr:cNvSpPr txBox="1"/>
      </cdr:nvSpPr>
      <cdr:spPr>
        <a:xfrm xmlns:a="http://schemas.openxmlformats.org/drawingml/2006/main">
          <a:off x="2951179" y="160338"/>
          <a:ext cx="1333516" cy="3476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farringtonite</a:t>
          </a:r>
        </a:p>
      </cdr:txBody>
    </cdr:sp>
  </cdr:relSizeAnchor>
  <cdr:relSizeAnchor xmlns:cdr="http://schemas.openxmlformats.org/drawingml/2006/chartDrawing">
    <cdr:from>
      <cdr:x>0.70833</cdr:x>
      <cdr:y>0.38831</cdr:y>
    </cdr:from>
    <cdr:to>
      <cdr:x>1</cdr:x>
      <cdr:y>0.51504</cdr:y>
    </cdr:to>
    <cdr:sp macro="" textlink="">
      <cdr:nvSpPr>
        <cdr:cNvPr id="5" name="Textfeld 1">
          <a:extLst xmlns:a="http://schemas.openxmlformats.org/drawingml/2006/main">
            <a:ext uri="{FF2B5EF4-FFF2-40B4-BE49-F238E27FC236}">
              <a16:creationId xmlns:a16="http://schemas.microsoft.com/office/drawing/2014/main" id="{E303A443-5326-4E40-B0E5-C886B779BF72}"/>
            </a:ext>
          </a:extLst>
        </cdr:cNvPr>
        <cdr:cNvSpPr txBox="1"/>
      </cdr:nvSpPr>
      <cdr:spPr>
        <a:xfrm xmlns:a="http://schemas.openxmlformats.org/drawingml/2006/main">
          <a:off x="3238484" y="1065221"/>
          <a:ext cx="1333516" cy="3476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bobbierite</a:t>
          </a:r>
        </a:p>
      </cdr:txBody>
    </cdr:sp>
  </cdr:relSizeAnchor>
  <cdr:relSizeAnchor xmlns:cdr="http://schemas.openxmlformats.org/drawingml/2006/chartDrawing">
    <cdr:from>
      <cdr:x>0.63924</cdr:x>
      <cdr:y>0.65914</cdr:y>
    </cdr:from>
    <cdr:to>
      <cdr:x>0.95938</cdr:x>
      <cdr:y>0.78588</cdr:y>
    </cdr:to>
    <cdr:sp macro="" textlink="">
      <cdr:nvSpPr>
        <cdr:cNvPr id="6" name="Textfeld 1">
          <a:extLst xmlns:a="http://schemas.openxmlformats.org/drawingml/2006/main">
            <a:ext uri="{FF2B5EF4-FFF2-40B4-BE49-F238E27FC236}">
              <a16:creationId xmlns:a16="http://schemas.microsoft.com/office/drawing/2014/main" id="{A83BC94E-ABAC-4BAF-9FE4-7437DF7758CD}"/>
            </a:ext>
          </a:extLst>
        </cdr:cNvPr>
        <cdr:cNvSpPr txBox="1"/>
      </cdr:nvSpPr>
      <cdr:spPr>
        <a:xfrm xmlns:a="http://schemas.openxmlformats.org/drawingml/2006/main">
          <a:off x="2922583" y="1808159"/>
          <a:ext cx="1463680" cy="347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Mg</a:t>
          </a:r>
          <a:r>
            <a:rPr lang="en-GB" sz="1100" baseline="-25000"/>
            <a:t>2</a:t>
          </a:r>
          <a:r>
            <a:rPr lang="en-GB" sz="1100"/>
            <a:t>KH(PO</a:t>
          </a:r>
          <a:r>
            <a:rPr lang="en-GB" sz="1100" baseline="-25000"/>
            <a:t>4</a:t>
          </a:r>
          <a:r>
            <a:rPr lang="en-GB" sz="1100"/>
            <a:t>)</a:t>
          </a:r>
          <a:r>
            <a:rPr lang="en-GB" sz="1100" baseline="-25000"/>
            <a:t>2</a:t>
          </a:r>
          <a:r>
            <a:rPr lang="en-GB" sz="1100"/>
            <a:t>.15H</a:t>
          </a:r>
          <a:r>
            <a:rPr lang="en-GB" sz="1100" baseline="-25000"/>
            <a:t>2</a:t>
          </a:r>
          <a:r>
            <a:rPr lang="en-GB" sz="1100"/>
            <a:t>O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0.21275</cdr:x>
      <cdr:y>0.1572</cdr:y>
    </cdr:from>
    <cdr:to>
      <cdr:x>0.42226</cdr:x>
      <cdr:y>0.2506</cdr:y>
    </cdr:to>
    <cdr:sp macro="" textlink="">
      <cdr:nvSpPr>
        <cdr:cNvPr id="5" name="Textfeld 1">
          <a:extLst xmlns:a="http://schemas.openxmlformats.org/drawingml/2006/main">
            <a:ext uri="{FF2B5EF4-FFF2-40B4-BE49-F238E27FC236}">
              <a16:creationId xmlns:a16="http://schemas.microsoft.com/office/drawing/2014/main" id="{E303A443-5326-4E40-B0E5-C886B779BF72}"/>
            </a:ext>
          </a:extLst>
        </cdr:cNvPr>
        <cdr:cNvSpPr txBox="1"/>
      </cdr:nvSpPr>
      <cdr:spPr>
        <a:xfrm xmlns:a="http://schemas.openxmlformats.org/drawingml/2006/main">
          <a:off x="1288710" y="704926"/>
          <a:ext cx="1269128" cy="418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>
              <a:latin typeface="Times New Roman" panose="02020603050405020304" pitchFamily="18" charset="0"/>
              <a:cs typeface="Times New Roman" panose="02020603050405020304" pitchFamily="18" charset="0"/>
            </a:rPr>
            <a:t>Bobbierite</a:t>
          </a:r>
        </a:p>
      </cdr:txBody>
    </cdr:sp>
  </cdr:relSizeAnchor>
  <cdr:relSizeAnchor xmlns:cdr="http://schemas.openxmlformats.org/drawingml/2006/chartDrawing">
    <cdr:from>
      <cdr:x>0.67888</cdr:x>
      <cdr:y>0.78937</cdr:y>
    </cdr:from>
    <cdr:to>
      <cdr:x>0.78489</cdr:x>
      <cdr:y>0.84426</cdr:y>
    </cdr:to>
    <cdr:sp macro="" textlink="">
      <cdr:nvSpPr>
        <cdr:cNvPr id="3" name="Textfeld 1">
          <a:extLst xmlns:a="http://schemas.openxmlformats.org/drawingml/2006/main">
            <a:ext uri="{FF2B5EF4-FFF2-40B4-BE49-F238E27FC236}">
              <a16:creationId xmlns:a16="http://schemas.microsoft.com/office/drawing/2014/main" id="{57ABEC76-E7A0-4727-B20A-69BEC9AB02A8}"/>
            </a:ext>
          </a:extLst>
        </cdr:cNvPr>
        <cdr:cNvSpPr txBox="1"/>
      </cdr:nvSpPr>
      <cdr:spPr>
        <a:xfrm xmlns:a="http://schemas.openxmlformats.org/drawingml/2006/main">
          <a:off x="4112303" y="3539732"/>
          <a:ext cx="642135" cy="2461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>
              <a:latin typeface="Times New Roman" panose="02020603050405020304" pitchFamily="18" charset="0"/>
              <a:cs typeface="Times New Roman" panose="02020603050405020304" pitchFamily="18" charset="0"/>
            </a:rPr>
            <a:t>20°C</a:t>
          </a:r>
        </a:p>
      </cdr:txBody>
    </cdr:sp>
  </cdr:relSizeAnchor>
  <cdr:relSizeAnchor xmlns:cdr="http://schemas.openxmlformats.org/drawingml/2006/chartDrawing">
    <cdr:from>
      <cdr:x>0.11263</cdr:x>
      <cdr:y>0.50178</cdr:y>
    </cdr:from>
    <cdr:to>
      <cdr:x>0.21863</cdr:x>
      <cdr:y>0.55667</cdr:y>
    </cdr:to>
    <cdr:sp macro="" textlink="">
      <cdr:nvSpPr>
        <cdr:cNvPr id="4" name="Textfeld 1">
          <a:extLst xmlns:a="http://schemas.openxmlformats.org/drawingml/2006/main">
            <a:ext uri="{FF2B5EF4-FFF2-40B4-BE49-F238E27FC236}">
              <a16:creationId xmlns:a16="http://schemas.microsoft.com/office/drawing/2014/main" id="{4D3704D8-824E-41E3-965C-B37FBD8C9D35}"/>
            </a:ext>
          </a:extLst>
        </cdr:cNvPr>
        <cdr:cNvSpPr txBox="1"/>
      </cdr:nvSpPr>
      <cdr:spPr>
        <a:xfrm xmlns:a="http://schemas.openxmlformats.org/drawingml/2006/main">
          <a:off x="682233" y="2250112"/>
          <a:ext cx="642135" cy="2461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>
              <a:latin typeface="Times New Roman" panose="02020603050405020304" pitchFamily="18" charset="0"/>
              <a:cs typeface="Times New Roman" panose="02020603050405020304" pitchFamily="18" charset="0"/>
            </a:rPr>
            <a:t>90°C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0.23602</cdr:x>
      <cdr:y>0.17531</cdr:y>
    </cdr:from>
    <cdr:to>
      <cdr:x>0.39578</cdr:x>
      <cdr:y>0.26165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2ED69A6A-FC89-4814-AE67-E98ADA163207}"/>
            </a:ext>
          </a:extLst>
        </cdr:cNvPr>
        <cdr:cNvSpPr txBox="1"/>
      </cdr:nvSpPr>
      <cdr:spPr>
        <a:xfrm xmlns:a="http://schemas.openxmlformats.org/drawingml/2006/main">
          <a:off x="1417168" y="785202"/>
          <a:ext cx="959320" cy="38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400">
              <a:latin typeface="Times New Roman" panose="02020603050405020304" pitchFamily="18" charset="0"/>
              <a:cs typeface="Times New Roman" panose="02020603050405020304" pitchFamily="18" charset="0"/>
            </a:rPr>
            <a:t>MO4</a:t>
          </a:r>
        </a:p>
      </cdr:txBody>
    </cdr:sp>
  </cdr:relSizeAnchor>
  <cdr:relSizeAnchor xmlns:cdr="http://schemas.openxmlformats.org/drawingml/2006/chartDrawing">
    <cdr:from>
      <cdr:x>0.15283</cdr:x>
      <cdr:y>0.44742</cdr:y>
    </cdr:from>
    <cdr:to>
      <cdr:x>0.25977</cdr:x>
      <cdr:y>0.50238</cdr:y>
    </cdr:to>
    <cdr:sp macro="" textlink="">
      <cdr:nvSpPr>
        <cdr:cNvPr id="3" name="Textfeld 1">
          <a:extLst xmlns:a="http://schemas.openxmlformats.org/drawingml/2006/main">
            <a:ext uri="{FF2B5EF4-FFF2-40B4-BE49-F238E27FC236}">
              <a16:creationId xmlns:a16="http://schemas.microsoft.com/office/drawing/2014/main" id="{3FB5AC37-E532-4DDB-AD7F-53CE5E6D04DF}"/>
            </a:ext>
          </a:extLst>
        </cdr:cNvPr>
        <cdr:cNvSpPr txBox="1"/>
      </cdr:nvSpPr>
      <cdr:spPr>
        <a:xfrm xmlns:a="http://schemas.openxmlformats.org/drawingml/2006/main">
          <a:off x="917682" y="2003960"/>
          <a:ext cx="642135" cy="2461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>
              <a:latin typeface="Times New Roman" panose="02020603050405020304" pitchFamily="18" charset="0"/>
              <a:cs typeface="Times New Roman" panose="02020603050405020304" pitchFamily="18" charset="0"/>
            </a:rPr>
            <a:t>85°C</a:t>
          </a:r>
        </a:p>
      </cdr:txBody>
    </cdr:sp>
  </cdr:relSizeAnchor>
  <cdr:relSizeAnchor xmlns:cdr="http://schemas.openxmlformats.org/drawingml/2006/chartDrawing">
    <cdr:from>
      <cdr:x>0.67595</cdr:x>
      <cdr:y>0.78793</cdr:y>
    </cdr:from>
    <cdr:to>
      <cdr:x>0.78289</cdr:x>
      <cdr:y>0.84288</cdr:y>
    </cdr:to>
    <cdr:sp macro="" textlink="">
      <cdr:nvSpPr>
        <cdr:cNvPr id="4" name="Textfeld 1">
          <a:extLst xmlns:a="http://schemas.openxmlformats.org/drawingml/2006/main">
            <a:ext uri="{FF2B5EF4-FFF2-40B4-BE49-F238E27FC236}">
              <a16:creationId xmlns:a16="http://schemas.microsoft.com/office/drawing/2014/main" id="{E76908DB-2913-41B1-B755-C2C744220A50}"/>
            </a:ext>
          </a:extLst>
        </cdr:cNvPr>
        <cdr:cNvSpPr txBox="1"/>
      </cdr:nvSpPr>
      <cdr:spPr>
        <a:xfrm xmlns:a="http://schemas.openxmlformats.org/drawingml/2006/main">
          <a:off x="4058792" y="3529030"/>
          <a:ext cx="642135" cy="2461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>
              <a:latin typeface="Times New Roman" panose="02020603050405020304" pitchFamily="18" charset="0"/>
              <a:cs typeface="Times New Roman" panose="02020603050405020304" pitchFamily="18" charset="0"/>
            </a:rPr>
            <a:t>20°C</a:t>
          </a: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16/j.apgeochem.2019.1044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10"/>
  <sheetViews>
    <sheetView tabSelected="1" zoomScale="89" zoomScaleNormal="89" workbookViewId="0">
      <selection activeCell="B9" sqref="B9"/>
    </sheetView>
  </sheetViews>
  <sheetFormatPr defaultColWidth="11.5546875" defaultRowHeight="13.2"/>
  <cols>
    <col min="10" max="10" width="11.33203125" customWidth="1"/>
    <col min="21" max="22" width="10.6640625" customWidth="1"/>
  </cols>
  <sheetData>
    <row r="1" spans="1:22">
      <c r="A1" s="2" t="s">
        <v>62</v>
      </c>
    </row>
    <row r="3" spans="1:22">
      <c r="A3" t="s">
        <v>64</v>
      </c>
    </row>
    <row r="6" spans="1:22" ht="15.6">
      <c r="A6" s="2" t="s">
        <v>69</v>
      </c>
    </row>
    <row r="8" spans="1:22">
      <c r="A8" t="s">
        <v>63</v>
      </c>
    </row>
    <row r="9" spans="1:22">
      <c r="A9" s="34" t="s">
        <v>66</v>
      </c>
      <c r="B9" s="36" t="s">
        <v>70</v>
      </c>
      <c r="C9" t="s">
        <v>65</v>
      </c>
    </row>
    <row r="10" spans="1:22">
      <c r="I10" s="34"/>
    </row>
    <row r="11" spans="1:22">
      <c r="I11" s="34"/>
    </row>
    <row r="12" spans="1:22">
      <c r="D12" s="34" t="s">
        <v>66</v>
      </c>
      <c r="E12" s="2"/>
      <c r="F12" s="34" t="s">
        <v>66</v>
      </c>
      <c r="H12" s="34" t="s">
        <v>66</v>
      </c>
      <c r="I12" s="34" t="s">
        <v>68</v>
      </c>
      <c r="K12" s="35" t="s">
        <v>67</v>
      </c>
      <c r="N12" s="34" t="s">
        <v>66</v>
      </c>
      <c r="O12" s="35" t="s">
        <v>67</v>
      </c>
      <c r="R12" s="34" t="s">
        <v>66</v>
      </c>
      <c r="S12" s="35" t="s">
        <v>67</v>
      </c>
    </row>
    <row r="13" spans="1:22" ht="15.6">
      <c r="D13" s="18" t="s">
        <v>37</v>
      </c>
      <c r="E13" s="19" t="s">
        <v>1</v>
      </c>
      <c r="F13" s="16" t="s">
        <v>40</v>
      </c>
      <c r="G13" s="17" t="s">
        <v>1</v>
      </c>
      <c r="H13" s="6" t="s">
        <v>0</v>
      </c>
      <c r="I13" s="6" t="s">
        <v>0</v>
      </c>
      <c r="J13" s="4" t="s">
        <v>33</v>
      </c>
      <c r="K13" s="6" t="s">
        <v>0</v>
      </c>
      <c r="L13" s="4" t="s">
        <v>1</v>
      </c>
      <c r="M13" s="4" t="s">
        <v>33</v>
      </c>
      <c r="N13" s="7" t="s">
        <v>2</v>
      </c>
      <c r="O13" s="20" t="s">
        <v>38</v>
      </c>
      <c r="P13" s="7"/>
      <c r="Q13" s="6" t="s">
        <v>10</v>
      </c>
      <c r="R13" s="6" t="s">
        <v>15</v>
      </c>
      <c r="S13" s="20" t="s">
        <v>41</v>
      </c>
      <c r="T13" s="7" t="s">
        <v>34</v>
      </c>
      <c r="U13" s="7" t="s">
        <v>34</v>
      </c>
      <c r="V13" s="4" t="s">
        <v>33</v>
      </c>
    </row>
    <row r="14" spans="1:22" ht="15.6">
      <c r="H14" s="6" t="s">
        <v>16</v>
      </c>
      <c r="N14" s="6" t="s">
        <v>16</v>
      </c>
      <c r="O14" s="21" t="s">
        <v>16</v>
      </c>
      <c r="P14" s="6"/>
      <c r="Q14" s="6" t="s">
        <v>17</v>
      </c>
      <c r="R14" s="6" t="s">
        <v>17</v>
      </c>
      <c r="S14" s="21" t="s">
        <v>17</v>
      </c>
      <c r="T14" s="6" t="s">
        <v>17</v>
      </c>
      <c r="U14" s="24" t="s">
        <v>39</v>
      </c>
      <c r="V14" s="24"/>
    </row>
    <row r="15" spans="1:22" ht="15.6">
      <c r="A15" t="s">
        <v>4</v>
      </c>
      <c r="B15">
        <v>8.3145100000000007E-3</v>
      </c>
      <c r="C15" s="2" t="s">
        <v>5</v>
      </c>
      <c r="H15" s="3" t="s">
        <v>11</v>
      </c>
      <c r="I15" s="1">
        <v>0</v>
      </c>
      <c r="K15" s="14">
        <v>0</v>
      </c>
      <c r="L15" s="14">
        <v>0</v>
      </c>
      <c r="N15" s="1">
        <v>0</v>
      </c>
      <c r="O15" s="1"/>
      <c r="P15" s="3" t="s">
        <v>11</v>
      </c>
      <c r="Q15" s="1">
        <v>0</v>
      </c>
      <c r="R15" s="1">
        <v>0</v>
      </c>
      <c r="S15" s="11"/>
    </row>
    <row r="16" spans="1:22" ht="15.6">
      <c r="A16" t="s">
        <v>6</v>
      </c>
      <c r="B16">
        <v>298.14999999999998</v>
      </c>
      <c r="C16" s="2" t="s">
        <v>7</v>
      </c>
      <c r="H16" s="3" t="s">
        <v>12</v>
      </c>
      <c r="I16" s="1">
        <v>-282.45999999999998</v>
      </c>
      <c r="K16" s="15">
        <v>-282.51</v>
      </c>
      <c r="L16" s="15">
        <v>0.11600000000000001</v>
      </c>
      <c r="N16" s="1">
        <v>-252.14</v>
      </c>
      <c r="O16" s="1"/>
      <c r="P16" s="3" t="s">
        <v>12</v>
      </c>
      <c r="Q16" s="1">
        <v>101.04</v>
      </c>
      <c r="R16" s="1">
        <v>8.39</v>
      </c>
      <c r="S16" s="11"/>
    </row>
    <row r="17" spans="1:23" ht="15.6">
      <c r="A17" t="s">
        <v>8</v>
      </c>
      <c r="B17">
        <f>LN(10)</f>
        <v>2.3025850929940459</v>
      </c>
      <c r="H17" s="3" t="s">
        <v>13</v>
      </c>
      <c r="I17" s="1">
        <v>-453.99</v>
      </c>
      <c r="K17" s="15">
        <v>-455.375</v>
      </c>
      <c r="L17" s="15">
        <v>1.335</v>
      </c>
      <c r="N17" s="1">
        <v>-465.93</v>
      </c>
      <c r="O17" s="1"/>
      <c r="P17" s="3" t="s">
        <v>13</v>
      </c>
      <c r="Q17" s="1">
        <v>-138.07</v>
      </c>
      <c r="R17" s="1">
        <v>-21.66</v>
      </c>
      <c r="S17" s="11"/>
    </row>
    <row r="18" spans="1:23" ht="15.6">
      <c r="H18" s="3" t="s">
        <v>3</v>
      </c>
      <c r="I18" s="1">
        <v>-237.18</v>
      </c>
      <c r="K18" s="15">
        <v>-237.14</v>
      </c>
      <c r="L18" s="15">
        <v>4.1000000000000002E-2</v>
      </c>
      <c r="N18" s="1">
        <v>-285.88</v>
      </c>
      <c r="O18" s="1"/>
      <c r="P18" s="3" t="s">
        <v>3</v>
      </c>
      <c r="Q18" s="1">
        <v>69.92</v>
      </c>
      <c r="R18" s="1">
        <v>75.36</v>
      </c>
      <c r="S18" s="11"/>
    </row>
    <row r="19" spans="1:23" ht="16.8">
      <c r="A19" t="s">
        <v>9</v>
      </c>
      <c r="B19">
        <f>B15*B16*B17</f>
        <v>5.7080420309191107</v>
      </c>
      <c r="H19" s="3" t="s">
        <v>14</v>
      </c>
      <c r="I19" s="1">
        <v>-1018.65</v>
      </c>
      <c r="K19" s="15">
        <v>-1025.491</v>
      </c>
      <c r="L19" s="15">
        <v>1.5760000000000001</v>
      </c>
      <c r="N19" s="1">
        <v>-1277.79</v>
      </c>
      <c r="O19" s="1"/>
      <c r="P19" s="3" t="s">
        <v>14</v>
      </c>
      <c r="Q19" s="1">
        <v>-221.75</v>
      </c>
      <c r="R19" s="1">
        <v>-518.91999999999996</v>
      </c>
      <c r="S19" s="11"/>
    </row>
    <row r="20" spans="1:23">
      <c r="A20" s="2"/>
      <c r="H20" s="1"/>
      <c r="N20" s="1"/>
      <c r="O20" s="1"/>
      <c r="P20" s="1"/>
      <c r="Q20" s="1"/>
      <c r="R20" s="1"/>
      <c r="S20" s="11"/>
    </row>
    <row r="21" spans="1:23" ht="16.8">
      <c r="A21" s="2" t="s">
        <v>18</v>
      </c>
      <c r="D21" s="12">
        <v>-17.93</v>
      </c>
      <c r="E21" s="11">
        <v>0.23</v>
      </c>
      <c r="F21" s="23">
        <f>-$D21*$B$19</f>
        <v>102.34519361437965</v>
      </c>
      <c r="G21" s="23">
        <f t="shared" ref="G21:G29" si="0">$E21*$B$19</f>
        <v>1.3128496671113956</v>
      </c>
      <c r="H21" s="10">
        <v>-2286.5</v>
      </c>
      <c r="I21" s="9">
        <f>$I$17+$I$15+$I$19+3*$I$18-$F21</f>
        <v>-2286.5251936143795</v>
      </c>
      <c r="J21" s="9">
        <f>$H21-I21</f>
        <v>2.5193614379531937E-2</v>
      </c>
      <c r="K21" s="22">
        <f>$K$17+$K$15+$K$19+3*$K$18-$F21</f>
        <v>-2294.6311936143798</v>
      </c>
      <c r="L21" s="22">
        <f>SQRT($L$17^2+$L$15^2+$L$19^2+$L$18^2+$G21^2)</f>
        <v>2.4477042812469203</v>
      </c>
      <c r="M21" s="22">
        <f>$H21-K21</f>
        <v>8.1311936143797539</v>
      </c>
      <c r="N21" s="10">
        <v>-2600.6</v>
      </c>
      <c r="O21" s="13">
        <f>$N$17+$N$15+$N$19+3*$N$18-$N21</f>
        <v>-0.76000000000021828</v>
      </c>
      <c r="P21" s="10"/>
      <c r="Q21" s="10">
        <v>195.9</v>
      </c>
      <c r="R21" s="10">
        <v>182.6</v>
      </c>
      <c r="S21" s="27">
        <f>-$R21+$R$17+$R$19+3*$R$18</f>
        <v>-497.09999999999997</v>
      </c>
      <c r="T21" s="5">
        <f>-$Q21+$Q$17+$Q$19+3*$Q$18</f>
        <v>-345.96000000000004</v>
      </c>
      <c r="U21" s="9">
        <f>($O21-$F21)/$B$16*1000</f>
        <v>-345.81651388354817</v>
      </c>
      <c r="V21" s="25">
        <f>T21-U21</f>
        <v>-0.14348611645186793</v>
      </c>
      <c r="W21" s="2" t="s">
        <v>22</v>
      </c>
    </row>
    <row r="22" spans="1:23" ht="16.8">
      <c r="A22" s="2" t="s">
        <v>19</v>
      </c>
      <c r="D22" s="12">
        <v>-17.010000000000002</v>
      </c>
      <c r="E22" s="11">
        <v>0.25</v>
      </c>
      <c r="F22" s="23">
        <f t="shared" ref="F22:F37" si="1">-$D22*$B$19</f>
        <v>97.093794945934079</v>
      </c>
      <c r="G22" s="23">
        <f t="shared" si="0"/>
        <v>1.4270105077297777</v>
      </c>
      <c r="H22" s="10">
        <v>-3230</v>
      </c>
      <c r="I22" s="9">
        <f>$I$17+$I$15+$I$19+7*$I$18-$F22</f>
        <v>-3229.9937949459336</v>
      </c>
      <c r="J22" s="9">
        <f t="shared" ref="J22:J29" si="2">$H22-I22</f>
        <v>-6.2050540664131404E-3</v>
      </c>
      <c r="K22" s="22">
        <f>$K$17+$K$15+$K$19+7*$K$18-$F22</f>
        <v>-3237.939794945934</v>
      </c>
      <c r="L22" s="22">
        <f>SQRT($L$17^2+$L$15^2+$L$19^2+$L$18^2+$G22^2)</f>
        <v>2.5107849348702085</v>
      </c>
      <c r="M22" s="22">
        <f t="shared" ref="M22:M29" si="3">$H22-K22</f>
        <v>7.9397949459339543</v>
      </c>
      <c r="N22" s="10">
        <v>-3772.8</v>
      </c>
      <c r="O22" s="13">
        <f>$N$17+$N$15+$N$19+7*$N$18-$N22</f>
        <v>27.920000000000073</v>
      </c>
      <c r="P22" s="10"/>
      <c r="Q22" s="10">
        <v>361.8</v>
      </c>
      <c r="R22" s="10">
        <v>342.8</v>
      </c>
      <c r="S22" s="27">
        <f>-$R22+$R$17+$R$19+7*$R$18</f>
        <v>-355.86</v>
      </c>
      <c r="T22" s="5">
        <f>-$Q22+$Q$17+$Q$19+7*$Q$18</f>
        <v>-232.18</v>
      </c>
      <c r="U22" s="9">
        <f t="shared" ref="U22:U29" si="4">($O22-$F22)/$B$16*1000</f>
        <v>-232.01004509788365</v>
      </c>
      <c r="V22" s="25">
        <f t="shared" ref="V22:V29" si="5">T22-U22</f>
        <v>-0.16995490211635911</v>
      </c>
      <c r="W22" s="2" t="s">
        <v>23</v>
      </c>
    </row>
    <row r="23" spans="1:23" ht="16.8">
      <c r="A23" s="2" t="s">
        <v>20</v>
      </c>
      <c r="D23" s="12">
        <v>-10.96</v>
      </c>
      <c r="E23" s="11">
        <v>0.31</v>
      </c>
      <c r="F23" s="23">
        <f t="shared" si="1"/>
        <v>62.560140658873458</v>
      </c>
      <c r="G23" s="23">
        <f t="shared" si="0"/>
        <v>1.7694930295849243</v>
      </c>
      <c r="H23" s="10">
        <v>-3240.8</v>
      </c>
      <c r="I23" s="9">
        <f>$I$17+$I$16+$I$19+6*$I$18-$F23</f>
        <v>-3240.7401406588733</v>
      </c>
      <c r="J23" s="9">
        <f t="shared" si="2"/>
        <v>-5.9859341126866639E-2</v>
      </c>
      <c r="K23" s="22">
        <f>$K$17+$K$16+$K$19+6*$K$18-$F23</f>
        <v>-3248.7761406588734</v>
      </c>
      <c r="L23" s="22">
        <f>SQRT($L$17^2+$L$16^2+$L$19^2+$L$18^2+$G23^2)</f>
        <v>2.7225435867492798</v>
      </c>
      <c r="M23" s="22">
        <f t="shared" si="3"/>
        <v>7.9761406588731916</v>
      </c>
      <c r="N23" s="10">
        <v>-3717.3</v>
      </c>
      <c r="O23" s="13">
        <f>$N$17+$N$16+$N$19+6*$N$18-$N23</f>
        <v>6.1600000000003092</v>
      </c>
      <c r="P23" s="10"/>
      <c r="Q23" s="10">
        <v>350.1</v>
      </c>
      <c r="R23" s="10">
        <v>324.8</v>
      </c>
      <c r="S23" s="27">
        <f>-$R23+$R$17+$R$16+$R$19+6*$R$18</f>
        <v>-404.83000000000004</v>
      </c>
      <c r="T23" s="5">
        <f>-$Q23+$Q$17+$Q$16+$Q$19+6*$Q$18</f>
        <v>-189.36</v>
      </c>
      <c r="U23" s="9">
        <f t="shared" si="4"/>
        <v>-189.16699868815411</v>
      </c>
      <c r="V23" s="25">
        <f t="shared" si="5"/>
        <v>-0.19300131184590441</v>
      </c>
      <c r="W23" s="2" t="s">
        <v>35</v>
      </c>
    </row>
    <row r="24" spans="1:23" ht="16.8">
      <c r="A24" s="2" t="s">
        <v>21</v>
      </c>
      <c r="D24" s="12">
        <v>-10.95</v>
      </c>
      <c r="E24" s="12">
        <v>1.5</v>
      </c>
      <c r="F24" s="23">
        <f t="shared" si="1"/>
        <v>62.50306023856426</v>
      </c>
      <c r="G24" s="23">
        <f t="shared" si="0"/>
        <v>8.5620630463786664</v>
      </c>
      <c r="H24" s="10">
        <v>-2054.8000000000002</v>
      </c>
      <c r="I24" s="9">
        <f>$I$17+$I$16+$I$19+$I$18-$F24</f>
        <v>-2054.7830602385643</v>
      </c>
      <c r="J24" s="9">
        <f t="shared" si="2"/>
        <v>-1.6939761435878609E-2</v>
      </c>
      <c r="K24" s="22">
        <f>$K$17+$K$16+$K$19+$K$18-$F24</f>
        <v>-2063.0190602385642</v>
      </c>
      <c r="L24" s="22">
        <f>SQRT($L$17^2+$L$16^2+$L$19^2+$L$18^2+$G24^2)</f>
        <v>8.8085221013608823</v>
      </c>
      <c r="M24" s="22">
        <f t="shared" si="3"/>
        <v>8.2190602385639977</v>
      </c>
      <c r="N24" s="10">
        <v>-2245.8000000000002</v>
      </c>
      <c r="O24" s="13">
        <f>$N$17+$N$16+$N$19+$N$18-$N24</f>
        <v>-35.9399999999996</v>
      </c>
      <c r="P24" s="10"/>
      <c r="Q24" s="10">
        <v>141.30000000000001</v>
      </c>
      <c r="R24" s="10">
        <v>124.6</v>
      </c>
      <c r="S24" s="27">
        <f>-$R24+$R$17+$R$16+$R$19+$R$18</f>
        <v>-581.42999999999995</v>
      </c>
      <c r="T24" s="5">
        <f>-$Q24+$Q$17+$Q$16+$Q$19+$Q$18</f>
        <v>-330.15999999999997</v>
      </c>
      <c r="U24" s="9">
        <f t="shared" si="4"/>
        <v>-330.17964192038863</v>
      </c>
      <c r="V24" s="25">
        <f t="shared" si="5"/>
        <v>1.9641920388664857E-2</v>
      </c>
      <c r="W24" s="2" t="s">
        <v>24</v>
      </c>
    </row>
    <row r="25" spans="1:23" ht="16.8">
      <c r="A25" s="2" t="s">
        <v>25</v>
      </c>
      <c r="D25" s="12">
        <v>-28.67</v>
      </c>
      <c r="E25" s="12">
        <v>0.6</v>
      </c>
      <c r="F25" s="23">
        <f t="shared" si="1"/>
        <v>163.64956502645092</v>
      </c>
      <c r="G25" s="23">
        <f t="shared" si="0"/>
        <v>3.4248252185514665</v>
      </c>
      <c r="H25" s="10">
        <v>-6949.1</v>
      </c>
      <c r="I25" s="9">
        <f>2*$I$17+$I$16+$I$15+2*$I$19+15*$I$18-$F25</f>
        <v>-6949.0895650264511</v>
      </c>
      <c r="J25" s="9">
        <f t="shared" si="2"/>
        <v>-1.0434973549308779E-2</v>
      </c>
      <c r="K25" s="22">
        <f>2*$K$17+$K$16+$K$15+2*$K$19+15*$K$18-$F25</f>
        <v>-6964.9915650264511</v>
      </c>
      <c r="L25" s="22">
        <f>SQRT($L$17^2+$L$16^2+$L$15^2+$L$19^2+$L$18^2+$G25^2)</f>
        <v>4.0013205042368325</v>
      </c>
      <c r="M25" s="22">
        <f t="shared" si="3"/>
        <v>15.891565026450735</v>
      </c>
      <c r="N25" s="10">
        <v>-8086.7</v>
      </c>
      <c r="O25" s="13">
        <f>2*$N$17+$N$15+$N$16+2*$N$19+15*$N$18-$N25</f>
        <v>58.920000000000073</v>
      </c>
      <c r="P25" s="10"/>
      <c r="Q25" s="10">
        <v>781.6</v>
      </c>
      <c r="R25" s="10">
        <v>747.8</v>
      </c>
      <c r="S25" s="27">
        <f>-$R25+2*$R$17+$R$16+2*$R$19+15*$R$18</f>
        <v>-690.16999999999985</v>
      </c>
      <c r="T25" s="5">
        <f>-$Q25+2*$Q$17+$Q$16+2*$Q$19+15*$Q$18</f>
        <v>-351.40000000000009</v>
      </c>
      <c r="U25" s="9">
        <f t="shared" si="4"/>
        <v>-351.26468229565938</v>
      </c>
      <c r="V25" s="25">
        <f t="shared" si="5"/>
        <v>-0.13531770434070722</v>
      </c>
      <c r="W25" s="2" t="s">
        <v>29</v>
      </c>
    </row>
    <row r="26" spans="1:23" ht="16.8">
      <c r="A26" s="2" t="s">
        <v>36</v>
      </c>
      <c r="D26" s="12">
        <v>-22.41</v>
      </c>
      <c r="E26" s="12">
        <v>0.3</v>
      </c>
      <c r="F26" s="23">
        <f t="shared" si="1"/>
        <v>127.91722191289728</v>
      </c>
      <c r="G26" s="23">
        <f t="shared" si="0"/>
        <v>1.7124126092757332</v>
      </c>
      <c r="H26" s="10">
        <v>-3527.2</v>
      </c>
      <c r="I26" s="9">
        <f>3*$I$17+2*$I$19-$F26</f>
        <v>-3527.1872219128973</v>
      </c>
      <c r="J26" s="9">
        <f t="shared" si="2"/>
        <v>-1.2778087102560676E-2</v>
      </c>
      <c r="K26" s="22">
        <f>3*$K$17+2*$K$19-$F26</f>
        <v>-3545.0242219128972</v>
      </c>
      <c r="L26" s="22">
        <f>SQRT($L$17^2+$L$19^2+$G26^2)</f>
        <v>2.6829755765579613</v>
      </c>
      <c r="M26" s="22">
        <f t="shared" si="3"/>
        <v>17.824221912897428</v>
      </c>
      <c r="N26" s="10">
        <v>-3769.1</v>
      </c>
      <c r="O26" s="13">
        <f>3*$N$17+2*$N$19+0*$N$18-$N26</f>
        <v>-184.26999999999998</v>
      </c>
      <c r="P26" s="10"/>
      <c r="Q26" s="10">
        <v>189.2</v>
      </c>
      <c r="R26" s="10">
        <v>213.5</v>
      </c>
      <c r="S26" s="27">
        <f>-$R26+3*$R$17+2*$R$19</f>
        <v>-1316.32</v>
      </c>
      <c r="T26" s="5">
        <f>-$Q26+3*$Q$17+2*$Q$19</f>
        <v>-1046.9099999999999</v>
      </c>
      <c r="U26" s="9">
        <f>($O26-$F26)/$B$16*1000</f>
        <v>-1047.0810729931152</v>
      </c>
      <c r="V26" s="25">
        <f t="shared" si="5"/>
        <v>0.17107299311533097</v>
      </c>
      <c r="W26" s="2" t="s">
        <v>28</v>
      </c>
    </row>
    <row r="27" spans="1:23" ht="16.8">
      <c r="A27" s="2" t="s">
        <v>46</v>
      </c>
      <c r="D27" s="12">
        <v>-23.5</v>
      </c>
      <c r="E27" s="13">
        <v>1.8</v>
      </c>
      <c r="F27" s="23">
        <f t="shared" si="1"/>
        <v>134.13898772659911</v>
      </c>
      <c r="G27" s="23">
        <f t="shared" si="0"/>
        <v>10.274475655654399</v>
      </c>
      <c r="H27" s="10">
        <v>-4482.1000000000004</v>
      </c>
      <c r="I27" s="9">
        <f>3*$I$17+2*$I$19+4*$I$18-$F27</f>
        <v>-4482.128987726599</v>
      </c>
      <c r="J27" s="9">
        <f t="shared" si="2"/>
        <v>2.8987726598643349E-2</v>
      </c>
      <c r="K27" s="22">
        <f>3*$K$17+2*$K$19+4*$K$18-$F27</f>
        <v>-4499.8059877265987</v>
      </c>
      <c r="L27" s="22">
        <f>SQRT($L$17^2+$L$19^2+$L$18^2+$G27^2)</f>
        <v>10.480101716998499</v>
      </c>
      <c r="M27" s="22">
        <f t="shared" si="3"/>
        <v>17.705987726598323</v>
      </c>
      <c r="N27" s="10">
        <v>-4864.8999999999996</v>
      </c>
      <c r="O27" s="13">
        <f>3*$N$17+2*$N$19+4*$N$18-$N27</f>
        <v>-231.98999999999978</v>
      </c>
      <c r="P27" s="10"/>
      <c r="Q27" s="10">
        <v>650</v>
      </c>
      <c r="R27" s="10">
        <v>373.6</v>
      </c>
      <c r="S27" s="27">
        <f>-$R27+3*$R$17+2*$R$19+4*$R$18</f>
        <v>-1174.98</v>
      </c>
      <c r="T27" s="5">
        <f>-$Q27+3*$Q$17+2*$Q$19+4*$Q$18</f>
        <v>-1228.03</v>
      </c>
      <c r="U27" s="9">
        <f>($O27-$F27)/$B$16*1000</f>
        <v>-1228.0026420479589</v>
      </c>
      <c r="V27" s="25">
        <f t="shared" si="5"/>
        <v>-2.7357952041029421E-2</v>
      </c>
      <c r="W27" s="2" t="s">
        <v>32</v>
      </c>
    </row>
    <row r="28" spans="1:23" ht="16.8">
      <c r="A28" s="2" t="s">
        <v>26</v>
      </c>
      <c r="D28" s="12">
        <v>-25.3</v>
      </c>
      <c r="E28" s="13">
        <v>1</v>
      </c>
      <c r="F28" s="23">
        <f t="shared" si="1"/>
        <v>144.4134633822535</v>
      </c>
      <c r="G28" s="23">
        <f t="shared" si="0"/>
        <v>5.7080420309191107</v>
      </c>
      <c r="H28" s="10">
        <v>-5441.1</v>
      </c>
      <c r="I28" s="9">
        <f>3*$I$17+2*$I$19+8*$I$18-$F28</f>
        <v>-5441.1234633822532</v>
      </c>
      <c r="J28" s="9">
        <f t="shared" si="2"/>
        <v>2.3463382252884912E-2</v>
      </c>
      <c r="K28" s="22">
        <f>3*$K$17+2*$K$19+8*$K$18-$F28</f>
        <v>-5458.6404633822531</v>
      </c>
      <c r="L28" s="22">
        <f>SQRT($L$17^2+$L$19^2+$L$18^2+$G28^2)</f>
        <v>6.0703727914139805</v>
      </c>
      <c r="M28" s="22">
        <f t="shared" si="3"/>
        <v>17.54046338225271</v>
      </c>
      <c r="N28" s="10">
        <v>-6056.5</v>
      </c>
      <c r="O28" s="13">
        <f>3*$N$17+2*$N$19+8*$N$18-$N28</f>
        <v>-183.90999999999985</v>
      </c>
      <c r="P28" s="10"/>
      <c r="Q28" s="10">
        <v>801.4</v>
      </c>
      <c r="R28" s="10">
        <v>533.79999999999995</v>
      </c>
      <c r="S28" s="27">
        <f>-$R28+3*$R$17+2*$R$19+8*$R$18</f>
        <v>-1033.7399999999998</v>
      </c>
      <c r="T28" s="5">
        <f>-$Q28+3*$Q$17+2*$Q$19+8*$Q$18</f>
        <v>-1099.75</v>
      </c>
      <c r="U28" s="9">
        <f t="shared" si="4"/>
        <v>-1101.2022920753091</v>
      </c>
      <c r="V28" s="25">
        <f t="shared" si="5"/>
        <v>1.4522920753090602</v>
      </c>
      <c r="W28" s="2" t="s">
        <v>31</v>
      </c>
    </row>
    <row r="29" spans="1:23" ht="16.8">
      <c r="A29" s="2" t="s">
        <v>27</v>
      </c>
      <c r="D29" s="12">
        <v>-23.03</v>
      </c>
      <c r="E29" s="11">
        <v>0.56000000000000005</v>
      </c>
      <c r="F29" s="23">
        <f t="shared" si="1"/>
        <v>131.45620797206712</v>
      </c>
      <c r="G29" s="23">
        <f t="shared" si="0"/>
        <v>3.1965035373147024</v>
      </c>
      <c r="H29" s="10">
        <v>-8748.7000000000007</v>
      </c>
      <c r="I29" s="9">
        <f>3*$I$17+2*$I$19+22*$I$18-$F29</f>
        <v>-8748.6862079720668</v>
      </c>
      <c r="J29" s="9">
        <f t="shared" si="2"/>
        <v>-1.3792027933959616E-2</v>
      </c>
      <c r="K29" s="22">
        <f>3*$K$17+2*$K$19+22*$K$18-$F29</f>
        <v>-8765.6432079720671</v>
      </c>
      <c r="L29" s="22">
        <f>SQRT($L$17^2+$L$19^2+$L$18^2+$G29^2)</f>
        <v>3.8059580743966954</v>
      </c>
      <c r="M29" s="22">
        <f t="shared" si="3"/>
        <v>16.943207972066375</v>
      </c>
      <c r="N29" s="10">
        <v>-10265.1</v>
      </c>
      <c r="O29" s="13">
        <f>3*$N$17+2*$N$19+22*$N$18-$N29</f>
        <v>22.3700000000008</v>
      </c>
      <c r="P29" s="10"/>
      <c r="Q29" s="10">
        <v>1046.5999999999999</v>
      </c>
      <c r="R29" s="10">
        <v>1003.6</v>
      </c>
      <c r="S29" s="27">
        <f>-$R29+3*$R$17+2*$R$19+22*$R$18</f>
        <v>-448.5</v>
      </c>
      <c r="T29" s="5">
        <f>-$Q29+3*$Q$17+2*$Q$19+22*$Q$18</f>
        <v>-366.06999999999994</v>
      </c>
      <c r="U29" s="9">
        <f t="shared" si="4"/>
        <v>-365.87693433528875</v>
      </c>
      <c r="V29" s="25">
        <f t="shared" si="5"/>
        <v>-0.19306566471118458</v>
      </c>
      <c r="W29" s="2" t="s">
        <v>30</v>
      </c>
    </row>
    <row r="30" spans="1:23" ht="15.6">
      <c r="A30" s="2" t="s">
        <v>47</v>
      </c>
      <c r="D30" s="12">
        <v>-23.5</v>
      </c>
      <c r="E30" s="13"/>
      <c r="H30" s="10">
        <v>-4482.1000000000004</v>
      </c>
      <c r="N30" s="29">
        <f>T30/1000*298.15+H30</f>
        <v>-4755.5124945000007</v>
      </c>
      <c r="O30" s="13">
        <f>3*$N$17+2*$N$19+4*$N$18-$N30</f>
        <v>-341.37750549999873</v>
      </c>
      <c r="Q30" s="10">
        <v>339</v>
      </c>
      <c r="S30" s="27">
        <f>S$27</f>
        <v>-1174.98</v>
      </c>
      <c r="T30" s="5">
        <f>-$Q30+3*$Q$17+2*$Q$19+4*$Q$18</f>
        <v>-917.03</v>
      </c>
    </row>
    <row r="31" spans="1:23" ht="15.6">
      <c r="A31" s="2" t="s">
        <v>48</v>
      </c>
      <c r="D31" s="12">
        <f>$D$27</f>
        <v>-23.5</v>
      </c>
      <c r="E31" s="13"/>
      <c r="F31" s="23">
        <f t="shared" si="1"/>
        <v>134.13898772659911</v>
      </c>
      <c r="H31" s="10"/>
      <c r="I31" s="9">
        <f t="shared" ref="I31:I32" si="6">3*$I$17+2*$I$19+4*$I$18-$F31</f>
        <v>-4482.128987726599</v>
      </c>
      <c r="N31" s="29">
        <f>T31/1000*298.15+I31</f>
        <v>-4907.8961322265986</v>
      </c>
      <c r="O31" s="13">
        <f>3*$N$17+2*$N$19+4*$N$18-$N31</f>
        <v>-188.99386777340078</v>
      </c>
      <c r="P31" s="29">
        <f>O31-$O$27</f>
        <v>42.996132226599002</v>
      </c>
      <c r="Q31" s="10">
        <f>$Q$27+200</f>
        <v>850</v>
      </c>
      <c r="S31" s="27">
        <f t="shared" ref="S31:S32" si="7">S$27</f>
        <v>-1174.98</v>
      </c>
      <c r="T31" s="5">
        <f>-$Q31+3*$Q$17+2*$Q$19+4*$Q$18</f>
        <v>-1428.03</v>
      </c>
    </row>
    <row r="32" spans="1:23" ht="15.6">
      <c r="A32" s="2" t="s">
        <v>49</v>
      </c>
      <c r="D32" s="12">
        <f>$D$27</f>
        <v>-23.5</v>
      </c>
      <c r="E32" s="13"/>
      <c r="F32" s="23">
        <f t="shared" si="1"/>
        <v>134.13898772659911</v>
      </c>
      <c r="H32" s="10"/>
      <c r="I32" s="9">
        <f t="shared" si="6"/>
        <v>-4482.128987726599</v>
      </c>
      <c r="N32" s="29">
        <f>T32/1000*298.15+I32</f>
        <v>-4788.6361322265993</v>
      </c>
      <c r="O32" s="13">
        <f>3*$N$17+2*$N$19+4*$N$18-$N32</f>
        <v>-308.25386777340009</v>
      </c>
      <c r="P32" s="29">
        <f>O32-$O$27</f>
        <v>-76.263867773400307</v>
      </c>
      <c r="Q32" s="10">
        <f>$Q$27+-200</f>
        <v>450</v>
      </c>
      <c r="S32" s="27">
        <f t="shared" si="7"/>
        <v>-1174.98</v>
      </c>
      <c r="T32" s="5">
        <f>-$Q32+3*$Q$17+2*$Q$19+4*$Q$18</f>
        <v>-1028.03</v>
      </c>
    </row>
    <row r="33" spans="1:26" ht="16.8">
      <c r="A33" s="2" t="s">
        <v>50</v>
      </c>
      <c r="D33" s="12">
        <v>20.77</v>
      </c>
      <c r="E33" s="13"/>
      <c r="F33" s="23">
        <f>-$D33*$B$19</f>
        <v>-118.55603298218993</v>
      </c>
      <c r="H33" s="31">
        <v>-1591.2</v>
      </c>
      <c r="I33" s="9">
        <f>$F33+2*$I$15+$I$17+$I$19</f>
        <v>-1591.19603298219</v>
      </c>
      <c r="J33" s="9">
        <f t="shared" ref="J33:J37" si="8">$H33-I33</f>
        <v>-3.9670178100550402E-3</v>
      </c>
      <c r="N33" s="10">
        <v>-1748.8</v>
      </c>
      <c r="O33" s="33">
        <f>$N33-2*$N$15-$N$17-$N$19</f>
        <v>-5.0799999999999272</v>
      </c>
      <c r="P33" s="29"/>
      <c r="Q33" s="10"/>
      <c r="R33" s="10">
        <v>77</v>
      </c>
      <c r="S33" s="33">
        <f>$R33-2*$R$15-$R$17-$R$19</f>
        <v>617.57999999999993</v>
      </c>
      <c r="T33" s="5"/>
      <c r="W33" s="2" t="s">
        <v>53</v>
      </c>
    </row>
    <row r="34" spans="1:26" ht="16.8">
      <c r="A34" s="2" t="s">
        <v>51</v>
      </c>
      <c r="D34" s="12">
        <v>14.8</v>
      </c>
      <c r="E34" s="13"/>
      <c r="F34" s="23">
        <f t="shared" si="1"/>
        <v>-84.479022057602847</v>
      </c>
      <c r="H34" s="10">
        <v>-1557.1</v>
      </c>
      <c r="I34" s="9">
        <f>$F34+$I$15+$I$17+$I$19</f>
        <v>-1557.1190220576027</v>
      </c>
      <c r="J34" s="9">
        <f t="shared" si="8"/>
        <v>1.9022057602796849E-2</v>
      </c>
      <c r="N34" s="10">
        <v>-1714.7</v>
      </c>
      <c r="O34" s="33">
        <f>$N34-$N$15-$N$17-$N$19</f>
        <v>29.019999999999982</v>
      </c>
      <c r="P34" s="29"/>
      <c r="Q34" s="10"/>
      <c r="R34" s="10">
        <v>77</v>
      </c>
      <c r="S34" s="33">
        <f>$R34-$R$15-$R$17-$R$19</f>
        <v>617.57999999999993</v>
      </c>
      <c r="T34" s="5"/>
      <c r="W34" s="2" t="s">
        <v>54</v>
      </c>
    </row>
    <row r="35" spans="1:26" ht="16.8">
      <c r="A35" s="2" t="s">
        <v>52</v>
      </c>
      <c r="D35" s="12">
        <v>4.92</v>
      </c>
      <c r="E35" s="13"/>
      <c r="F35" s="23">
        <f t="shared" si="1"/>
        <v>-28.083566792122024</v>
      </c>
      <c r="H35" s="10">
        <v>-1500.7</v>
      </c>
      <c r="I35" s="9">
        <f>$F35+$I$17+$I$19</f>
        <v>-1500.723566792122</v>
      </c>
      <c r="J35" s="9">
        <f t="shared" si="8"/>
        <v>2.3566792121982871E-2</v>
      </c>
      <c r="N35" s="10">
        <v>-1678.8</v>
      </c>
      <c r="O35" s="13">
        <f>$N35-$N$17-$N$19</f>
        <v>64.920000000000073</v>
      </c>
      <c r="P35" s="29"/>
      <c r="Q35" s="10"/>
      <c r="R35" s="1">
        <v>-50.4</v>
      </c>
      <c r="S35" s="13">
        <f>$R35-$R$17-$R$19</f>
        <v>490.17999999999995</v>
      </c>
      <c r="T35" s="5"/>
      <c r="W35" s="2" t="s">
        <v>55</v>
      </c>
    </row>
    <row r="36" spans="1:26" ht="16.8">
      <c r="A36" s="2" t="s">
        <v>59</v>
      </c>
      <c r="D36" s="12">
        <v>19.559999999999999</v>
      </c>
      <c r="E36" s="13"/>
      <c r="F36" s="23">
        <f t="shared" si="1"/>
        <v>-111.64930212477779</v>
      </c>
      <c r="H36" s="10">
        <v>-1130.31</v>
      </c>
      <c r="I36" s="9">
        <f>$F36+2*$I$15+$I$19</f>
        <v>-1130.2993021247778</v>
      </c>
      <c r="J36" s="9">
        <f t="shared" si="8"/>
        <v>-1.0697875222149378E-2</v>
      </c>
      <c r="N36" s="32">
        <v>-1296.3900000000001</v>
      </c>
      <c r="O36" s="33">
        <f>$N36-2*$N$15-$N$19</f>
        <v>-18.600000000000136</v>
      </c>
      <c r="P36" s="29"/>
      <c r="Q36" s="10"/>
      <c r="R36" s="1">
        <v>-28.73</v>
      </c>
      <c r="S36" s="33">
        <f>$R36-2*$R$15-$R$19</f>
        <v>490.18999999999994</v>
      </c>
      <c r="T36" s="5"/>
      <c r="W36" s="2" t="s">
        <v>57</v>
      </c>
    </row>
    <row r="37" spans="1:26" ht="16.8">
      <c r="A37" s="2" t="s">
        <v>58</v>
      </c>
      <c r="D37" s="12">
        <v>12.35</v>
      </c>
      <c r="E37" s="13"/>
      <c r="F37" s="23">
        <f t="shared" si="1"/>
        <v>-70.494319081851017</v>
      </c>
      <c r="H37" s="10">
        <v>-1089.1400000000001</v>
      </c>
      <c r="I37" s="9">
        <f>$F37+$I$15+$I$19</f>
        <v>-1089.1443190818509</v>
      </c>
      <c r="J37" s="9">
        <f t="shared" si="8"/>
        <v>4.3190818507810036E-3</v>
      </c>
      <c r="N37" s="32">
        <v>-1292.1500000000001</v>
      </c>
      <c r="O37" s="33">
        <f>$N37-$N$15-$N$19</f>
        <v>-14.360000000000127</v>
      </c>
      <c r="P37" s="29"/>
      <c r="Q37" s="10"/>
      <c r="R37" s="1">
        <v>-242.5</v>
      </c>
      <c r="S37" s="33">
        <f>$R37-$R$15-$R$19</f>
        <v>276.41999999999996</v>
      </c>
      <c r="T37" s="5"/>
      <c r="W37" s="2" t="s">
        <v>56</v>
      </c>
    </row>
    <row r="38" spans="1:26" ht="16.8">
      <c r="A38" s="2" t="s">
        <v>50</v>
      </c>
      <c r="D38" s="12">
        <f>D33-D36</f>
        <v>1.2100000000000009</v>
      </c>
      <c r="E38" s="13"/>
      <c r="F38" s="23"/>
      <c r="H38" s="10"/>
      <c r="I38" s="9"/>
      <c r="J38" s="9"/>
      <c r="N38" s="32"/>
      <c r="O38" s="12">
        <f>O33-O36</f>
        <v>13.520000000000209</v>
      </c>
      <c r="P38" s="29"/>
      <c r="Q38" s="10"/>
      <c r="R38" s="1"/>
      <c r="S38" s="12">
        <f>S33-S36</f>
        <v>127.38999999999999</v>
      </c>
      <c r="T38" s="5"/>
      <c r="W38" s="2" t="s">
        <v>60</v>
      </c>
    </row>
    <row r="39" spans="1:26" ht="16.8">
      <c r="A39" s="2" t="s">
        <v>51</v>
      </c>
      <c r="D39" s="12">
        <f>D34-D37</f>
        <v>2.4500000000000011</v>
      </c>
      <c r="E39" s="13"/>
      <c r="F39" s="23"/>
      <c r="H39" s="10"/>
      <c r="I39" s="9"/>
      <c r="J39" s="9"/>
      <c r="N39" s="32"/>
      <c r="O39" s="12">
        <f>O34-O37</f>
        <v>43.380000000000109</v>
      </c>
      <c r="P39" s="29"/>
      <c r="Q39" s="10"/>
      <c r="R39" s="1"/>
      <c r="S39" s="12">
        <f>S34-S37</f>
        <v>341.15999999999997</v>
      </c>
      <c r="T39" s="5"/>
      <c r="W39" s="2" t="s">
        <v>61</v>
      </c>
    </row>
    <row r="41" spans="1:26" ht="15.6">
      <c r="A41" s="2" t="s">
        <v>42</v>
      </c>
      <c r="B41" s="3" t="s">
        <v>43</v>
      </c>
      <c r="C41" s="3" t="s">
        <v>45</v>
      </c>
      <c r="D41" s="26" t="s">
        <v>44</v>
      </c>
      <c r="E41" s="26" t="s">
        <v>44</v>
      </c>
      <c r="F41" s="26" t="s">
        <v>44</v>
      </c>
      <c r="G41" s="26" t="s">
        <v>44</v>
      </c>
      <c r="H41" s="26" t="s">
        <v>44</v>
      </c>
      <c r="I41" s="26" t="s">
        <v>44</v>
      </c>
      <c r="J41" s="26" t="s">
        <v>44</v>
      </c>
      <c r="K41" s="26" t="s">
        <v>44</v>
      </c>
      <c r="L41" s="26" t="s">
        <v>44</v>
      </c>
      <c r="M41" s="26" t="s">
        <v>44</v>
      </c>
      <c r="N41" s="26" t="s">
        <v>44</v>
      </c>
      <c r="O41" s="26" t="s">
        <v>44</v>
      </c>
      <c r="P41" s="26" t="s">
        <v>44</v>
      </c>
      <c r="Q41" s="26" t="s">
        <v>44</v>
      </c>
      <c r="S41" s="26" t="s">
        <v>44</v>
      </c>
      <c r="T41" s="26" t="s">
        <v>44</v>
      </c>
      <c r="V41" s="26" t="s">
        <v>44</v>
      </c>
      <c r="W41" s="26" t="s">
        <v>44</v>
      </c>
      <c r="Y41" s="26" t="s">
        <v>44</v>
      </c>
      <c r="Z41" s="26" t="s">
        <v>44</v>
      </c>
    </row>
    <row r="42" spans="1:26">
      <c r="A42" s="8">
        <v>0</v>
      </c>
      <c r="B42">
        <f>A42+273.15</f>
        <v>273.14999999999998</v>
      </c>
      <c r="C42">
        <f>1/B42</f>
        <v>3.6609921288669233E-3</v>
      </c>
      <c r="D42" s="9">
        <f>$D$21+$O$21/($B$15*LN(10))*(1/$B$16-1/$B42)+$S$21/1000/($B$15*LN(10))*($B$16/$B42-1+LN($B42/$B$16))</f>
        <v>-18.020355138537411</v>
      </c>
      <c r="E42" s="9">
        <f t="shared" ref="E42:E52" si="9">$D$22+$O$22/($B$15*LN(10))*(1/$B$16-1/$B42)+$S$22/1000/($B$15*LN(10))*($B$16/$B42-1+LN($B42/$B$16))</f>
        <v>-17.531085760372822</v>
      </c>
      <c r="F42" s="9">
        <f t="shared" ref="F42:F52" si="10">$D$23+$O$23/($B$15*LN(10))*(1/$B$16-1/$B42)+$S$23/1000/($B$15*LN(10))*($B$16/$B42-1+LN($B42/$B$16))</f>
        <v>-11.142279556455973</v>
      </c>
      <c r="G42" s="9">
        <f t="shared" ref="G42:G52" si="11">$D$24+$O$24/($B$15*LN(10))*(1/$B$16-1/$B42)+$S$24/1000/($B$15*LN(10))*($B$16/$B42-1+LN($B42/$B$16))</f>
        <v>-10.49366184047693</v>
      </c>
      <c r="H42" s="9">
        <f t="shared" ref="H42:H52" si="12">$D$25+$O$25/($B$15*LN(10))*(1/$B$16-1/$B42)+$S$25/1000/($B$15*LN(10))*($B$16/$B42-1+LN($B42/$B$16))</f>
        <v>-29.757112040058704</v>
      </c>
      <c r="I42" s="9">
        <f t="shared" ref="I42:I52" si="13">$D$26+$O$26/($B$15*LN(10))*(1/$B$16-1/$B42)+$S$26/1000/($B$15*LN(10))*($B$16/$B42-1+LN($B42/$B$16))</f>
        <v>-19.726877476715931</v>
      </c>
      <c r="J42" s="9">
        <f>$D$27+$O$27/($B$15*LN(10))*(1/$B$16-1/$B42)+$S$27/1000/($B$15*LN(10))*($B$16/$B42-1+LN($B42/$B$16))</f>
        <v>-20.022562334498694</v>
      </c>
      <c r="K42" s="9">
        <f t="shared" ref="K42:K52" si="14">$D$28+$O$28/($B$15*LN(10))*(1/$B$16-1/$B42)+$S$28/1000/($B$15*LN(10))*($B$16/$B42-1+LN($B42/$B$16))</f>
        <v>-22.564359548500477</v>
      </c>
      <c r="L42" s="9">
        <f t="shared" ref="L42:L52" si="15">$D$29+$O$29/($B$15*LN(10))*(1/$B$16-1/$B42)+$S$29/1000/($B$15*LN(10))*($B$16/$B42-1+LN($B42/$B$16))</f>
        <v>-23.481204739432364</v>
      </c>
      <c r="M42" s="9">
        <f>$D$28+1+$O$28/($B$15*LN(10))*(1/$B$16-1/$B42)+$S$28/1000/($B$15*LN(10))*($B$16/$B42-1+LN($B42/$B$16))</f>
        <v>-21.564359548500477</v>
      </c>
      <c r="N42" s="9">
        <f>$D$28-1+$O$28/($B$15*LN(10))*(1/$B$16-1/$B42)+$S$28/1000/($B$15*LN(10))*($B$16/$B42-1+LN($B42/$B$16))</f>
        <v>-23.564359548500477</v>
      </c>
      <c r="O42" s="9">
        <f>$D$30+$O$30/($B$15*LN(10))*(1/$B$16-1/$B42)+$S$30/1000/($B$15*LN(10))*($B$16/$B42-1+LN($B42/$B$16))</f>
        <v>-18.268603645763356</v>
      </c>
      <c r="P42" s="9">
        <f>$D$32+$O$32/($B$15*LN(10))*(1/$B$16-1/$B42)+$S$32/1000/($B$15*LN(10))*($B$16/$B42-1+LN($B42/$B$16))</f>
        <v>-18.799719991524526</v>
      </c>
      <c r="Q42" s="9">
        <f>$D$31+$O$31/($B$15*LN(10))*(1/$B$16-1/$B42)+$S$31/1000/($B$15*LN(10))*($B$16/$B42-1+LN($B42/$B$16))</f>
        <v>-20.711977815326691</v>
      </c>
      <c r="S42" s="9">
        <f>$D$21+$E$21+$O$21/($B$15*LN(10))*(1/$B$16-1/$B42)+$S$21/1000/($B$15*LN(10))*($B$16/$B42-1+LN($B42/$B$16))</f>
        <v>-17.790355138537411</v>
      </c>
      <c r="T42" s="9">
        <f>$D$21-$E$21+$O$21/($B$15*LN(10))*(1/$B$16-1/$B42)+$S$21/1000/($B$15*LN(10))*($B$16/$B42-1+LN($B42/$B$16))</f>
        <v>-18.250355138537412</v>
      </c>
      <c r="V42" s="9">
        <f>$D$23+$E$23+$O$23/($B$15*LN(10))*(1/$B$16-1/$B42)+$S$23/1000/($B$15*LN(10))*($B$16/$B42-1+LN($B42/$B$16))</f>
        <v>-10.832279556455973</v>
      </c>
      <c r="W42" s="9">
        <f>$D$23-$E$23+$O$23/($B$15*LN(10))*(1/$B$16-1/$B42)+$S$23/1000/($B$15*LN(10))*($B$16/$B42-1+LN($B42/$B$16))</f>
        <v>-11.452279556455974</v>
      </c>
      <c r="Y42" s="9">
        <f>$D$29+$E$29+$O$29/($B$15*LN(10))*(1/$B$16-1/$B42)+$S$29/1000/($B$15*LN(10))*($B$16/$B42-1+LN($B42/$B$16))</f>
        <v>-22.921204739432365</v>
      </c>
      <c r="Z42" s="9">
        <f>$D$29-$E$29+$O$29/($B$15*LN(10))*(1/$B$16-1/$B42)+$S$29/1000/($B$15*LN(10))*($B$16/$B42-1+LN($B42/$B$16))</f>
        <v>-24.041204739432363</v>
      </c>
    </row>
    <row r="43" spans="1:26">
      <c r="A43" s="8">
        <v>10</v>
      </c>
      <c r="B43">
        <f t="shared" ref="B43:B52" si="16">A43+273.15</f>
        <v>283.14999999999998</v>
      </c>
      <c r="C43">
        <f t="shared" ref="C43:C52" si="17">1/B43</f>
        <v>3.5316969803990822E-3</v>
      </c>
      <c r="D43" s="9">
        <f t="shared" ref="D43:D52" si="18">$D$21+$O$21/($B$15*LN(10))*(1/$B$16-1/$B43)+$S$21/1000/($B$15*LN(10))*($B$16/$B43-1+LN($B43/$B$16))</f>
        <v>-17.958143188345158</v>
      </c>
      <c r="E43" s="9">
        <f t="shared" si="9"/>
        <v>-17.29431748354029</v>
      </c>
      <c r="F43" s="9">
        <f t="shared" si="10"/>
        <v>-11.045833559311003</v>
      </c>
      <c r="G43" s="9">
        <f t="shared" si="11"/>
        <v>-10.657613947770296</v>
      </c>
      <c r="H43" s="9">
        <f t="shared" si="12"/>
        <v>-29.26569414584953</v>
      </c>
      <c r="I43" s="9">
        <f t="shared" si="13"/>
        <v>-20.793019269352648</v>
      </c>
      <c r="J43" s="9">
        <f t="shared" ref="J43:J52" si="19">$D$27+$O$27/($B$15*LN(10))*(1/$B$16-1/$B43)+$S$27/1000/($B$15*LN(10))*($B$16/$B43-1+LN($B43/$B$16))</f>
        <v>-21.430129907904877</v>
      </c>
      <c r="K43" s="9">
        <f t="shared" si="14"/>
        <v>-23.666352600734292</v>
      </c>
      <c r="L43" s="9">
        <f t="shared" si="15"/>
        <v>-23.269368068003686</v>
      </c>
      <c r="M43" s="9">
        <f t="shared" ref="M43:M52" si="20">$D$28+1+$O$28/($B$15*LN(10))*(1/$B$16-1/$B43)+$S$28/1000/($B$15*LN(10))*($B$16/$B43-1+LN($B43/$B$16))</f>
        <v>-22.666352600734292</v>
      </c>
      <c r="N43" s="9">
        <f t="shared" ref="N43:N52" si="21">$D$28-1+$O$28/($B$15*LN(10))*(1/$B$16-1/$B43)+$S$28/1000/($B$15*LN(10))*($B$16/$B43-1+LN($B43/$B$16))</f>
        <v>-24.666352600734292</v>
      </c>
      <c r="O43" s="9">
        <f t="shared" ref="O43:O52" si="22">$D$30+$O$30/($B$15*LN(10))*(1/$B$16-1/$B43)+$S$30/1000/($B$15*LN(10))*($B$16/$B43-1+LN($B43/$B$16))</f>
        <v>-20.414921398292183</v>
      </c>
      <c r="P43" s="9">
        <f t="shared" ref="P43:P44" si="23">$D$32+$O$32/($B$15*LN(10))*(1/$B$16-1/$B43)+$S$32/1000/($B$15*LN(10))*($B$16/$B43-1+LN($B43/$B$16))</f>
        <v>-20.722336753781494</v>
      </c>
      <c r="Q43" s="9">
        <f t="shared" ref="Q43:Q44" si="24">$D$31+$O$31/($B$15*LN(10))*(1/$B$16-1/$B43)+$S$31/1000/($B$15*LN(10))*($B$16/$B43-1+LN($B43/$B$16))</f>
        <v>-21.829170356970394</v>
      </c>
      <c r="S43" s="9">
        <f t="shared" ref="S43:S52" si="25">$D$21+$E$21+$O$21/($B$15*LN(10))*(1/$B$16-1/$B43)+$S$21/1000/($B$15*LN(10))*($B$16/$B43-1+LN($B43/$B$16))</f>
        <v>-17.728143188345157</v>
      </c>
      <c r="T43" s="9">
        <f t="shared" ref="T43:T52" si="26">$D$21-$E$21+$O$21/($B$15*LN(10))*(1/$B$16-1/$B43)+$S$21/1000/($B$15*LN(10))*($B$16/$B43-1+LN($B43/$B$16))</f>
        <v>-18.188143188345158</v>
      </c>
      <c r="V43" s="9">
        <f t="shared" ref="V43:V52" si="27">$D$23+$E$23+$O$23/($B$15*LN(10))*(1/$B$16-1/$B43)+$S$23/1000/($B$15*LN(10))*($B$16/$B43-1+LN($B43/$B$16))</f>
        <v>-10.735833559311002</v>
      </c>
      <c r="W43" s="9">
        <f t="shared" ref="W43:W52" si="28">$D$23-$E$23+$O$23/($B$15*LN(10))*(1/$B$16-1/$B43)+$S$23/1000/($B$15*LN(10))*($B$16/$B43-1+LN($B43/$B$16))</f>
        <v>-11.355833559311003</v>
      </c>
      <c r="Y43" s="9">
        <f t="shared" ref="Y43:Y52" si="29">$D$29+$E$29+$O$29/($B$15*LN(10))*(1/$B$16-1/$B43)+$S$29/1000/($B$15*LN(10))*($B$16/$B43-1+LN($B43/$B$16))</f>
        <v>-22.709368068003688</v>
      </c>
      <c r="Z43" s="9">
        <f t="shared" ref="Z43:Z52" si="30">$D$29-$E$29+$O$29/($B$15*LN(10))*(1/$B$16-1/$B43)+$S$29/1000/($B$15*LN(10))*($B$16/$B43-1+LN($B43/$B$16))</f>
        <v>-23.829368068003685</v>
      </c>
    </row>
    <row r="44" spans="1:26">
      <c r="A44" s="8">
        <v>20</v>
      </c>
      <c r="B44">
        <f t="shared" si="16"/>
        <v>293.14999999999998</v>
      </c>
      <c r="C44">
        <f t="shared" si="17"/>
        <v>3.4112229234180458E-3</v>
      </c>
      <c r="D44" s="9">
        <f t="shared" si="18"/>
        <v>-17.93146343209645</v>
      </c>
      <c r="E44" s="9">
        <f t="shared" si="9"/>
        <v>-17.09610066835852</v>
      </c>
      <c r="F44" s="9">
        <f t="shared" si="10"/>
        <v>-10.981447817896111</v>
      </c>
      <c r="G44" s="9">
        <f t="shared" si="11"/>
        <v>-10.846976117104338</v>
      </c>
      <c r="H44" s="9">
        <f t="shared" si="12"/>
        <v>-28.851242747833265</v>
      </c>
      <c r="I44" s="9">
        <f t="shared" si="13"/>
        <v>-21.869274205477289</v>
      </c>
      <c r="J44" s="9">
        <f t="shared" si="19"/>
        <v>-22.815620998579735</v>
      </c>
      <c r="K44" s="9">
        <f t="shared" si="14"/>
        <v>-24.75822708331545</v>
      </c>
      <c r="L44" s="9">
        <f t="shared" si="15"/>
        <v>-23.100212738531884</v>
      </c>
      <c r="M44" s="9">
        <f t="shared" si="20"/>
        <v>-23.75822708331545</v>
      </c>
      <c r="N44" s="9">
        <f t="shared" si="21"/>
        <v>-25.75822708331545</v>
      </c>
      <c r="O44" s="9">
        <f t="shared" si="22"/>
        <v>-22.488761837175637</v>
      </c>
      <c r="P44" s="9">
        <f t="shared" si="23"/>
        <v>-22.587738081313219</v>
      </c>
      <c r="Q44" s="9">
        <f t="shared" si="24"/>
        <v>-22.944097095177497</v>
      </c>
      <c r="S44" s="9">
        <f t="shared" si="25"/>
        <v>-17.70146343209645</v>
      </c>
      <c r="T44" s="9">
        <f t="shared" si="26"/>
        <v>-18.161463432096451</v>
      </c>
      <c r="V44" s="9">
        <f t="shared" si="27"/>
        <v>-10.671447817896111</v>
      </c>
      <c r="W44" s="9">
        <f t="shared" si="28"/>
        <v>-11.291447817896112</v>
      </c>
      <c r="Y44" s="9">
        <f t="shared" si="29"/>
        <v>-22.540212738531885</v>
      </c>
      <c r="Z44" s="9">
        <f t="shared" si="30"/>
        <v>-23.660212738531882</v>
      </c>
    </row>
    <row r="45" spans="1:26">
      <c r="A45" s="8">
        <v>25</v>
      </c>
      <c r="B45">
        <f t="shared" si="16"/>
        <v>298.14999999999998</v>
      </c>
      <c r="C45">
        <f t="shared" si="17"/>
        <v>3.3540164346805303E-3</v>
      </c>
      <c r="D45" s="9">
        <f t="shared" si="18"/>
        <v>-17.93</v>
      </c>
      <c r="E45" s="9">
        <f t="shared" si="9"/>
        <v>-17.010000000000002</v>
      </c>
      <c r="F45" s="9">
        <f t="shared" si="10"/>
        <v>-10.96</v>
      </c>
      <c r="G45" s="9">
        <f t="shared" si="11"/>
        <v>-10.95</v>
      </c>
      <c r="H45" s="9">
        <f t="shared" si="12"/>
        <v>-28.67</v>
      </c>
      <c r="I45" s="9">
        <f t="shared" si="13"/>
        <v>-22.41</v>
      </c>
      <c r="J45" s="9">
        <f t="shared" si="19"/>
        <v>-23.5</v>
      </c>
      <c r="K45" s="9">
        <f t="shared" si="14"/>
        <v>-25.3</v>
      </c>
      <c r="L45" s="9">
        <f t="shared" si="15"/>
        <v>-23.03</v>
      </c>
      <c r="M45" s="9">
        <f t="shared" si="20"/>
        <v>-24.3</v>
      </c>
      <c r="N45" s="9">
        <f t="shared" si="21"/>
        <v>-26.3</v>
      </c>
      <c r="O45" s="9">
        <f t="shared" si="22"/>
        <v>-23.5</v>
      </c>
      <c r="P45" s="9">
        <f t="shared" ref="P45:P52" si="31">$D$31+$O$31/($B$15*LN(10))*(1/$B$16-1/$B45)+$S$31/1000/($B$15*LN(10))*($B$16/$B45-1+LN($B45/$B$16))</f>
        <v>-23.5</v>
      </c>
      <c r="Q45" s="9">
        <f t="shared" ref="Q45:Q52" si="32">$D$32+$O$32/($B$15*LN(10))*(1/$B$16-1/$B45)+$S$32/1000/($B$15*LN(10))*($B$16/$B45-1+LN($B45/$B$16))</f>
        <v>-23.5</v>
      </c>
      <c r="S45" s="9">
        <f t="shared" si="25"/>
        <v>-17.7</v>
      </c>
      <c r="T45" s="9">
        <f t="shared" si="26"/>
        <v>-18.16</v>
      </c>
      <c r="V45" s="9">
        <f t="shared" si="27"/>
        <v>-10.65</v>
      </c>
      <c r="W45" s="9">
        <f t="shared" si="28"/>
        <v>-11.270000000000001</v>
      </c>
      <c r="Y45" s="9">
        <f t="shared" si="29"/>
        <v>-22.470000000000002</v>
      </c>
      <c r="Z45" s="9">
        <f t="shared" si="30"/>
        <v>-23.59</v>
      </c>
    </row>
    <row r="46" spans="1:26">
      <c r="A46" s="8">
        <v>30</v>
      </c>
      <c r="B46">
        <f t="shared" si="16"/>
        <v>303.14999999999998</v>
      </c>
      <c r="C46">
        <f t="shared" si="17"/>
        <v>3.298697014679202E-3</v>
      </c>
      <c r="D46" s="9">
        <f t="shared" si="18"/>
        <v>-17.935767073526137</v>
      </c>
      <c r="E46" s="9">
        <f t="shared" si="9"/>
        <v>-16.931881090613835</v>
      </c>
      <c r="F46" s="9">
        <f t="shared" si="10"/>
        <v>-10.945108770856843</v>
      </c>
      <c r="G46" s="9">
        <f t="shared" si="11"/>
        <v>-11.05802609057876</v>
      </c>
      <c r="H46" s="9">
        <f t="shared" si="12"/>
        <v>-28.504707658806943</v>
      </c>
      <c r="I46" s="9">
        <f t="shared" si="13"/>
        <v>-22.951907426153745</v>
      </c>
      <c r="J46" s="9">
        <f t="shared" si="19"/>
        <v>-24.17877983154148</v>
      </c>
      <c r="K46" s="9">
        <f t="shared" si="14"/>
        <v>-25.838837216829575</v>
      </c>
      <c r="L46" s="9">
        <f t="shared" si="15"/>
        <v>-22.968583412838228</v>
      </c>
      <c r="M46" s="9">
        <f t="shared" si="20"/>
        <v>-24.838837216829575</v>
      </c>
      <c r="N46" s="9">
        <f t="shared" si="21"/>
        <v>-26.838837216829575</v>
      </c>
      <c r="O46" s="9">
        <f t="shared" si="22"/>
        <v>-24.494856899546139</v>
      </c>
      <c r="P46" s="9">
        <f t="shared" si="31"/>
        <v>-24.054541772106766</v>
      </c>
      <c r="Q46" s="9">
        <f t="shared" si="32"/>
        <v>-24.399145581819162</v>
      </c>
      <c r="S46" s="9">
        <f t="shared" si="25"/>
        <v>-17.705767073526136</v>
      </c>
      <c r="T46" s="9">
        <f t="shared" si="26"/>
        <v>-18.165767073526137</v>
      </c>
      <c r="V46" s="9">
        <f t="shared" si="27"/>
        <v>-10.635108770856842</v>
      </c>
      <c r="W46" s="9">
        <f t="shared" si="28"/>
        <v>-11.255108770856843</v>
      </c>
      <c r="Y46" s="9">
        <f t="shared" si="29"/>
        <v>-22.40858341283823</v>
      </c>
      <c r="Z46" s="9">
        <f t="shared" si="30"/>
        <v>-23.528583412838227</v>
      </c>
    </row>
    <row r="47" spans="1:26">
      <c r="A47" s="8">
        <v>40</v>
      </c>
      <c r="B47">
        <f t="shared" si="16"/>
        <v>313.14999999999998</v>
      </c>
      <c r="C47">
        <f t="shared" si="17"/>
        <v>3.1933578157432542E-3</v>
      </c>
      <c r="D47" s="9">
        <f t="shared" si="18"/>
        <v>-17.967152333610127</v>
      </c>
      <c r="E47" s="9">
        <f t="shared" si="9"/>
        <v>-16.797733489942274</v>
      </c>
      <c r="F47" s="9">
        <f t="shared" si="10"/>
        <v>-10.933369259257567</v>
      </c>
      <c r="G47" s="9">
        <f t="shared" si="11"/>
        <v>-11.287594243310359</v>
      </c>
      <c r="H47" s="9">
        <f t="shared" si="12"/>
        <v>-28.218286316987012</v>
      </c>
      <c r="I47" s="9">
        <f t="shared" si="13"/>
        <v>-24.037835856692553</v>
      </c>
      <c r="J47" s="9">
        <f t="shared" si="19"/>
        <v>-25.519539257657918</v>
      </c>
      <c r="K47" s="9">
        <f t="shared" si="14"/>
        <v>-26.907320785089713</v>
      </c>
      <c r="L47" s="9">
        <f t="shared" si="15"/>
        <v>-22.870042795541607</v>
      </c>
      <c r="M47" s="9">
        <f t="shared" si="20"/>
        <v>-25.907320785089713</v>
      </c>
      <c r="N47" s="9">
        <f t="shared" si="21"/>
        <v>-27.907320785089713</v>
      </c>
      <c r="O47" s="9">
        <f t="shared" si="22"/>
        <v>-26.437490046407195</v>
      </c>
      <c r="P47" s="9">
        <f t="shared" si="31"/>
        <v>-25.158727176697038</v>
      </c>
      <c r="Q47" s="9">
        <f t="shared" si="32"/>
        <v>-26.159525307761822</v>
      </c>
      <c r="S47" s="9">
        <f t="shared" si="25"/>
        <v>-17.737152333610126</v>
      </c>
      <c r="T47" s="9">
        <f t="shared" si="26"/>
        <v>-18.197152333610127</v>
      </c>
      <c r="V47" s="9">
        <f t="shared" si="27"/>
        <v>-10.623369259257567</v>
      </c>
      <c r="W47" s="9">
        <f t="shared" si="28"/>
        <v>-11.243369259257568</v>
      </c>
      <c r="Y47" s="9">
        <f t="shared" si="29"/>
        <v>-22.310042795541609</v>
      </c>
      <c r="Z47" s="9">
        <f t="shared" si="30"/>
        <v>-23.430042795541606</v>
      </c>
    </row>
    <row r="48" spans="1:26">
      <c r="A48" s="8">
        <v>50</v>
      </c>
      <c r="B48">
        <f t="shared" si="16"/>
        <v>323.14999999999998</v>
      </c>
      <c r="C48">
        <f t="shared" si="17"/>
        <v>3.0945381401825778E-3</v>
      </c>
      <c r="D48" s="9">
        <f t="shared" si="18"/>
        <v>-18.022258209886896</v>
      </c>
      <c r="E48" s="9">
        <f t="shared" si="9"/>
        <v>-16.690259864116118</v>
      </c>
      <c r="F48" s="9">
        <f t="shared" si="10"/>
        <v>-10.943255896959379</v>
      </c>
      <c r="G48" s="9">
        <f t="shared" si="11"/>
        <v>-11.532970906666801</v>
      </c>
      <c r="H48" s="9">
        <f t="shared" si="12"/>
        <v>-27.985222234353692</v>
      </c>
      <c r="I48" s="9">
        <f t="shared" si="13"/>
        <v>-25.124511126649377</v>
      </c>
      <c r="J48" s="9">
        <f t="shared" si="19"/>
        <v>-26.837977079563842</v>
      </c>
      <c r="K48" s="9">
        <f t="shared" si="14"/>
        <v>-27.963042513306462</v>
      </c>
      <c r="L48" s="9">
        <f t="shared" si="15"/>
        <v>-22.800755003098249</v>
      </c>
      <c r="M48" s="9">
        <f t="shared" si="20"/>
        <v>-26.963042513306462</v>
      </c>
      <c r="N48" s="9">
        <f t="shared" si="21"/>
        <v>-28.963042513306462</v>
      </c>
      <c r="O48" s="9">
        <f t="shared" si="22"/>
        <v>-28.320551165369377</v>
      </c>
      <c r="P48" s="9">
        <f t="shared" si="31"/>
        <v>-26.255232723728572</v>
      </c>
      <c r="Q48" s="9">
        <f t="shared" si="32"/>
        <v>-27.871612809049822</v>
      </c>
      <c r="S48" s="9">
        <f t="shared" si="25"/>
        <v>-17.792258209886896</v>
      </c>
      <c r="T48" s="9">
        <f t="shared" si="26"/>
        <v>-18.252258209886897</v>
      </c>
      <c r="V48" s="9">
        <f t="shared" si="27"/>
        <v>-10.633255896959378</v>
      </c>
      <c r="W48" s="9">
        <f t="shared" si="28"/>
        <v>-11.253255896959379</v>
      </c>
      <c r="Y48" s="9">
        <f t="shared" si="29"/>
        <v>-22.240755003098251</v>
      </c>
      <c r="Z48" s="9">
        <f t="shared" si="30"/>
        <v>-23.360755003098248</v>
      </c>
    </row>
    <row r="49" spans="1:26">
      <c r="A49" s="8">
        <v>60</v>
      </c>
      <c r="B49">
        <f t="shared" si="16"/>
        <v>333.15</v>
      </c>
      <c r="C49">
        <f t="shared" si="17"/>
        <v>3.0016509079993999E-3</v>
      </c>
      <c r="D49" s="9">
        <f t="shared" si="18"/>
        <v>-18.098178106221887</v>
      </c>
      <c r="E49" s="9">
        <f t="shared" si="9"/>
        <v>-16.606506607742549</v>
      </c>
      <c r="F49" s="9">
        <f t="shared" si="10"/>
        <v>-10.972193723377858</v>
      </c>
      <c r="G49" s="9">
        <f t="shared" si="11"/>
        <v>-11.791831244054766</v>
      </c>
      <c r="H49" s="9">
        <f t="shared" si="12"/>
        <v>-27.799640766944048</v>
      </c>
      <c r="I49" s="9">
        <f t="shared" si="13"/>
        <v>-26.20982552632902</v>
      </c>
      <c r="J49" s="9">
        <f t="shared" si="19"/>
        <v>-28.134281984311389</v>
      </c>
      <c r="K49" s="9">
        <f t="shared" si="14"/>
        <v>-29.005549175580388</v>
      </c>
      <c r="L49" s="9">
        <f t="shared" si="15"/>
        <v>-22.757390602549268</v>
      </c>
      <c r="M49" s="9">
        <f t="shared" si="20"/>
        <v>-28.005549175580388</v>
      </c>
      <c r="N49" s="9">
        <f t="shared" si="21"/>
        <v>-30.005549175580388</v>
      </c>
      <c r="O49" s="9">
        <f t="shared" si="22"/>
        <v>-30.147583326527453</v>
      </c>
      <c r="P49" s="9">
        <f t="shared" si="31"/>
        <v>-27.342928617889555</v>
      </c>
      <c r="Q49" s="9">
        <f t="shared" si="32"/>
        <v>-29.537935414828432</v>
      </c>
      <c r="S49" s="9">
        <f t="shared" si="25"/>
        <v>-17.868178106221887</v>
      </c>
      <c r="T49" s="9">
        <f t="shared" si="26"/>
        <v>-18.328178106221888</v>
      </c>
      <c r="V49" s="9">
        <f t="shared" si="27"/>
        <v>-10.662193723377857</v>
      </c>
      <c r="W49" s="9">
        <f t="shared" si="28"/>
        <v>-11.282193723377858</v>
      </c>
      <c r="Y49" s="9">
        <f t="shared" si="29"/>
        <v>-22.19739060254927</v>
      </c>
      <c r="Z49" s="9">
        <f t="shared" si="30"/>
        <v>-23.317390602549267</v>
      </c>
    </row>
    <row r="50" spans="1:26">
      <c r="A50" s="8">
        <v>70</v>
      </c>
      <c r="B50">
        <f t="shared" si="16"/>
        <v>343.15</v>
      </c>
      <c r="C50">
        <f t="shared" si="17"/>
        <v>2.9141774734081308E-3</v>
      </c>
      <c r="D50" s="9">
        <f t="shared" si="18"/>
        <v>-18.192389172161352</v>
      </c>
      <c r="E50" s="9">
        <f t="shared" si="9"/>
        <v>-16.543896574348452</v>
      </c>
      <c r="F50" s="9">
        <f t="shared" si="10"/>
        <v>-11.017944525653999</v>
      </c>
      <c r="G50" s="9">
        <f t="shared" si="11"/>
        <v>-12.062173973015238</v>
      </c>
      <c r="H50" s="9">
        <f t="shared" si="12"/>
        <v>-27.656414444538932</v>
      </c>
      <c r="I50" s="9">
        <f t="shared" si="13"/>
        <v>-27.292036016038491</v>
      </c>
      <c r="J50" s="9">
        <f t="shared" si="19"/>
        <v>-29.408726869115224</v>
      </c>
      <c r="K50" s="9">
        <f t="shared" si="14"/>
        <v>-30.034533815611113</v>
      </c>
      <c r="L50" s="9">
        <f t="shared" si="15"/>
        <v>-22.737048802589797</v>
      </c>
      <c r="M50" s="9">
        <f t="shared" si="20"/>
        <v>-29.034533815611113</v>
      </c>
      <c r="N50" s="9">
        <f t="shared" si="21"/>
        <v>-31.034533815611113</v>
      </c>
      <c r="O50" s="9">
        <f t="shared" si="22"/>
        <v>-31.921822799438711</v>
      </c>
      <c r="P50" s="9">
        <f t="shared" si="31"/>
        <v>-28.420922965694853</v>
      </c>
      <c r="Q50" s="9">
        <f t="shared" si="32"/>
        <v>-31.160832055681187</v>
      </c>
      <c r="S50" s="9">
        <f t="shared" si="25"/>
        <v>-17.962389172161352</v>
      </c>
      <c r="T50" s="9">
        <f t="shared" si="26"/>
        <v>-18.422389172161353</v>
      </c>
      <c r="V50" s="9">
        <f t="shared" si="27"/>
        <v>-10.707944525653998</v>
      </c>
      <c r="W50" s="9">
        <f t="shared" si="28"/>
        <v>-11.327944525653999</v>
      </c>
      <c r="Y50" s="9">
        <f t="shared" si="29"/>
        <v>-22.177048802589798</v>
      </c>
      <c r="Z50" s="9">
        <f t="shared" si="30"/>
        <v>-23.297048802589796</v>
      </c>
    </row>
    <row r="51" spans="1:26">
      <c r="A51" s="8">
        <v>80</v>
      </c>
      <c r="B51">
        <f t="shared" si="16"/>
        <v>353.15</v>
      </c>
      <c r="C51">
        <f t="shared" si="17"/>
        <v>2.831657935721365E-3</v>
      </c>
      <c r="D51" s="9">
        <f t="shared" si="18"/>
        <v>-18.302694151863971</v>
      </c>
      <c r="E51" s="9">
        <f t="shared" si="9"/>
        <v>-16.500173042146479</v>
      </c>
      <c r="F51" s="9">
        <f t="shared" si="10"/>
        <v>-11.078556050607334</v>
      </c>
      <c r="G51" s="9">
        <f t="shared" si="11"/>
        <v>-12.342271088337158</v>
      </c>
      <c r="H51" s="9">
        <f t="shared" si="12"/>
        <v>-27.551051881030503</v>
      </c>
      <c r="I51" s="9">
        <f t="shared" si="13"/>
        <v>-28.369702481701633</v>
      </c>
      <c r="J51" s="9">
        <f t="shared" si="19"/>
        <v>-30.661647891205718</v>
      </c>
      <c r="K51" s="9">
        <f t="shared" si="14"/>
        <v>-31.04980709514945</v>
      </c>
      <c r="L51" s="9">
        <f t="shared" si="15"/>
        <v>-22.737193319394766</v>
      </c>
      <c r="M51" s="9">
        <f t="shared" si="20"/>
        <v>-30.04980709514945</v>
      </c>
      <c r="N51" s="9">
        <f t="shared" si="21"/>
        <v>-32.049807095149454</v>
      </c>
      <c r="O51" s="9">
        <f t="shared" si="22"/>
        <v>-33.646233463403732</v>
      </c>
      <c r="P51" s="9">
        <f t="shared" si="31"/>
        <v>-29.488519065228175</v>
      </c>
      <c r="Q51" s="9">
        <f t="shared" si="32"/>
        <v>-32.742470910215964</v>
      </c>
      <c r="S51" s="9">
        <f t="shared" si="25"/>
        <v>-18.072694151863971</v>
      </c>
      <c r="T51" s="9">
        <f t="shared" si="26"/>
        <v>-18.532694151863971</v>
      </c>
      <c r="V51" s="9">
        <f t="shared" si="27"/>
        <v>-10.768556050607334</v>
      </c>
      <c r="W51" s="9">
        <f t="shared" si="28"/>
        <v>-11.388556050607335</v>
      </c>
      <c r="Y51" s="9">
        <f t="shared" si="29"/>
        <v>-22.177193319394767</v>
      </c>
      <c r="Z51" s="9">
        <f t="shared" si="30"/>
        <v>-23.297193319394765</v>
      </c>
    </row>
    <row r="52" spans="1:26">
      <c r="A52" s="8">
        <v>95</v>
      </c>
      <c r="B52">
        <f t="shared" si="16"/>
        <v>368.15</v>
      </c>
      <c r="C52">
        <f t="shared" si="17"/>
        <v>2.7162841233192994E-3</v>
      </c>
      <c r="D52" s="9">
        <f t="shared" si="18"/>
        <v>-18.494194062755017</v>
      </c>
      <c r="E52" s="9">
        <f t="shared" si="9"/>
        <v>-16.465727858013995</v>
      </c>
      <c r="F52" s="9">
        <f t="shared" si="10"/>
        <v>-11.193658139296204</v>
      </c>
      <c r="G52" s="9">
        <f t="shared" si="11"/>
        <v>-12.77748808150378</v>
      </c>
      <c r="H52" s="9">
        <f t="shared" si="12"/>
        <v>-27.455497085906718</v>
      </c>
      <c r="I52" s="9">
        <f t="shared" si="13"/>
        <v>-29.975142925948056</v>
      </c>
      <c r="J52" s="9">
        <f t="shared" si="19"/>
        <v>-32.501519354898761</v>
      </c>
      <c r="K52" s="9">
        <f t="shared" si="14"/>
        <v>-32.546822127420583</v>
      </c>
      <c r="L52" s="9">
        <f t="shared" si="15"/>
        <v>-22.771028975276959</v>
      </c>
      <c r="M52" s="9">
        <f t="shared" si="20"/>
        <v>-31.546822127420583</v>
      </c>
      <c r="N52" s="9">
        <f t="shared" si="21"/>
        <v>-33.546822127420583</v>
      </c>
      <c r="O52" s="9">
        <f t="shared" si="22"/>
        <v>-36.145313146338559</v>
      </c>
      <c r="P52" s="9">
        <f t="shared" si="31"/>
        <v>-31.069280463015378</v>
      </c>
      <c r="Q52" s="9">
        <f t="shared" si="32"/>
        <v>-35.041935708975913</v>
      </c>
      <c r="S52" s="9">
        <f t="shared" si="25"/>
        <v>-18.264194062755017</v>
      </c>
      <c r="T52" s="9">
        <f t="shared" si="26"/>
        <v>-18.724194062755018</v>
      </c>
      <c r="V52" s="9">
        <f t="shared" si="27"/>
        <v>-10.883658139296204</v>
      </c>
      <c r="W52" s="9">
        <f t="shared" si="28"/>
        <v>-11.503658139296205</v>
      </c>
      <c r="Y52" s="9">
        <f t="shared" si="29"/>
        <v>-22.21102897527696</v>
      </c>
      <c r="Z52" s="9">
        <f t="shared" si="30"/>
        <v>-23.331028975276958</v>
      </c>
    </row>
    <row r="53" spans="1:26">
      <c r="A53" s="8"/>
      <c r="D53" s="9"/>
      <c r="E53" s="9"/>
      <c r="F53" s="9"/>
      <c r="G53" s="9"/>
      <c r="H53" s="9"/>
      <c r="I53" s="9"/>
      <c r="J53" s="9"/>
      <c r="K53" s="9"/>
      <c r="L53" s="9"/>
      <c r="N53" s="9"/>
    </row>
    <row r="91" spans="1:30" ht="15.6">
      <c r="A91" s="2" t="s">
        <v>42</v>
      </c>
      <c r="B91" s="3" t="s">
        <v>43</v>
      </c>
      <c r="C91" s="3" t="s">
        <v>45</v>
      </c>
      <c r="D91" s="26" t="s">
        <v>44</v>
      </c>
      <c r="E91" s="26" t="s">
        <v>44</v>
      </c>
      <c r="F91" s="30" t="s">
        <v>1</v>
      </c>
      <c r="G91" s="2" t="s">
        <v>42</v>
      </c>
      <c r="H91" s="3" t="s">
        <v>43</v>
      </c>
      <c r="I91" s="3" t="s">
        <v>45</v>
      </c>
      <c r="J91" s="26" t="s">
        <v>44</v>
      </c>
      <c r="K91" s="26" t="s">
        <v>44</v>
      </c>
      <c r="L91" s="30" t="s">
        <v>1</v>
      </c>
      <c r="M91" s="2" t="s">
        <v>42</v>
      </c>
      <c r="N91" s="3" t="s">
        <v>43</v>
      </c>
      <c r="O91" s="3" t="s">
        <v>45</v>
      </c>
      <c r="P91" s="26" t="s">
        <v>44</v>
      </c>
      <c r="Q91" s="26" t="s">
        <v>44</v>
      </c>
      <c r="R91" s="30" t="s">
        <v>1</v>
      </c>
      <c r="S91" s="2" t="s">
        <v>42</v>
      </c>
      <c r="T91" s="3" t="s">
        <v>43</v>
      </c>
      <c r="U91" s="3" t="s">
        <v>45</v>
      </c>
      <c r="V91" s="26" t="s">
        <v>44</v>
      </c>
      <c r="W91" s="26" t="s">
        <v>44</v>
      </c>
      <c r="X91" s="30" t="s">
        <v>1</v>
      </c>
      <c r="Y91" s="2" t="s">
        <v>42</v>
      </c>
      <c r="Z91" s="3" t="s">
        <v>43</v>
      </c>
      <c r="AA91" s="3" t="s">
        <v>45</v>
      </c>
      <c r="AB91" s="26" t="s">
        <v>44</v>
      </c>
      <c r="AC91" s="26" t="s">
        <v>44</v>
      </c>
      <c r="AD91" s="30" t="s">
        <v>1</v>
      </c>
    </row>
    <row r="92" spans="1:30">
      <c r="A92" s="28">
        <v>25</v>
      </c>
      <c r="B92">
        <f>A92+273.15</f>
        <v>298.14999999999998</v>
      </c>
      <c r="C92">
        <f>1/B92</f>
        <v>3.3540164346805303E-3</v>
      </c>
      <c r="D92" s="9">
        <v>-17.8</v>
      </c>
      <c r="F92" s="29">
        <v>3</v>
      </c>
      <c r="G92" s="28">
        <v>25</v>
      </c>
      <c r="H92">
        <f>G92+273.15</f>
        <v>298.14999999999998</v>
      </c>
      <c r="I92">
        <f>1/H92</f>
        <v>3.3540164346805303E-3</v>
      </c>
      <c r="J92" s="9">
        <v>-10.98</v>
      </c>
      <c r="L92">
        <v>0.5</v>
      </c>
      <c r="M92" s="28">
        <v>25</v>
      </c>
      <c r="N92">
        <f>M92+273.15</f>
        <v>298.14999999999998</v>
      </c>
      <c r="O92">
        <f>1/N92</f>
        <v>3.3540164346805303E-3</v>
      </c>
      <c r="P92" s="9">
        <v>-24.5</v>
      </c>
      <c r="R92">
        <v>0.85</v>
      </c>
      <c r="S92" s="28">
        <v>25</v>
      </c>
      <c r="T92">
        <f>S92+273.15</f>
        <v>298.14999999999998</v>
      </c>
      <c r="U92">
        <f>1/T92</f>
        <v>3.3540164346805303E-3</v>
      </c>
      <c r="V92" s="9">
        <v>-23.03</v>
      </c>
      <c r="X92">
        <v>1.18</v>
      </c>
      <c r="Y92" s="28">
        <v>38</v>
      </c>
      <c r="Z92">
        <f>Y92+273.15</f>
        <v>311.14999999999998</v>
      </c>
      <c r="AA92">
        <f>1/Z92</f>
        <v>3.2138839787883662E-3</v>
      </c>
      <c r="AB92" s="9">
        <v>-25.09</v>
      </c>
      <c r="AD92">
        <v>0.8</v>
      </c>
    </row>
    <row r="93" spans="1:30">
      <c r="A93">
        <v>80</v>
      </c>
      <c r="B93">
        <f t="shared" ref="B93:B110" si="33">A93+273.15</f>
        <v>353.15</v>
      </c>
      <c r="C93">
        <f t="shared" ref="C93:C110" si="34">1/B93</f>
        <v>2.831657935721365E-3</v>
      </c>
      <c r="D93">
        <v>-18.399999999999999</v>
      </c>
      <c r="F93">
        <v>1.8</v>
      </c>
      <c r="G93">
        <v>25</v>
      </c>
      <c r="H93">
        <f t="shared" ref="H93:H100" si="35">G93+273.15</f>
        <v>298.14999999999998</v>
      </c>
      <c r="I93">
        <f t="shared" ref="I93:I100" si="36">1/H93</f>
        <v>3.3540164346805303E-3</v>
      </c>
      <c r="J93">
        <v>-11.08</v>
      </c>
      <c r="L93">
        <v>0.95</v>
      </c>
      <c r="M93">
        <v>20</v>
      </c>
      <c r="N93">
        <f t="shared" ref="N93:N103" si="37">M93+273.15</f>
        <v>293.14999999999998</v>
      </c>
      <c r="O93">
        <f t="shared" ref="O93:O103" si="38">1/N93</f>
        <v>3.4112229234180458E-3</v>
      </c>
      <c r="P93">
        <v>-24.44</v>
      </c>
      <c r="R93">
        <v>1.5</v>
      </c>
      <c r="S93">
        <v>25</v>
      </c>
      <c r="T93">
        <f t="shared" ref="T93:T99" si="39">S93+273.15</f>
        <v>298.14999999999998</v>
      </c>
      <c r="U93">
        <f t="shared" ref="U93:U99" si="40">1/T93</f>
        <v>3.3540164346805303E-3</v>
      </c>
      <c r="V93">
        <v>-22.9</v>
      </c>
      <c r="X93">
        <v>1</v>
      </c>
      <c r="Y93">
        <v>85</v>
      </c>
      <c r="Z93">
        <f t="shared" ref="Z93:Z97" si="41">Y93+273.15</f>
        <v>358.15</v>
      </c>
      <c r="AA93">
        <f t="shared" ref="AA93:AA97" si="42">1/Z93</f>
        <v>2.7921262041044259E-3</v>
      </c>
      <c r="AB93">
        <v>-30.26</v>
      </c>
      <c r="AD93">
        <v>1.5</v>
      </c>
    </row>
    <row r="94" spans="1:30">
      <c r="A94">
        <v>25</v>
      </c>
      <c r="B94">
        <f t="shared" si="33"/>
        <v>298.14999999999998</v>
      </c>
      <c r="C94">
        <f t="shared" si="34"/>
        <v>3.3540164346805303E-3</v>
      </c>
      <c r="D94">
        <v>-17.89</v>
      </c>
      <c r="F94">
        <v>0.5</v>
      </c>
      <c r="G94">
        <v>10</v>
      </c>
      <c r="H94">
        <f t="shared" si="35"/>
        <v>283.14999999999998</v>
      </c>
      <c r="I94">
        <f t="shared" si="36"/>
        <v>3.5316969803990822E-3</v>
      </c>
      <c r="J94">
        <v>-11.07</v>
      </c>
      <c r="L94">
        <v>0.7</v>
      </c>
      <c r="M94">
        <v>35</v>
      </c>
      <c r="N94">
        <f t="shared" si="37"/>
        <v>308.14999999999998</v>
      </c>
      <c r="O94">
        <f t="shared" si="38"/>
        <v>3.2451728054518907E-3</v>
      </c>
      <c r="P94">
        <v>-26.07</v>
      </c>
      <c r="R94">
        <v>1.5</v>
      </c>
      <c r="S94">
        <v>5</v>
      </c>
      <c r="T94">
        <f t="shared" si="39"/>
        <v>278.14999999999998</v>
      </c>
      <c r="U94">
        <f t="shared" si="40"/>
        <v>3.5951824555096176E-3</v>
      </c>
      <c r="V94">
        <v>-23.94</v>
      </c>
      <c r="X94">
        <v>1.5</v>
      </c>
      <c r="Y94">
        <v>20</v>
      </c>
      <c r="Z94">
        <f t="shared" si="41"/>
        <v>293.14999999999998</v>
      </c>
      <c r="AA94">
        <f t="shared" si="42"/>
        <v>3.4112229234180458E-3</v>
      </c>
      <c r="AC94">
        <v>-22.99</v>
      </c>
      <c r="AD94">
        <v>1.1599999999999999</v>
      </c>
    </row>
    <row r="95" spans="1:30">
      <c r="A95">
        <v>38</v>
      </c>
      <c r="B95">
        <f t="shared" si="33"/>
        <v>311.14999999999998</v>
      </c>
      <c r="C95">
        <f t="shared" si="34"/>
        <v>3.2138839787883662E-3</v>
      </c>
      <c r="D95">
        <v>-17.829999999999998</v>
      </c>
      <c r="F95">
        <v>0.5</v>
      </c>
      <c r="G95">
        <v>25</v>
      </c>
      <c r="H95">
        <f t="shared" si="35"/>
        <v>298.14999999999998</v>
      </c>
      <c r="I95">
        <f t="shared" si="36"/>
        <v>3.3540164346805303E-3</v>
      </c>
      <c r="J95">
        <v>-11</v>
      </c>
      <c r="L95">
        <v>0.7</v>
      </c>
      <c r="M95">
        <v>45</v>
      </c>
      <c r="N95">
        <f t="shared" si="37"/>
        <v>318.14999999999998</v>
      </c>
      <c r="O95">
        <f t="shared" si="38"/>
        <v>3.1431714600031434E-3</v>
      </c>
      <c r="P95">
        <v>-27</v>
      </c>
      <c r="R95">
        <v>1.5</v>
      </c>
      <c r="S95">
        <v>12</v>
      </c>
      <c r="T95">
        <f t="shared" si="39"/>
        <v>285.14999999999998</v>
      </c>
      <c r="U95">
        <f t="shared" si="40"/>
        <v>3.5069261792039282E-3</v>
      </c>
      <c r="V95">
        <v>-23.75</v>
      </c>
      <c r="X95">
        <v>1.5</v>
      </c>
      <c r="Y95">
        <v>40</v>
      </c>
      <c r="Z95">
        <f t="shared" si="41"/>
        <v>313.14999999999998</v>
      </c>
      <c r="AA95">
        <f t="shared" si="42"/>
        <v>3.1933578157432542E-3</v>
      </c>
      <c r="AC95">
        <v>-26.52</v>
      </c>
      <c r="AD95">
        <v>1.5</v>
      </c>
    </row>
    <row r="96" spans="1:30">
      <c r="A96">
        <v>38</v>
      </c>
      <c r="B96">
        <f t="shared" si="33"/>
        <v>311.14999999999998</v>
      </c>
      <c r="C96">
        <f t="shared" si="34"/>
        <v>3.2138839787883662E-3</v>
      </c>
      <c r="D96">
        <v>-17.920000000000002</v>
      </c>
      <c r="F96">
        <v>0.5</v>
      </c>
      <c r="G96">
        <v>36</v>
      </c>
      <c r="H96">
        <f t="shared" si="35"/>
        <v>309.14999999999998</v>
      </c>
      <c r="I96">
        <f t="shared" si="36"/>
        <v>3.2346757237586934E-3</v>
      </c>
      <c r="J96">
        <v>-11.01</v>
      </c>
      <c r="L96">
        <v>0.7</v>
      </c>
      <c r="M96">
        <v>55</v>
      </c>
      <c r="N96">
        <f t="shared" si="37"/>
        <v>328.15</v>
      </c>
      <c r="O96">
        <f t="shared" si="38"/>
        <v>3.0473868657626088E-3</v>
      </c>
      <c r="P96">
        <v>-27.16</v>
      </c>
      <c r="R96">
        <v>1.5</v>
      </c>
      <c r="S96">
        <v>20</v>
      </c>
      <c r="T96">
        <f t="shared" si="39"/>
        <v>293.14999999999998</v>
      </c>
      <c r="U96">
        <f t="shared" si="40"/>
        <v>3.4112229234180458E-3</v>
      </c>
      <c r="V96">
        <v>-23.35</v>
      </c>
      <c r="X96">
        <v>1.5</v>
      </c>
      <c r="Y96">
        <v>50</v>
      </c>
      <c r="Z96">
        <f t="shared" si="41"/>
        <v>323.14999999999998</v>
      </c>
      <c r="AA96">
        <f t="shared" si="42"/>
        <v>3.0945381401825778E-3</v>
      </c>
      <c r="AC96">
        <v>-27.67</v>
      </c>
      <c r="AD96">
        <v>1.7</v>
      </c>
    </row>
    <row r="97" spans="1:30">
      <c r="A97">
        <v>25</v>
      </c>
      <c r="B97">
        <f t="shared" si="33"/>
        <v>298.14999999999998</v>
      </c>
      <c r="C97">
        <f t="shared" si="34"/>
        <v>3.3540164346805303E-3</v>
      </c>
      <c r="D97">
        <v>-17.989999999999998</v>
      </c>
      <c r="F97">
        <v>0.63</v>
      </c>
      <c r="G97">
        <v>5</v>
      </c>
      <c r="H97">
        <f t="shared" si="35"/>
        <v>278.14999999999998</v>
      </c>
      <c r="I97">
        <f t="shared" si="36"/>
        <v>3.5951824555096176E-3</v>
      </c>
      <c r="K97">
        <v>-10.58</v>
      </c>
      <c r="L97" s="29">
        <v>1</v>
      </c>
      <c r="M97">
        <v>65</v>
      </c>
      <c r="N97">
        <f t="shared" si="37"/>
        <v>338.15</v>
      </c>
      <c r="O97">
        <f t="shared" si="38"/>
        <v>2.9572674848440043E-3</v>
      </c>
      <c r="P97">
        <v>-30.82</v>
      </c>
      <c r="R97">
        <v>1.5</v>
      </c>
      <c r="S97">
        <v>5</v>
      </c>
      <c r="T97">
        <f t="shared" si="39"/>
        <v>278.14999999999998</v>
      </c>
      <c r="U97">
        <f t="shared" si="40"/>
        <v>3.5951824555096176E-3</v>
      </c>
      <c r="W97">
        <v>-23.3</v>
      </c>
      <c r="X97">
        <v>1.08</v>
      </c>
      <c r="Y97">
        <v>80</v>
      </c>
      <c r="Z97">
        <f t="shared" si="41"/>
        <v>353.15</v>
      </c>
      <c r="AA97">
        <f t="shared" si="42"/>
        <v>2.831657935721365E-3</v>
      </c>
      <c r="AC97">
        <v>-31.18</v>
      </c>
      <c r="AD97">
        <v>1.5</v>
      </c>
    </row>
    <row r="98" spans="1:30">
      <c r="A98">
        <v>25</v>
      </c>
      <c r="B98">
        <f t="shared" si="33"/>
        <v>298.14999999999998</v>
      </c>
      <c r="C98">
        <f t="shared" si="34"/>
        <v>3.3540164346805303E-3</v>
      </c>
      <c r="D98">
        <v>-18.03</v>
      </c>
      <c r="F98">
        <v>0.5</v>
      </c>
      <c r="G98">
        <v>20</v>
      </c>
      <c r="H98">
        <f t="shared" si="35"/>
        <v>293.14999999999998</v>
      </c>
      <c r="I98">
        <f t="shared" si="36"/>
        <v>3.4112229234180458E-3</v>
      </c>
      <c r="K98">
        <v>-10.77</v>
      </c>
      <c r="L98">
        <v>0.55000000000000004</v>
      </c>
      <c r="M98">
        <v>75</v>
      </c>
      <c r="N98">
        <f t="shared" si="37"/>
        <v>348.15</v>
      </c>
      <c r="O98">
        <f t="shared" si="38"/>
        <v>2.8723251472066642E-3</v>
      </c>
      <c r="P98">
        <v>-29.91</v>
      </c>
      <c r="R98">
        <v>1.5</v>
      </c>
      <c r="S98">
        <v>20</v>
      </c>
      <c r="T98">
        <f t="shared" si="39"/>
        <v>293.14999999999998</v>
      </c>
      <c r="U98">
        <f t="shared" si="40"/>
        <v>3.4112229234180458E-3</v>
      </c>
      <c r="W98">
        <v>-23.97</v>
      </c>
      <c r="X98">
        <v>0.92</v>
      </c>
    </row>
    <row r="99" spans="1:30">
      <c r="A99">
        <v>25</v>
      </c>
      <c r="B99">
        <f t="shared" si="33"/>
        <v>298.14999999999998</v>
      </c>
      <c r="C99">
        <f t="shared" si="34"/>
        <v>3.3540164346805303E-3</v>
      </c>
      <c r="D99">
        <v>-18.02</v>
      </c>
      <c r="F99">
        <v>0.5</v>
      </c>
      <c r="G99">
        <v>40</v>
      </c>
      <c r="H99">
        <f t="shared" si="35"/>
        <v>313.14999999999998</v>
      </c>
      <c r="I99">
        <f t="shared" si="36"/>
        <v>3.1933578157432542E-3</v>
      </c>
      <c r="K99">
        <v>-11.78</v>
      </c>
      <c r="L99" s="29">
        <v>2</v>
      </c>
      <c r="M99">
        <v>36</v>
      </c>
      <c r="N99">
        <f t="shared" si="37"/>
        <v>309.14999999999998</v>
      </c>
      <c r="O99">
        <f t="shared" si="38"/>
        <v>3.2346757237586934E-3</v>
      </c>
      <c r="P99">
        <v>-24.81</v>
      </c>
      <c r="R99">
        <v>0.79</v>
      </c>
      <c r="S99">
        <v>40</v>
      </c>
      <c r="T99">
        <f t="shared" si="39"/>
        <v>313.14999999999998</v>
      </c>
      <c r="U99">
        <f t="shared" si="40"/>
        <v>3.1933578157432542E-3</v>
      </c>
      <c r="W99">
        <v>-24.28</v>
      </c>
      <c r="X99">
        <v>1.3</v>
      </c>
    </row>
    <row r="100" spans="1:30">
      <c r="A100">
        <v>25</v>
      </c>
      <c r="B100">
        <f t="shared" si="33"/>
        <v>298.14999999999998</v>
      </c>
      <c r="C100">
        <f t="shared" si="34"/>
        <v>3.3540164346805303E-3</v>
      </c>
      <c r="D100">
        <v>-18.07</v>
      </c>
      <c r="F100">
        <v>0.5</v>
      </c>
      <c r="G100">
        <v>50</v>
      </c>
      <c r="H100">
        <f t="shared" si="35"/>
        <v>323.14999999999998</v>
      </c>
      <c r="I100">
        <f t="shared" si="36"/>
        <v>3.0945381401825778E-3</v>
      </c>
      <c r="K100">
        <v>-11.67</v>
      </c>
      <c r="L100">
        <v>1.5</v>
      </c>
      <c r="M100">
        <v>20</v>
      </c>
      <c r="N100">
        <f t="shared" si="37"/>
        <v>293.14999999999998</v>
      </c>
      <c r="O100">
        <f t="shared" si="38"/>
        <v>3.4112229234180458E-3</v>
      </c>
      <c r="Q100">
        <v>-25</v>
      </c>
      <c r="R100">
        <v>4.6100000000000003</v>
      </c>
    </row>
    <row r="101" spans="1:30">
      <c r="A101">
        <v>5</v>
      </c>
      <c r="B101">
        <f t="shared" si="33"/>
        <v>278.14999999999998</v>
      </c>
      <c r="C101">
        <f t="shared" si="34"/>
        <v>3.5951824555096176E-3</v>
      </c>
      <c r="D101">
        <v>-17.8</v>
      </c>
      <c r="F101" s="29">
        <v>1</v>
      </c>
      <c r="M101">
        <v>40</v>
      </c>
      <c r="N101">
        <f t="shared" si="37"/>
        <v>313.14999999999998</v>
      </c>
      <c r="O101">
        <f t="shared" si="38"/>
        <v>3.1933578157432542E-3</v>
      </c>
      <c r="Q101">
        <v>-26.23</v>
      </c>
      <c r="R101">
        <v>1.69</v>
      </c>
    </row>
    <row r="102" spans="1:30">
      <c r="A102">
        <v>12</v>
      </c>
      <c r="B102">
        <f t="shared" si="33"/>
        <v>285.14999999999998</v>
      </c>
      <c r="C102">
        <f t="shared" si="34"/>
        <v>3.5069261792039282E-3</v>
      </c>
      <c r="D102">
        <v>-17.649999999999999</v>
      </c>
      <c r="F102" s="29">
        <v>1</v>
      </c>
      <c r="M102">
        <v>80</v>
      </c>
      <c r="N102">
        <f t="shared" si="37"/>
        <v>353.15</v>
      </c>
      <c r="O102">
        <f t="shared" si="38"/>
        <v>2.831657935721365E-3</v>
      </c>
      <c r="Q102">
        <v>-31.35</v>
      </c>
      <c r="R102">
        <v>1.1499999999999999</v>
      </c>
    </row>
    <row r="103" spans="1:30">
      <c r="A103">
        <v>20</v>
      </c>
      <c r="B103">
        <f t="shared" si="33"/>
        <v>293.14999999999998</v>
      </c>
      <c r="C103">
        <f t="shared" si="34"/>
        <v>3.4112229234180458E-3</v>
      </c>
      <c r="D103">
        <v>-17.89</v>
      </c>
      <c r="F103" s="29">
        <v>1</v>
      </c>
      <c r="M103">
        <v>90</v>
      </c>
      <c r="N103">
        <f t="shared" si="37"/>
        <v>363.15</v>
      </c>
      <c r="O103">
        <f t="shared" si="38"/>
        <v>2.7536830510808208E-3</v>
      </c>
      <c r="Q103">
        <v>-32.159999999999997</v>
      </c>
      <c r="R103">
        <v>2.39</v>
      </c>
    </row>
    <row r="104" spans="1:30">
      <c r="A104">
        <v>25</v>
      </c>
      <c r="B104">
        <f t="shared" si="33"/>
        <v>298.14999999999998</v>
      </c>
      <c r="C104">
        <f t="shared" si="34"/>
        <v>3.3540164346805303E-3</v>
      </c>
      <c r="D104">
        <v>-18.11</v>
      </c>
      <c r="F104" s="29">
        <v>1</v>
      </c>
    </row>
    <row r="105" spans="1:30">
      <c r="A105">
        <v>35</v>
      </c>
      <c r="B105">
        <f t="shared" si="33"/>
        <v>308.14999999999998</v>
      </c>
      <c r="C105">
        <f t="shared" si="34"/>
        <v>3.2451728054518907E-3</v>
      </c>
      <c r="D105">
        <v>-18.27</v>
      </c>
      <c r="F105" s="29">
        <v>1</v>
      </c>
    </row>
    <row r="106" spans="1:30">
      <c r="A106">
        <v>45</v>
      </c>
      <c r="B106">
        <f t="shared" si="33"/>
        <v>318.14999999999998</v>
      </c>
      <c r="C106">
        <f t="shared" si="34"/>
        <v>3.1431714600031434E-3</v>
      </c>
      <c r="D106">
        <v>-18.45</v>
      </c>
      <c r="F106" s="29">
        <v>1</v>
      </c>
    </row>
    <row r="107" spans="1:30">
      <c r="A107">
        <v>5</v>
      </c>
      <c r="B107">
        <f t="shared" si="33"/>
        <v>278.14999999999998</v>
      </c>
      <c r="C107">
        <f t="shared" si="34"/>
        <v>3.5951824555096176E-3</v>
      </c>
      <c r="E107">
        <v>-17.559999999999999</v>
      </c>
      <c r="F107" s="29">
        <v>1</v>
      </c>
    </row>
    <row r="108" spans="1:30">
      <c r="A108">
        <v>20</v>
      </c>
      <c r="B108">
        <f t="shared" si="33"/>
        <v>293.14999999999998</v>
      </c>
      <c r="C108">
        <f t="shared" si="34"/>
        <v>3.4112229234180458E-3</v>
      </c>
      <c r="E108">
        <v>-17.73</v>
      </c>
      <c r="F108">
        <v>0.45</v>
      </c>
    </row>
    <row r="109" spans="1:30">
      <c r="A109">
        <v>40</v>
      </c>
      <c r="B109">
        <f t="shared" si="33"/>
        <v>313.14999999999998</v>
      </c>
      <c r="C109">
        <f t="shared" si="34"/>
        <v>3.1933578157432542E-3</v>
      </c>
      <c r="E109">
        <v>-18.12</v>
      </c>
      <c r="F109" s="29">
        <v>1</v>
      </c>
    </row>
    <row r="110" spans="1:30">
      <c r="A110">
        <v>50</v>
      </c>
      <c r="B110">
        <f t="shared" si="33"/>
        <v>323.14999999999998</v>
      </c>
      <c r="C110">
        <f t="shared" si="34"/>
        <v>3.0945381401825778E-3</v>
      </c>
      <c r="E110">
        <v>-18.170000000000002</v>
      </c>
      <c r="F110" s="29">
        <v>1</v>
      </c>
    </row>
  </sheetData>
  <hyperlinks>
    <hyperlink ref="B9" r:id="rId1" xr:uid="{0DE7F1F2-527C-4DF3-8678-37F26717B94D}"/>
  </hyperlinks>
  <pageMargins left="0.7" right="0.7" top="0.78740157499999996" bottom="0.78740157499999996" header="0.3" footer="0.3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MgPO4</vt:lpstr>
    </vt:vector>
  </TitlesOfParts>
  <Company>Paul Scherrer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Hummel</dc:creator>
  <cp:lastModifiedBy>Josep Bonet</cp:lastModifiedBy>
  <cp:lastPrinted>2001-11-28T13:26:59Z</cp:lastPrinted>
  <dcterms:created xsi:type="dcterms:W3CDTF">2001-11-28T13:43:01Z</dcterms:created>
  <dcterms:modified xsi:type="dcterms:W3CDTF">2023-11-30T14:23:39Z</dcterms:modified>
</cp:coreProperties>
</file>