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P:\Montse\Wolfgang\fets\"/>
    </mc:Choice>
  </mc:AlternateContent>
  <xr:revisionPtr revIDLastSave="0" documentId="13_ncr:1_{4F06F8FA-1EDF-4B22-8403-2C6646BFD32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alcCaF" sheetId="7" r:id="rId1"/>
    <sheet name="PlotCaF" sheetId="8" r:id="rId2"/>
  </sheets>
  <definedNames>
    <definedName name="_Regression_Out" hidden="1">#REF!</definedName>
    <definedName name="_Regression_X" hidden="1">#REF!</definedName>
    <definedName name="_Regression_Y" hidden="1">#REF!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7" l="1"/>
  <c r="J34" i="7" s="1"/>
  <c r="U34" i="7" s="1"/>
  <c r="W34" i="7" s="1"/>
  <c r="I33" i="7"/>
  <c r="J33" i="7" s="1"/>
  <c r="U33" i="7" s="1"/>
  <c r="W33" i="7" s="1"/>
  <c r="I32" i="7"/>
  <c r="J32" i="7" s="1"/>
  <c r="U32" i="7" s="1"/>
  <c r="W32" i="7" s="1"/>
  <c r="B21" i="7"/>
  <c r="B20" i="7"/>
  <c r="E34" i="7"/>
  <c r="H34" i="7" s="1"/>
  <c r="T34" i="7" s="1"/>
  <c r="O34" i="7" s="1"/>
  <c r="E33" i="7"/>
  <c r="H33" i="7" s="1"/>
  <c r="T33" i="7" s="1"/>
  <c r="G34" i="7"/>
  <c r="N34" i="7" s="1"/>
  <c r="G32" i="7"/>
  <c r="T32" i="7" s="1"/>
  <c r="G33" i="7"/>
  <c r="N33" i="7" s="1"/>
  <c r="AA33" i="7" s="1"/>
  <c r="E32" i="7"/>
  <c r="H32" i="7" s="1"/>
  <c r="X34" i="7" l="1"/>
  <c r="Z34" i="7"/>
  <c r="X33" i="7"/>
  <c r="Y33" i="7"/>
  <c r="AA34" i="7"/>
  <c r="N32" i="7"/>
  <c r="Y32" i="7" s="1"/>
  <c r="Y34" i="7"/>
  <c r="W39" i="7"/>
  <c r="O32" i="7"/>
  <c r="Z32" i="7"/>
  <c r="O33" i="7"/>
  <c r="Z33" i="7"/>
  <c r="AA32" i="7" l="1"/>
  <c r="AA39" i="7" s="1"/>
  <c r="X32" i="7"/>
  <c r="X39" i="7" s="1"/>
  <c r="Z46" i="7" s="1"/>
  <c r="Y39" i="7"/>
  <c r="Z39" i="7"/>
  <c r="Z42" i="7" s="1"/>
  <c r="Z45" i="7"/>
  <c r="Z41" i="7" l="1"/>
  <c r="AD44" i="7" s="1"/>
  <c r="J13" i="7" s="1"/>
  <c r="AI18" i="7" s="1"/>
  <c r="Z43" i="7"/>
  <c r="Z44" i="7"/>
  <c r="I13" i="7" s="1"/>
  <c r="AD47" i="7"/>
  <c r="J14" i="7" s="1"/>
  <c r="J18" i="7" s="1"/>
  <c r="Z47" i="7"/>
  <c r="I14" i="7" s="1"/>
  <c r="I18" i="7" s="1"/>
  <c r="AI17" i="7" l="1"/>
  <c r="AF17" i="7"/>
  <c r="AF18" i="7"/>
  <c r="AH18" i="7" l="1"/>
  <c r="AG18" i="7"/>
  <c r="AH17" i="7"/>
  <c r="AG17" i="7"/>
</calcChain>
</file>

<file path=xl/sharedStrings.xml><?xml version="1.0" encoding="utf-8"?>
<sst xmlns="http://schemas.openxmlformats.org/spreadsheetml/2006/main" count="79" uniqueCount="66">
  <si>
    <t>a0</t>
  </si>
  <si>
    <t>a1</t>
  </si>
  <si>
    <t>A =</t>
  </si>
  <si>
    <t>-------------------------------------------</t>
  </si>
  <si>
    <t xml:space="preserve">   Experimental</t>
  </si>
  <si>
    <t>------ Data -------------------------------</t>
  </si>
  <si>
    <t>------------- PLOT ----------------------------</t>
  </si>
  <si>
    <t>Reference</t>
  </si>
  <si>
    <t>I</t>
  </si>
  <si>
    <t>log K</t>
  </si>
  <si>
    <t>rho</t>
  </si>
  <si>
    <t>Im</t>
  </si>
  <si>
    <t>log Km</t>
  </si>
  <si>
    <t>s</t>
  </si>
  <si>
    <t>± (95%)</t>
  </si>
  <si>
    <t>Y</t>
  </si>
  <si>
    <t>Ycalc</t>
  </si>
  <si>
    <t>±</t>
  </si>
  <si>
    <t>(molar)</t>
  </si>
  <si>
    <t>(molal)</t>
  </si>
  <si>
    <t>x</t>
  </si>
  <si>
    <t>-----------------------------------------------</t>
  </si>
  <si>
    <r>
      <t>Y</t>
    </r>
    <r>
      <rPr>
        <vertAlign val="subscript"/>
        <sz val="10"/>
        <rFont val="Arial"/>
        <family val="2"/>
      </rPr>
      <t>calc</t>
    </r>
  </si>
  <si>
    <t>calc.</t>
  </si>
  <si>
    <r>
      <t>Y</t>
    </r>
    <r>
      <rPr>
        <vertAlign val="subscript"/>
        <sz val="10"/>
        <rFont val="Arial"/>
        <family val="2"/>
      </rPr>
      <t>calc</t>
    </r>
    <r>
      <rPr>
        <sz val="10"/>
        <rFont val="Arial"/>
        <family val="2"/>
      </rPr>
      <t xml:space="preserve"> + (±)</t>
    </r>
  </si>
  <si>
    <r>
      <t>Y</t>
    </r>
    <r>
      <rPr>
        <vertAlign val="subscript"/>
        <sz val="10"/>
        <rFont val="Arial"/>
        <family val="2"/>
      </rPr>
      <t>calc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-</t>
    </r>
    <r>
      <rPr>
        <sz val="10"/>
        <rFont val="Arial"/>
        <family val="2"/>
      </rPr>
      <t xml:space="preserve"> (±)</t>
    </r>
  </si>
  <si>
    <r>
      <t xml:space="preserve">log </t>
    </r>
    <r>
      <rPr>
        <i/>
        <sz val="10"/>
        <rFont val="Arial"/>
        <family val="2"/>
      </rPr>
      <t>K</t>
    </r>
    <r>
      <rPr>
        <vertAlign val="superscript"/>
        <sz val="10"/>
        <rFont val="Arial"/>
        <family val="2"/>
      </rPr>
      <t>0</t>
    </r>
    <r>
      <rPr>
        <vertAlign val="subscript"/>
        <sz val="10"/>
        <rFont val="Arial"/>
        <family val="2"/>
      </rPr>
      <t>1</t>
    </r>
  </si>
  <si>
    <t>Backgrnd</t>
  </si>
  <si>
    <t>Electrolyte</t>
  </si>
  <si>
    <r>
      <t>Sn</t>
    </r>
    <r>
      <rPr>
        <vertAlign val="subscript"/>
        <sz val="10"/>
        <rFont val="Arial"/>
        <family val="2"/>
      </rPr>
      <t>b</t>
    </r>
    <r>
      <rPr>
        <sz val="10"/>
        <rFont val="Arial"/>
      </rPr>
      <t xml:space="preserve"> =</t>
    </r>
  </si>
  <si>
    <r>
      <t>D</t>
    </r>
    <r>
      <rPr>
        <sz val="10"/>
        <rFont val="Arial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=</t>
    </r>
  </si>
  <si>
    <t>NaClO4</t>
  </si>
  <si>
    <r>
      <t xml:space="preserve">1 / 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</si>
  <si>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</si>
  <si>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</si>
  <si>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X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</si>
  <si>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</si>
  <si>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S</t>
    </r>
    <r>
      <rPr>
        <sz val="10"/>
        <rFont val="Arial"/>
        <family val="2"/>
      </rPr>
      <t xml:space="preserve">(i) </t>
    </r>
    <r>
      <rPr>
        <sz val="10"/>
        <rFont val="Arial"/>
      </rPr>
      <t>=</t>
    </r>
  </si>
  <si>
    <r>
      <t>D</t>
    </r>
    <r>
      <rPr>
        <sz val="10"/>
        <rFont val="Arial"/>
        <family val="2"/>
      </rPr>
      <t xml:space="preserve"> = </t>
    </r>
    <r>
      <rPr>
        <sz val="10"/>
        <rFont val="Symbol"/>
        <family val="1"/>
        <charset val="2"/>
      </rPr>
      <t>S</t>
    </r>
    <r>
      <rPr>
        <sz val="10"/>
        <rFont val="Arial"/>
      </rPr>
      <t>1/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</si>
  <si>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S</t>
    </r>
    <r>
      <rPr>
        <sz val="10"/>
        <rFont val="Arial"/>
        <family val="2"/>
      </rPr>
      <t>1</t>
    </r>
    <r>
      <rPr>
        <sz val="10"/>
        <rFont val="Symbol"/>
        <family val="1"/>
        <charset val="2"/>
      </rPr>
      <t xml:space="preserve"> = 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</si>
  <si>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S</t>
    </r>
    <r>
      <rPr>
        <sz val="10"/>
        <rFont val="Arial"/>
        <family val="2"/>
      </rPr>
      <t>2</t>
    </r>
    <r>
      <rPr>
        <sz val="10"/>
        <rFont val="Symbol"/>
        <family val="1"/>
        <charset val="2"/>
      </rPr>
      <t xml:space="preserve"> = 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</si>
  <si>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t>Intercept</t>
  </si>
  <si>
    <r>
      <t>X</t>
    </r>
    <r>
      <rPr>
        <b/>
        <vertAlign val="superscript"/>
        <sz val="10"/>
        <rFont val="Arial"/>
        <family val="2"/>
      </rPr>
      <t>o</t>
    </r>
    <r>
      <rPr>
        <sz val="10"/>
        <rFont val="Arial"/>
      </rPr>
      <t xml:space="preserve"> = (</t>
    </r>
    <r>
      <rPr>
        <sz val="10"/>
        <rFont val="Symbol"/>
        <family val="1"/>
        <charset val="2"/>
      </rPr>
      <t>S</t>
    </r>
    <r>
      <rPr>
        <sz val="10"/>
        <rFont val="Arial"/>
      </rPr>
      <t xml:space="preserve">1 - </t>
    </r>
    <r>
      <rPr>
        <sz val="10"/>
        <rFont val="Symbol"/>
        <family val="1"/>
        <charset val="2"/>
      </rPr>
      <t>S</t>
    </r>
    <r>
      <rPr>
        <sz val="10"/>
        <rFont val="Arial"/>
      </rPr>
      <t xml:space="preserve">2) / </t>
    </r>
    <r>
      <rPr>
        <sz val="10"/>
        <rFont val="Symbol"/>
        <family val="1"/>
        <charset val="2"/>
      </rPr>
      <t>D</t>
    </r>
    <r>
      <rPr>
        <sz val="10"/>
        <rFont val="Arial"/>
      </rPr>
      <t xml:space="preserve">  =  </t>
    </r>
  </si>
  <si>
    <r>
      <t>s(</t>
    </r>
    <r>
      <rPr>
        <b/>
        <sz val="10"/>
        <rFont val="Arial"/>
      </rPr>
      <t>X</t>
    </r>
    <r>
      <rPr>
        <b/>
        <vertAlign val="superscript"/>
        <sz val="10"/>
        <rFont val="Arial"/>
        <family val="2"/>
      </rPr>
      <t>o</t>
    </r>
    <r>
      <rPr>
        <b/>
        <sz val="10"/>
        <rFont val="Arial"/>
      </rPr>
      <t>)</t>
    </r>
    <r>
      <rPr>
        <sz val="10"/>
        <rFont val="Arial"/>
      </rPr>
      <t xml:space="preserve"> = (</t>
    </r>
    <r>
      <rPr>
        <sz val="10"/>
        <rFont val="Symbol"/>
        <family val="1"/>
        <charset val="2"/>
      </rPr>
      <t>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/ </t>
    </r>
    <r>
      <rPr>
        <sz val="10"/>
        <rFont val="Symbol"/>
        <family val="1"/>
        <charset val="2"/>
      </rPr>
      <t>D</t>
    </r>
    <r>
      <rPr>
        <sz val="10"/>
        <rFont val="Arial"/>
      </rPr>
      <t>)</t>
    </r>
    <r>
      <rPr>
        <vertAlign val="superscript"/>
        <sz val="10"/>
        <rFont val="Arial"/>
        <family val="2"/>
      </rPr>
      <t>0.5</t>
    </r>
    <r>
      <rPr>
        <sz val="10"/>
        <rFont val="Arial"/>
      </rPr>
      <t xml:space="preserve"> = </t>
    </r>
  </si>
  <si>
    <r>
      <t>S</t>
    </r>
    <r>
      <rPr>
        <sz val="10"/>
        <rFont val="Arial"/>
        <family val="2"/>
      </rPr>
      <t>3</t>
    </r>
    <r>
      <rPr>
        <sz val="10"/>
        <rFont val="Symbol"/>
        <family val="1"/>
        <charset val="2"/>
      </rPr>
      <t xml:space="preserve"> = S</t>
    </r>
    <r>
      <rPr>
        <sz val="10"/>
        <rFont val="Arial"/>
      </rPr>
      <t>1/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</si>
  <si>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S</t>
    </r>
    <r>
      <rPr>
        <sz val="10"/>
        <rFont val="Arial"/>
        <family val="2"/>
      </rPr>
      <t xml:space="preserve">4 = </t>
    </r>
    <r>
      <rPr>
        <sz val="10"/>
        <rFont val="Symbol"/>
        <family val="1"/>
        <charset val="2"/>
      </rPr>
      <t>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</si>
  <si>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t>Slope</t>
  </si>
  <si>
    <r>
      <t>s</t>
    </r>
    <r>
      <rPr>
        <b/>
        <sz val="10"/>
        <rFont val="Arial"/>
        <family val="2"/>
      </rPr>
      <t>(</t>
    </r>
    <r>
      <rPr>
        <b/>
        <sz val="10"/>
        <rFont val="Symbol"/>
        <family val="1"/>
        <charset val="2"/>
      </rPr>
      <t>De</t>
    </r>
    <r>
      <rPr>
        <b/>
        <sz val="10"/>
        <rFont val="Arial"/>
        <family val="2"/>
      </rPr>
      <t>)</t>
    </r>
    <r>
      <rPr>
        <sz val="10"/>
        <rFont val="Arial"/>
        <family val="2"/>
      </rPr>
      <t xml:space="preserve"> = (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1/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/ </t>
    </r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0.5</t>
    </r>
    <r>
      <rPr>
        <sz val="10"/>
        <rFont val="Arial"/>
        <family val="2"/>
      </rPr>
      <t xml:space="preserve"> =</t>
    </r>
  </si>
  <si>
    <r>
      <t>-De</t>
    </r>
    <r>
      <rPr>
        <sz val="10"/>
        <rFont val="Symbol"/>
        <family val="1"/>
        <charset val="2"/>
      </rPr>
      <t xml:space="preserve"> </t>
    </r>
    <r>
      <rPr>
        <sz val="10"/>
        <rFont val="Arial"/>
        <family val="2"/>
      </rPr>
      <t>= (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 xml:space="preserve">3 -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 xml:space="preserve">4) / </t>
    </r>
    <r>
      <rPr>
        <sz val="10"/>
        <rFont val="Symbol"/>
        <family val="1"/>
        <charset val="2"/>
      </rPr>
      <t xml:space="preserve">D </t>
    </r>
    <r>
      <rPr>
        <sz val="10"/>
        <rFont val="Arial"/>
        <family val="2"/>
      </rPr>
      <t xml:space="preserve"> =</t>
    </r>
    <r>
      <rPr>
        <sz val="10"/>
        <rFont val="Symbol"/>
        <family val="1"/>
        <charset val="2"/>
      </rPr>
      <t xml:space="preserve">  </t>
    </r>
  </si>
  <si>
    <t>Weighted linear regression according to Grenthe et al. (1992), p.704</t>
  </si>
  <si>
    <t>(reported)</t>
  </si>
  <si>
    <t>K</t>
  </si>
  <si>
    <t>1970ELG</t>
  </si>
  <si>
    <t>NaCl</t>
  </si>
  <si>
    <r>
      <t>Reaction: Ca</t>
    </r>
    <r>
      <rPr>
        <vertAlign val="superscript"/>
        <sz val="10"/>
        <rFont val="Arial"/>
        <family val="2"/>
      </rPr>
      <t>2+</t>
    </r>
    <r>
      <rPr>
        <sz val="10"/>
        <rFont val="Arial"/>
      </rPr>
      <t xml:space="preserve"> + F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 xml:space="preserve"> = CaF</t>
    </r>
    <r>
      <rPr>
        <vertAlign val="superscript"/>
        <sz val="10"/>
        <rFont val="Arial"/>
        <family val="2"/>
      </rPr>
      <t>+</t>
    </r>
  </si>
  <si>
    <r>
      <t>e</t>
    </r>
    <r>
      <rPr>
        <sz val="10"/>
        <rFont val="Arial"/>
        <family val="2"/>
      </rPr>
      <t>(Ca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>, Cl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)</t>
    </r>
  </si>
  <si>
    <r>
      <t>e</t>
    </r>
    <r>
      <rPr>
        <sz val="10"/>
        <rFont val="Arial"/>
        <family val="2"/>
      </rPr>
      <t>(Na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, F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)</t>
    </r>
  </si>
  <si>
    <r>
      <t>e</t>
    </r>
    <r>
      <rPr>
        <sz val="10"/>
        <rFont val="Arial"/>
        <family val="2"/>
      </rPr>
      <t>(CaF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, Cl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)</t>
    </r>
  </si>
  <si>
    <r>
      <t>[Cl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]</t>
    </r>
  </si>
  <si>
    <r>
      <t>-De</t>
    </r>
    <r>
      <rPr>
        <sz val="10"/>
        <rFont val="Arial"/>
        <family val="2"/>
      </rPr>
      <t>(NaCl)</t>
    </r>
  </si>
  <si>
    <t>Hummel W. &amp; Thoenen T. (2023): The PSI Chemical Thermodynamic Database 2020 (TDB 2020), Nagra Technical Report NTB 21-03</t>
  </si>
  <si>
    <t>Extrapolation of reported stability constants to I = 0 using SIT linear regression as described in NTB 21-03 Chapter 1.5 Medium effects</t>
  </si>
  <si>
    <t>References</t>
  </si>
  <si>
    <t>Elgquist, B. (1970): Determination of the stability constants of MgF+ and CaF+ using a fluoride ion selective electrode. J. Inorg. Nucl. Chem., 32, 937–944.</t>
  </si>
  <si>
    <t>Chapter 4.2.4.1 Calcium(II) fluoride complexes</t>
  </si>
  <si>
    <t>doi:10.1016/0022-1902(70)80072-0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</si>
</sst>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6" x14ac:knownFonts="1">
    <font>
      <sz val="10"/>
      <name val="Arial"/>
    </font>
    <font>
      <b/>
      <sz val="10"/>
      <name val="Arial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sz val="10"/>
      <name val="Courier New"/>
      <family val="3"/>
    </font>
    <font>
      <sz val="8"/>
      <name val="Times New Roman"/>
      <family val="1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vertAlign val="superscript"/>
      <sz val="10"/>
      <name val="Arial"/>
      <family val="2"/>
    </font>
    <font>
      <b/>
      <sz val="10"/>
      <name val="Symbol"/>
      <family val="1"/>
      <charset val="2"/>
    </font>
    <font>
      <b/>
      <sz val="9"/>
      <name val="Times New Roman"/>
      <family val="1"/>
    </font>
    <font>
      <b/>
      <sz val="10"/>
      <name val="Times New Roman"/>
      <family val="1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2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2" fontId="8" fillId="0" borderId="0" xfId="0" applyNumberFormat="1" applyFont="1"/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right"/>
    </xf>
    <xf numFmtId="165" fontId="3" fillId="0" borderId="0" xfId="0" applyNumberFormat="1" applyFont="1"/>
    <xf numFmtId="2" fontId="3" fillId="0" borderId="0" xfId="0" applyNumberFormat="1" applyFont="1"/>
    <xf numFmtId="0" fontId="4" fillId="0" borderId="0" xfId="0" quotePrefix="1" applyFont="1" applyAlignment="1">
      <alignment horizontal="left"/>
    </xf>
    <xf numFmtId="0" fontId="0" fillId="0" borderId="1" xfId="0" applyBorder="1" applyAlignment="1">
      <alignment horizontal="right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12" fillId="0" borderId="0" xfId="0" quotePrefix="1" applyFont="1" applyAlignment="1">
      <alignment horizontal="righ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13" fillId="0" borderId="0" xfId="0" applyFont="1"/>
    <xf numFmtId="0" fontId="14" fillId="0" borderId="0" xfId="0" applyFont="1" applyAlignment="1">
      <alignment horizontal="right"/>
    </xf>
    <xf numFmtId="166" fontId="9" fillId="0" borderId="0" xfId="0" applyNumberFormat="1" applyFont="1"/>
    <xf numFmtId="165" fontId="9" fillId="0" borderId="0" xfId="0" applyNumberFormat="1" applyFont="1" applyAlignment="1">
      <alignment horizontal="center"/>
    </xf>
    <xf numFmtId="165" fontId="9" fillId="0" borderId="0" xfId="0" applyNumberFormat="1" applyFont="1"/>
    <xf numFmtId="2" fontId="9" fillId="0" borderId="0" xfId="0" applyNumberFormat="1" applyFont="1"/>
    <xf numFmtId="0" fontId="9" fillId="0" borderId="0" xfId="0" applyFont="1"/>
    <xf numFmtId="49" fontId="3" fillId="0" borderId="0" xfId="0" applyNumberFormat="1" applyFont="1" applyAlignment="1">
      <alignment horizontal="right"/>
    </xf>
    <xf numFmtId="0" fontId="3" fillId="0" borderId="0" xfId="0" applyFont="1"/>
    <xf numFmtId="164" fontId="9" fillId="0" borderId="0" xfId="0" applyNumberFormat="1" applyFont="1" applyAlignment="1">
      <alignment horizontal="center"/>
    </xf>
    <xf numFmtId="166" fontId="0" fillId="0" borderId="0" xfId="0" applyNumberFormat="1"/>
    <xf numFmtId="0" fontId="15" fillId="0" borderId="0" xfId="1"/>
  </cellXfs>
  <cellStyles count="2">
    <cellStyle name="Enllaç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39157447091265"/>
          <c:y val="0.10185635886423289"/>
          <c:w val="0.81012741681440448"/>
          <c:h val="0.71778418262994448"/>
        </c:manualLayout>
      </c:layout>
      <c:scatterChart>
        <c:scatterStyle val="lineMarker"/>
        <c:varyColors val="0"/>
        <c:ser>
          <c:idx val="6"/>
          <c:order val="0"/>
          <c:tx>
            <c:v>Leden (1952)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CalcCaF!$U$33</c:f>
                <c:numCache>
                  <c:formatCode>General</c:formatCode>
                  <c:ptCount val="1"/>
                  <c:pt idx="0">
                    <c:v>1.379155240075447E-2</c:v>
                  </c:pt>
                </c:numCache>
              </c:numRef>
            </c:plus>
            <c:minus>
              <c:numRef>
                <c:f>CalcCaF!$U$33</c:f>
                <c:numCache>
                  <c:formatCode>General</c:formatCode>
                  <c:ptCount val="1"/>
                  <c:pt idx="0">
                    <c:v>1.379155240075447E-2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CalcCaF!$N$32:$N$34</c:f>
              <c:numCache>
                <c:formatCode>0.000</c:formatCode>
                <c:ptCount val="3"/>
                <c:pt idx="0">
                  <c:v>0.40472000000000002</c:v>
                </c:pt>
                <c:pt idx="1">
                  <c:v>0.7115499999999999</c:v>
                </c:pt>
                <c:pt idx="2">
                  <c:v>1.0215000000000001</c:v>
                </c:pt>
              </c:numCache>
            </c:numRef>
          </c:xVal>
          <c:yVal>
            <c:numRef>
              <c:f>CalcCaF!$O$32:$O$34</c:f>
              <c:numCache>
                <c:formatCode>0.000</c:formatCode>
                <c:ptCount val="3"/>
                <c:pt idx="0">
                  <c:v>1.3576570101474636</c:v>
                </c:pt>
                <c:pt idx="1">
                  <c:v>1.376502903842975</c:v>
                </c:pt>
                <c:pt idx="2">
                  <c:v>1.3942441300438402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F-4500-A812-C8B778D40CCB}"/>
            </c:ext>
          </c:extLst>
        </c:ser>
        <c:ser>
          <c:idx val="1"/>
          <c:order val="1"/>
          <c:tx>
            <c:strRef>
              <c:f>CalcCaF!$AF$14</c:f>
              <c:strCache>
                <c:ptCount val="1"/>
                <c:pt idx="0">
                  <c:v>calc.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C1BF-4500-A812-C8B778D40CCB}"/>
              </c:ext>
            </c:extLst>
          </c:dPt>
          <c:xVal>
            <c:numRef>
              <c:f>CalcCaF!$AE$17:$AE$21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5.2</c:v>
                </c:pt>
              </c:numCache>
            </c:numRef>
          </c:xVal>
          <c:yVal>
            <c:numRef>
              <c:f>CalcCaF!$AF$17:$AF$21</c:f>
              <c:numCache>
                <c:formatCode>General</c:formatCode>
                <c:ptCount val="5"/>
                <c:pt idx="0">
                  <c:v>1.3343968427823822</c:v>
                </c:pt>
                <c:pt idx="1">
                  <c:v>1.6401726754404098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BF-4500-A812-C8B778D40CCB}"/>
            </c:ext>
          </c:extLst>
        </c:ser>
        <c:ser>
          <c:idx val="4"/>
          <c:order val="2"/>
          <c:tx>
            <c:strRef>
              <c:f>CalcCaF!$AG$14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CalcCaF!$AE$17:$AE$21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5.2</c:v>
                </c:pt>
              </c:numCache>
            </c:numRef>
          </c:xVal>
          <c:yVal>
            <c:numRef>
              <c:f>CalcCaF!$AG$17:$AG$21</c:f>
              <c:numCache>
                <c:formatCode>General</c:formatCode>
                <c:ptCount val="5"/>
                <c:pt idx="0">
                  <c:v>1.3747222070225402</c:v>
                </c:pt>
                <c:pt idx="1">
                  <c:v>1.9064543223260855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BF-4500-A812-C8B778D40CCB}"/>
            </c:ext>
          </c:extLst>
        </c:ser>
        <c:ser>
          <c:idx val="5"/>
          <c:order val="3"/>
          <c:tx>
            <c:strRef>
              <c:f>CalcCaF!$AH$14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CalcCaF!$AE$17:$AE$21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5.2</c:v>
                </c:pt>
              </c:numCache>
            </c:numRef>
          </c:xVal>
          <c:yVal>
            <c:numRef>
              <c:f>CalcCaF!$AH$17:$AH$21</c:f>
              <c:numCache>
                <c:formatCode>General</c:formatCode>
                <c:ptCount val="5"/>
                <c:pt idx="0">
                  <c:v>1.2940714785422243</c:v>
                </c:pt>
                <c:pt idx="1">
                  <c:v>1.3738910285547341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BF-4500-A812-C8B778D40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91800"/>
        <c:axId val="1"/>
      </c:scatterChart>
      <c:valAx>
        <c:axId val="103691800"/>
        <c:scaling>
          <c:orientation val="minMax"/>
          <c:max val="1.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[NaCl] </a:t>
                </a:r>
                <a:r>
                  <a:rPr lang="en-GB" sz="1400" b="0" i="0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</a:t>
                </a: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/ molal</a:t>
                </a:r>
              </a:p>
            </c:rich>
          </c:tx>
          <c:layout>
            <c:manualLayout>
              <c:xMode val="edge"/>
              <c:yMode val="edge"/>
              <c:x val="0.47995830426260006"/>
              <c:y val="0.8981967310904318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1.55"/>
          <c:min val="1.2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log</a:t>
                </a:r>
                <a:r>
                  <a:rPr lang="en-GB" sz="1400" b="0" i="0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10</a:t>
                </a:r>
                <a:r>
                  <a:rPr lang="en-GB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GB" sz="1400" b="0" i="0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1</a:t>
                </a: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+ 4 </a:t>
                </a:r>
                <a:r>
                  <a:rPr lang="en-GB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D </a:t>
                </a:r>
              </a:p>
            </c:rich>
          </c:tx>
          <c:layout>
            <c:manualLayout>
              <c:xMode val="edge"/>
              <c:yMode val="edge"/>
              <c:x val="3.4810126582278479E-2"/>
              <c:y val="0.3696375169012964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3691800"/>
        <c:crosses val="autoZero"/>
        <c:crossBetween val="midCat"/>
        <c:majorUnit val="5.000000000000001E-2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533400</xdr:colOff>
      <xdr:row>31</xdr:row>
      <xdr:rowOff>6350</xdr:rowOff>
    </xdr:to>
    <xdr:graphicFrame macro="">
      <xdr:nvGraphicFramePr>
        <xdr:cNvPr id="5244" name="Chart 1">
          <a:extLst>
            <a:ext uri="{FF2B5EF4-FFF2-40B4-BE49-F238E27FC236}">
              <a16:creationId xmlns:a16="http://schemas.microsoft.com/office/drawing/2014/main" id="{11EC6E26-E5DA-3A4A-7EEA-187A84EF1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0022-1902(70)80072-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1"/>
  <sheetViews>
    <sheetView tabSelected="1" workbookViewId="0">
      <selection activeCell="B9" sqref="B9"/>
    </sheetView>
  </sheetViews>
  <sheetFormatPr defaultColWidth="11.5546875" defaultRowHeight="13.2" x14ac:dyDescent="0.25"/>
  <cols>
    <col min="1" max="1" width="12.77734375" customWidth="1"/>
    <col min="2" max="8" width="8.77734375" customWidth="1"/>
    <col min="9" max="9" width="9.21875" customWidth="1"/>
    <col min="10" max="21" width="8.77734375" customWidth="1"/>
    <col min="22" max="22" width="9.21875" customWidth="1"/>
    <col min="23" max="256" width="8.77734375" customWidth="1"/>
  </cols>
  <sheetData>
    <row r="1" spans="1:35" x14ac:dyDescent="0.25">
      <c r="A1" s="35" t="s">
        <v>60</v>
      </c>
    </row>
    <row r="3" spans="1:35" x14ac:dyDescent="0.25">
      <c r="A3" t="s">
        <v>64</v>
      </c>
    </row>
    <row r="6" spans="1:35" x14ac:dyDescent="0.25">
      <c r="A6" t="s">
        <v>61</v>
      </c>
    </row>
    <row r="8" spans="1:35" x14ac:dyDescent="0.25">
      <c r="A8" t="s">
        <v>62</v>
      </c>
    </row>
    <row r="9" spans="1:35" x14ac:dyDescent="0.25">
      <c r="A9" s="27" t="s">
        <v>52</v>
      </c>
      <c r="B9" s="38" t="s">
        <v>65</v>
      </c>
      <c r="C9" t="s">
        <v>63</v>
      </c>
    </row>
    <row r="13" spans="1:35" ht="16.8" x14ac:dyDescent="0.35">
      <c r="A13" t="s">
        <v>49</v>
      </c>
      <c r="H13" s="1" t="s">
        <v>0</v>
      </c>
      <c r="I13" s="2">
        <f>Z44</f>
        <v>1.3343968427823822</v>
      </c>
      <c r="J13" s="2">
        <f>AD44</f>
        <v>4.0325364240157889E-2</v>
      </c>
      <c r="K13" t="s">
        <v>26</v>
      </c>
      <c r="AE13" s="4" t="s">
        <v>6</v>
      </c>
    </row>
    <row r="14" spans="1:35" x14ac:dyDescent="0.25">
      <c r="H14" s="1" t="s">
        <v>1</v>
      </c>
      <c r="I14" s="37">
        <f>Z47</f>
        <v>5.8803044741928358E-2</v>
      </c>
      <c r="J14" s="2">
        <f>AD47</f>
        <v>5.0617408652483771E-2</v>
      </c>
      <c r="K14" s="19" t="s">
        <v>59</v>
      </c>
      <c r="AF14" s="7" t="s">
        <v>23</v>
      </c>
      <c r="AG14" s="7"/>
      <c r="AH14" s="7"/>
      <c r="AI14" s="7" t="s">
        <v>16</v>
      </c>
    </row>
    <row r="15" spans="1:35" ht="15.6" x14ac:dyDescent="0.35">
      <c r="AE15" s="1" t="s">
        <v>20</v>
      </c>
      <c r="AF15" s="7" t="s">
        <v>22</v>
      </c>
      <c r="AG15" s="7" t="s">
        <v>24</v>
      </c>
      <c r="AH15" s="7" t="s">
        <v>25</v>
      </c>
      <c r="AI15" s="7" t="s">
        <v>17</v>
      </c>
    </row>
    <row r="16" spans="1:35" ht="16.2" x14ac:dyDescent="0.3">
      <c r="G16" s="24" t="s">
        <v>55</v>
      </c>
      <c r="I16" s="10">
        <v>0.14000000000000001</v>
      </c>
      <c r="J16">
        <v>0.01</v>
      </c>
      <c r="AE16" s="4" t="s">
        <v>21</v>
      </c>
    </row>
    <row r="17" spans="1:36" ht="15.6" x14ac:dyDescent="0.25">
      <c r="A17" s="25" t="s">
        <v>54</v>
      </c>
      <c r="B17" s="3"/>
      <c r="C17" s="3"/>
      <c r="G17" s="24" t="s">
        <v>56</v>
      </c>
      <c r="I17">
        <v>0.02</v>
      </c>
      <c r="J17">
        <v>0.02</v>
      </c>
      <c r="AE17">
        <v>0</v>
      </c>
      <c r="AF17">
        <f>$I$13+$I$14*AE17</f>
        <v>1.3343968427823822</v>
      </c>
      <c r="AG17">
        <f>AF17+AI17</f>
        <v>1.3747222070225402</v>
      </c>
      <c r="AH17">
        <f>AF17-AI17</f>
        <v>1.2940714785422243</v>
      </c>
      <c r="AI17">
        <f>SQRT($J$13*$J$13+($J$14*AE17)^2)</f>
        <v>4.0325364240157889E-2</v>
      </c>
      <c r="AJ17" t="s">
        <v>31</v>
      </c>
    </row>
    <row r="18" spans="1:36" ht="15.6" x14ac:dyDescent="0.25">
      <c r="B18" s="3"/>
      <c r="G18" s="24" t="s">
        <v>57</v>
      </c>
      <c r="I18" s="10">
        <f>I16+I17-I14</f>
        <v>0.10119695525807165</v>
      </c>
      <c r="J18" s="10">
        <f>SQRT(J16^2+J17^2+J14^2)</f>
        <v>5.5336444218006445E-2</v>
      </c>
      <c r="AE18" s="10">
        <v>5.2</v>
      </c>
      <c r="AF18">
        <f>$I$13+$I$14*AE18</f>
        <v>1.6401726754404098</v>
      </c>
      <c r="AG18">
        <f>AF18+AI18</f>
        <v>1.9064543223260855</v>
      </c>
      <c r="AH18">
        <f>AF18-AI18</f>
        <v>1.3738910285547341</v>
      </c>
      <c r="AI18">
        <f>SQRT($J$13*$J$13+($J$14*AE18)^2)</f>
        <v>0.26628164688567568</v>
      </c>
      <c r="AJ18" t="s">
        <v>31</v>
      </c>
    </row>
    <row r="19" spans="1:36" x14ac:dyDescent="0.25">
      <c r="C19" s="3"/>
    </row>
    <row r="20" spans="1:36" ht="15.6" x14ac:dyDescent="0.25">
      <c r="A20" s="16" t="s">
        <v>30</v>
      </c>
      <c r="B20" s="26">
        <f>1^2-1^2-2^2</f>
        <v>-4</v>
      </c>
      <c r="K20" s="10"/>
    </row>
    <row r="21" spans="1:36" ht="15.6" x14ac:dyDescent="0.35">
      <c r="A21" s="16" t="s">
        <v>29</v>
      </c>
      <c r="B21" s="26">
        <f>1-1-1</f>
        <v>-1</v>
      </c>
    </row>
    <row r="22" spans="1:36" x14ac:dyDescent="0.25">
      <c r="A22" s="3"/>
      <c r="B22" s="3"/>
    </row>
    <row r="23" spans="1:36" x14ac:dyDescent="0.25">
      <c r="A23" s="3"/>
      <c r="B23" s="3"/>
    </row>
    <row r="25" spans="1:36" x14ac:dyDescent="0.25">
      <c r="A25" s="3"/>
      <c r="B25" s="3"/>
      <c r="S25" t="s">
        <v>2</v>
      </c>
      <c r="T25">
        <v>0.5091</v>
      </c>
      <c r="AE25" s="10"/>
    </row>
    <row r="26" spans="1:36" ht="13.8" x14ac:dyDescent="0.3">
      <c r="C26" s="4" t="s">
        <v>3</v>
      </c>
      <c r="D26" s="5"/>
    </row>
    <row r="27" spans="1:36" x14ac:dyDescent="0.25">
      <c r="C27" s="3" t="s">
        <v>4</v>
      </c>
      <c r="D27" s="3"/>
    </row>
    <row r="28" spans="1:36" ht="13.8" x14ac:dyDescent="0.3">
      <c r="C28" s="4" t="s">
        <v>5</v>
      </c>
      <c r="D28" s="5"/>
      <c r="R28" s="6"/>
    </row>
    <row r="29" spans="1:36" ht="15.6" x14ac:dyDescent="0.25">
      <c r="B29" t="s">
        <v>27</v>
      </c>
      <c r="C29" s="7" t="s">
        <v>8</v>
      </c>
      <c r="D29" s="7" t="s">
        <v>51</v>
      </c>
      <c r="E29" s="7" t="s">
        <v>9</v>
      </c>
      <c r="F29" s="7" t="s">
        <v>10</v>
      </c>
      <c r="G29" s="7" t="s">
        <v>11</v>
      </c>
      <c r="H29" s="7" t="s">
        <v>12</v>
      </c>
      <c r="I29" s="6" t="s">
        <v>13</v>
      </c>
      <c r="J29" s="8" t="s">
        <v>14</v>
      </c>
      <c r="N29" s="34" t="s">
        <v>58</v>
      </c>
      <c r="T29" s="7" t="s">
        <v>15</v>
      </c>
      <c r="U29" s="8" t="s">
        <v>14</v>
      </c>
      <c r="AE29" s="7"/>
      <c r="AH29" s="7"/>
      <c r="AI29" s="7"/>
      <c r="AJ29" s="7"/>
    </row>
    <row r="30" spans="1:36" x14ac:dyDescent="0.25">
      <c r="A30" t="s">
        <v>7</v>
      </c>
      <c r="B30" t="s">
        <v>28</v>
      </c>
      <c r="C30" s="7" t="s">
        <v>18</v>
      </c>
      <c r="D30" s="7" t="s">
        <v>18</v>
      </c>
      <c r="E30" s="7" t="s">
        <v>18</v>
      </c>
      <c r="G30" s="7" t="s">
        <v>19</v>
      </c>
      <c r="H30" s="7" t="s">
        <v>19</v>
      </c>
      <c r="AE30" s="9"/>
      <c r="AF30" s="1"/>
      <c r="AG30" s="1"/>
      <c r="AH30" s="9"/>
      <c r="AI30" s="9"/>
      <c r="AJ30" s="3"/>
    </row>
    <row r="31" spans="1:36" ht="16.8" x14ac:dyDescent="0.35">
      <c r="C31" s="4" t="s">
        <v>3</v>
      </c>
      <c r="D31" s="35" t="s">
        <v>50</v>
      </c>
      <c r="E31" s="35" t="s">
        <v>50</v>
      </c>
      <c r="F31" s="4" t="s">
        <v>3</v>
      </c>
      <c r="W31" s="20" t="s">
        <v>32</v>
      </c>
      <c r="X31" s="20" t="s">
        <v>33</v>
      </c>
      <c r="Y31" s="20" t="s">
        <v>34</v>
      </c>
      <c r="Z31" s="20" t="s">
        <v>35</v>
      </c>
      <c r="AA31" s="20" t="s">
        <v>36</v>
      </c>
    </row>
    <row r="32" spans="1:36" x14ac:dyDescent="0.25">
      <c r="A32" s="27" t="s">
        <v>52</v>
      </c>
      <c r="B32" s="28" t="s">
        <v>53</v>
      </c>
      <c r="C32" s="36">
        <v>0.4</v>
      </c>
      <c r="D32">
        <v>5.01</v>
      </c>
      <c r="E32" s="2">
        <f>LOG(D32)</f>
        <v>0.69983772586724569</v>
      </c>
      <c r="F32" s="33">
        <v>1.0118</v>
      </c>
      <c r="G32" s="30">
        <f>C32*F32</f>
        <v>0.40472000000000002</v>
      </c>
      <c r="H32" s="31">
        <f>E32+$B$21*LOG(F32)</f>
        <v>0.69474305079469711</v>
      </c>
      <c r="I32" s="31">
        <f>(LOG(5.01+0.16)-LOG(5.01-0.16))/2</f>
        <v>1.3874402245839468E-2</v>
      </c>
      <c r="J32" s="32">
        <f>2*I32</f>
        <v>2.7748804491678936E-2</v>
      </c>
      <c r="N32" s="2">
        <f>G32</f>
        <v>0.40472000000000002</v>
      </c>
      <c r="O32" s="2">
        <f>T32</f>
        <v>1.3576570101474636</v>
      </c>
      <c r="T32" s="2">
        <f>H32-$B$20*($T$25*SQRT(G32)/(1+1.5*SQRT(G32)))-$L32</f>
        <v>1.3576570101474636</v>
      </c>
      <c r="U32" s="2">
        <f>J32</f>
        <v>2.7748804491678936E-2</v>
      </c>
      <c r="W32" s="33">
        <f>1/U32^2</f>
        <v>1298.7077910302273</v>
      </c>
      <c r="X32" s="33">
        <f>N32*W32</f>
        <v>525.61301718575362</v>
      </c>
      <c r="Y32" s="33">
        <f>N32*N32*W32</f>
        <v>212.72610031541822</v>
      </c>
      <c r="Z32" s="33">
        <f>T32*W32</f>
        <v>1763.1997366253154</v>
      </c>
      <c r="AA32" s="33">
        <f>N32*T32*W32</f>
        <v>713.60219740699779</v>
      </c>
    </row>
    <row r="33" spans="1:30" x14ac:dyDescent="0.25">
      <c r="A33" s="27" t="s">
        <v>52</v>
      </c>
      <c r="B33" s="28" t="s">
        <v>53</v>
      </c>
      <c r="C33" s="36">
        <v>0.7</v>
      </c>
      <c r="D33">
        <v>4.22</v>
      </c>
      <c r="E33" s="2">
        <f>LOG(D33)</f>
        <v>0.62531245096167387</v>
      </c>
      <c r="F33" s="29">
        <v>1.0165</v>
      </c>
      <c r="G33" s="30">
        <f>C33*F33</f>
        <v>0.7115499999999999</v>
      </c>
      <c r="H33" s="31">
        <f>E33+$B$21*LOG(F33)</f>
        <v>0.61820506798761643</v>
      </c>
      <c r="I33" s="31">
        <f>(LOG(4.22+0.067)-LOG(4.22-0.067))/2</f>
        <v>6.8957762003772349E-3</v>
      </c>
      <c r="J33" s="32">
        <f>2*I33</f>
        <v>1.379155240075447E-2</v>
      </c>
      <c r="N33" s="2">
        <f>G33</f>
        <v>0.7115499999999999</v>
      </c>
      <c r="O33" s="2">
        <f>T33</f>
        <v>1.376502903842975</v>
      </c>
      <c r="T33" s="2">
        <f>H33-$B$20*($T$25*SQRT(G33)/(1+1.5*SQRT(G33)))-$L33</f>
        <v>1.376502903842975</v>
      </c>
      <c r="U33" s="2">
        <f>J33</f>
        <v>1.379155240075447E-2</v>
      </c>
      <c r="W33" s="33">
        <f>1/U33^2</f>
        <v>5257.4323399916129</v>
      </c>
      <c r="X33" s="33">
        <f>N33*W33</f>
        <v>3740.9259815210316</v>
      </c>
      <c r="Y33" s="33">
        <f>N33*N33*W33</f>
        <v>2661.8558821512897</v>
      </c>
      <c r="Z33" s="33">
        <f>T33*W33</f>
        <v>7236.8708827564224</v>
      </c>
      <c r="AA33" s="33">
        <f>N33*T33*W33</f>
        <v>5149.3954766253319</v>
      </c>
    </row>
    <row r="34" spans="1:30" x14ac:dyDescent="0.25">
      <c r="A34" s="27" t="s">
        <v>52</v>
      </c>
      <c r="B34" s="28" t="s">
        <v>53</v>
      </c>
      <c r="C34" s="36">
        <v>1</v>
      </c>
      <c r="D34">
        <v>3.85</v>
      </c>
      <c r="E34" s="2">
        <f>LOG(D34)</f>
        <v>0.5854607295085007</v>
      </c>
      <c r="F34" s="29">
        <v>1.0215000000000001</v>
      </c>
      <c r="G34" s="30">
        <f>C34*F34</f>
        <v>1.0215000000000001</v>
      </c>
      <c r="H34" s="31">
        <f>E34+$B$21*LOG(F34)</f>
        <v>0.57622235854003423</v>
      </c>
      <c r="I34" s="31">
        <f>(LOG(3.85+0.079)-LOG(3.85-0.079))/2</f>
        <v>8.9127482030929572E-3</v>
      </c>
      <c r="J34" s="32">
        <f>2*I34</f>
        <v>1.7825496406185914E-2</v>
      </c>
      <c r="N34" s="2">
        <f>G34</f>
        <v>1.0215000000000001</v>
      </c>
      <c r="O34" s="2">
        <f>T34</f>
        <v>1.3942441300438402</v>
      </c>
      <c r="T34" s="2">
        <f>H34-$B$20*($T$25*SQRT(G34)/(1+1.5*SQRT(G34)))-$L34</f>
        <v>1.3942441300438402</v>
      </c>
      <c r="U34" s="2">
        <f>J34</f>
        <v>1.7825496406185914E-2</v>
      </c>
      <c r="W34" s="33">
        <f>1/U34^2</f>
        <v>3147.1448639167938</v>
      </c>
      <c r="X34" s="33">
        <f>N34*W34</f>
        <v>3214.8084784910052</v>
      </c>
      <c r="Y34" s="33">
        <f>N34*N34*W34</f>
        <v>3283.9268607785621</v>
      </c>
      <c r="Z34" s="33">
        <f>T34*W34</f>
        <v>4387.8882529136099</v>
      </c>
      <c r="AA34" s="33">
        <f>N34*T34*W34</f>
        <v>4482.2278503512534</v>
      </c>
    </row>
    <row r="38" spans="1:30" x14ac:dyDescent="0.25">
      <c r="H38" s="17"/>
      <c r="I38" s="18"/>
      <c r="J38" s="18"/>
      <c r="N38" s="2"/>
      <c r="T38" s="2"/>
      <c r="U38" s="2"/>
      <c r="W38" s="35"/>
      <c r="X38" s="35"/>
      <c r="Y38" s="35"/>
      <c r="Z38" s="35"/>
      <c r="AA38" s="35"/>
    </row>
    <row r="39" spans="1:30" x14ac:dyDescent="0.25">
      <c r="K39" s="1"/>
      <c r="V39" s="16" t="s">
        <v>37</v>
      </c>
      <c r="W39">
        <f>SUM(W32:W36)</f>
        <v>9703.2849949386346</v>
      </c>
      <c r="X39">
        <f>SUM(X32:X36)</f>
        <v>7481.3474771977908</v>
      </c>
      <c r="Y39">
        <f>SUM(Y32:Y36)</f>
        <v>6158.5088432452703</v>
      </c>
      <c r="Z39">
        <f>SUM(Z32:Z36)</f>
        <v>13387.958872295349</v>
      </c>
      <c r="AA39">
        <f>SUM(AA32:AA36)</f>
        <v>10345.225524383583</v>
      </c>
    </row>
    <row r="41" spans="1:30" ht="16.8" x14ac:dyDescent="0.35">
      <c r="Y41" s="16" t="s">
        <v>38</v>
      </c>
      <c r="Z41">
        <f>W39*Y39-X39^2</f>
        <v>3787206.3752849698</v>
      </c>
    </row>
    <row r="42" spans="1:30" ht="16.8" x14ac:dyDescent="0.35">
      <c r="Y42" s="16" t="s">
        <v>39</v>
      </c>
      <c r="Z42">
        <f>Y39*Z39</f>
        <v>82449863.108034879</v>
      </c>
    </row>
    <row r="43" spans="1:30" ht="16.8" x14ac:dyDescent="0.35">
      <c r="Y43" s="16" t="s">
        <v>40</v>
      </c>
      <c r="Z43">
        <f>X39*AA39</f>
        <v>77396226.877889305</v>
      </c>
    </row>
    <row r="44" spans="1:30" ht="16.8" x14ac:dyDescent="0.35">
      <c r="W44" s="1" t="s">
        <v>41</v>
      </c>
      <c r="Y44" s="21" t="s">
        <v>42</v>
      </c>
      <c r="Z44">
        <f>(Z42-Z43)/Z41</f>
        <v>1.3343968427823822</v>
      </c>
      <c r="AC44" s="22" t="s">
        <v>43</v>
      </c>
      <c r="AD44">
        <f>SQRT(Y39/Z41)</f>
        <v>4.0325364240157889E-2</v>
      </c>
    </row>
    <row r="45" spans="1:30" ht="16.8" x14ac:dyDescent="0.35">
      <c r="K45" s="2"/>
      <c r="Q45" s="2"/>
      <c r="R45" s="2"/>
      <c r="S45" s="2"/>
      <c r="T45" s="2"/>
      <c r="U45" s="2"/>
      <c r="Y45" s="16" t="s">
        <v>44</v>
      </c>
      <c r="Z45">
        <f>W39*AA39</f>
        <v>100382671.60000739</v>
      </c>
    </row>
    <row r="46" spans="1:30" ht="16.8" x14ac:dyDescent="0.35">
      <c r="J46" s="2"/>
      <c r="K46" s="2"/>
      <c r="Q46" s="2"/>
      <c r="R46" s="2"/>
      <c r="S46" s="2"/>
      <c r="T46" s="2"/>
      <c r="U46" s="2"/>
      <c r="Y46" s="16" t="s">
        <v>45</v>
      </c>
      <c r="Z46">
        <f>X39*Z39</f>
        <v>100159972.33407459</v>
      </c>
    </row>
    <row r="47" spans="1:30" ht="16.8" x14ac:dyDescent="0.35">
      <c r="J47" s="2"/>
      <c r="M47" s="2"/>
      <c r="Q47" s="2"/>
      <c r="R47" s="2"/>
      <c r="S47" s="2"/>
      <c r="T47" s="2"/>
      <c r="U47" s="2"/>
      <c r="W47" s="1" t="s">
        <v>46</v>
      </c>
      <c r="Y47" s="23" t="s">
        <v>48</v>
      </c>
      <c r="Z47">
        <f>(Z45-Z46)/Z41</f>
        <v>5.8803044741928358E-2</v>
      </c>
      <c r="AC47" s="22" t="s">
        <v>47</v>
      </c>
      <c r="AD47">
        <f>SQRT(W39/Z41)</f>
        <v>5.0617408652483771E-2</v>
      </c>
    </row>
    <row r="48" spans="1:30" x14ac:dyDescent="0.25">
      <c r="J48" s="2"/>
      <c r="M48" s="2"/>
      <c r="Q48" s="2"/>
      <c r="R48" s="2"/>
      <c r="S48" s="2"/>
      <c r="T48" s="2"/>
      <c r="U48" s="2"/>
    </row>
    <row r="49" spans="10:24" x14ac:dyDescent="0.25">
      <c r="J49" s="2"/>
      <c r="M49" s="2"/>
      <c r="Q49" s="2"/>
      <c r="R49" s="2"/>
      <c r="S49" s="2"/>
      <c r="T49" s="2"/>
      <c r="U49" s="2"/>
    </row>
    <row r="50" spans="10:24" x14ac:dyDescent="0.25">
      <c r="J50" s="2"/>
      <c r="M50" s="2"/>
      <c r="Q50" s="2"/>
      <c r="R50" s="2"/>
      <c r="S50" s="2"/>
      <c r="T50" s="2"/>
      <c r="U50" s="2"/>
    </row>
    <row r="51" spans="10:24" x14ac:dyDescent="0.25">
      <c r="J51" s="2"/>
      <c r="M51" s="2"/>
      <c r="Q51" s="2"/>
      <c r="R51" s="2"/>
      <c r="S51" s="2"/>
      <c r="T51" s="2"/>
      <c r="U51" s="2"/>
    </row>
    <row r="52" spans="10:24" x14ac:dyDescent="0.25">
      <c r="J52" s="2"/>
      <c r="M52" s="2"/>
      <c r="Q52" s="2"/>
      <c r="R52" s="2"/>
      <c r="S52" s="2"/>
      <c r="T52" s="2"/>
      <c r="U52" s="2"/>
    </row>
    <row r="53" spans="10:24" x14ac:dyDescent="0.25">
      <c r="J53" s="2"/>
      <c r="K53" s="2"/>
      <c r="Q53" s="2"/>
      <c r="R53" s="2"/>
      <c r="S53" s="2"/>
      <c r="T53" s="2"/>
      <c r="U53" s="2"/>
    </row>
    <row r="54" spans="10:24" x14ac:dyDescent="0.25">
      <c r="J54" s="2"/>
      <c r="N54" s="2"/>
      <c r="Q54" s="2"/>
      <c r="R54" s="2"/>
      <c r="S54" s="2"/>
      <c r="T54" s="2"/>
      <c r="U54" s="2"/>
    </row>
    <row r="55" spans="10:24" x14ac:dyDescent="0.25">
      <c r="J55" s="2"/>
      <c r="K55" s="2"/>
      <c r="Q55" s="2"/>
      <c r="R55" s="2"/>
      <c r="S55" s="2"/>
      <c r="T55" s="2"/>
      <c r="U55" s="2"/>
    </row>
    <row r="56" spans="10:24" x14ac:dyDescent="0.25">
      <c r="J56" s="2"/>
      <c r="M56" s="2"/>
      <c r="Q56" s="2"/>
      <c r="R56" s="2"/>
      <c r="S56" s="2"/>
      <c r="T56" s="2"/>
      <c r="U56" s="2"/>
    </row>
    <row r="57" spans="10:24" x14ac:dyDescent="0.25">
      <c r="J57" s="2"/>
      <c r="K57" s="2"/>
      <c r="Q57" s="2"/>
      <c r="R57" s="2"/>
      <c r="S57" s="2"/>
      <c r="T57" s="2"/>
      <c r="U57" s="2"/>
      <c r="V57" s="10"/>
      <c r="X57" s="2"/>
    </row>
    <row r="58" spans="10:24" x14ac:dyDescent="0.25">
      <c r="J58" s="2"/>
      <c r="M58" s="2"/>
      <c r="Q58" s="2"/>
      <c r="R58" s="2"/>
      <c r="S58" s="2"/>
      <c r="T58" s="2"/>
      <c r="U58" s="2"/>
      <c r="V58" s="10"/>
      <c r="X58" s="2"/>
    </row>
    <row r="59" spans="10:24" x14ac:dyDescent="0.25">
      <c r="J59" s="2"/>
      <c r="M59" s="2"/>
      <c r="Q59" s="2"/>
      <c r="R59" s="2"/>
      <c r="S59" s="2"/>
      <c r="T59" s="2"/>
      <c r="U59" s="2"/>
      <c r="V59" s="10"/>
      <c r="X59" s="2"/>
    </row>
    <row r="60" spans="10:24" x14ac:dyDescent="0.25">
      <c r="J60" s="2"/>
      <c r="M60" s="2"/>
      <c r="Q60" s="2"/>
      <c r="R60" s="2"/>
      <c r="S60" s="2"/>
      <c r="T60" s="2"/>
      <c r="U60" s="2"/>
      <c r="V60" s="10"/>
      <c r="X60" s="2"/>
    </row>
    <row r="61" spans="10:24" x14ac:dyDescent="0.25">
      <c r="J61" s="2"/>
      <c r="M61" s="2"/>
      <c r="Q61" s="2"/>
      <c r="R61" s="2"/>
      <c r="S61" s="2"/>
      <c r="T61" s="2"/>
      <c r="U61" s="2"/>
      <c r="V61" s="10"/>
      <c r="X61" s="2"/>
    </row>
    <row r="62" spans="10:24" x14ac:dyDescent="0.25">
      <c r="J62" s="2"/>
      <c r="M62" s="2"/>
      <c r="Q62" s="2"/>
      <c r="R62" s="2"/>
      <c r="S62" s="2"/>
      <c r="T62" s="2"/>
      <c r="U62" s="2"/>
      <c r="V62" s="10"/>
      <c r="X62" s="2"/>
    </row>
    <row r="63" spans="10:24" x14ac:dyDescent="0.25">
      <c r="J63" s="2"/>
      <c r="M63" s="2"/>
      <c r="Q63" s="2"/>
      <c r="R63" s="2"/>
      <c r="S63" s="2"/>
      <c r="T63" s="2"/>
      <c r="U63" s="2"/>
      <c r="V63" s="10"/>
      <c r="X63" s="2"/>
    </row>
    <row r="64" spans="10:24" x14ac:dyDescent="0.25">
      <c r="J64" s="2"/>
      <c r="M64" s="2"/>
      <c r="Q64" s="2"/>
      <c r="R64" s="2"/>
      <c r="S64" s="2"/>
      <c r="T64" s="2"/>
      <c r="U64" s="2"/>
      <c r="V64" s="10"/>
      <c r="X64" s="2"/>
    </row>
    <row r="65" spans="1:28" x14ac:dyDescent="0.25">
      <c r="J65" s="2"/>
      <c r="M65" s="2"/>
      <c r="Q65" s="2"/>
      <c r="R65" s="2"/>
      <c r="S65" s="2"/>
      <c r="T65" s="2"/>
      <c r="U65" s="2"/>
      <c r="V65" s="10"/>
      <c r="X65" s="2"/>
    </row>
    <row r="66" spans="1:28" x14ac:dyDescent="0.25">
      <c r="J66" s="2"/>
      <c r="M66" s="2"/>
      <c r="Q66" s="2"/>
      <c r="R66" s="2"/>
      <c r="S66" s="2"/>
      <c r="T66" s="2"/>
      <c r="U66" s="2"/>
      <c r="V66" s="10"/>
      <c r="X66" s="2"/>
    </row>
    <row r="67" spans="1:28" x14ac:dyDescent="0.25">
      <c r="J67" s="2"/>
      <c r="M67" s="2"/>
      <c r="Q67" s="2"/>
      <c r="R67" s="2"/>
      <c r="S67" s="2"/>
      <c r="T67" s="2"/>
      <c r="U67" s="2"/>
      <c r="V67" s="10"/>
      <c r="X67" s="2"/>
    </row>
    <row r="68" spans="1:28" x14ac:dyDescent="0.25">
      <c r="J68" s="2"/>
      <c r="K68" s="2"/>
      <c r="Q68" s="2"/>
      <c r="R68" s="2"/>
      <c r="S68" s="2"/>
      <c r="T68" s="2"/>
      <c r="U68" s="2"/>
      <c r="V68" s="10"/>
      <c r="X68" s="2"/>
    </row>
    <row r="69" spans="1:28" x14ac:dyDescent="0.25">
      <c r="J69" s="2"/>
      <c r="M69" s="2"/>
      <c r="Q69" s="2"/>
      <c r="R69" s="2"/>
      <c r="S69" s="2"/>
      <c r="T69" s="2"/>
      <c r="U69" s="2"/>
      <c r="V69" s="10"/>
      <c r="X69" s="2"/>
    </row>
    <row r="70" spans="1:28" x14ac:dyDescent="0.25">
      <c r="J70" s="2"/>
      <c r="K70" s="2"/>
      <c r="Q70" s="2"/>
      <c r="R70" s="2"/>
      <c r="S70" s="2"/>
      <c r="T70" s="2"/>
      <c r="U70" s="2"/>
      <c r="V70" s="10"/>
      <c r="X70" s="2"/>
    </row>
    <row r="71" spans="1:28" x14ac:dyDescent="0.25">
      <c r="J71" s="2"/>
      <c r="K71" s="2"/>
      <c r="Q71" s="2"/>
      <c r="R71" s="2"/>
      <c r="S71" s="2"/>
      <c r="T71" s="2"/>
      <c r="U71" s="2"/>
      <c r="V71" s="10"/>
      <c r="Y71" s="2"/>
      <c r="AA71" s="2"/>
    </row>
    <row r="72" spans="1:28" x14ac:dyDescent="0.25">
      <c r="A72" s="11"/>
      <c r="B72" s="11"/>
      <c r="C72" s="12"/>
      <c r="J72" s="2"/>
      <c r="K72" s="2"/>
      <c r="Q72" s="2"/>
      <c r="R72" s="2"/>
      <c r="S72" s="2"/>
      <c r="T72" s="2"/>
      <c r="U72" s="2"/>
      <c r="V72" s="10"/>
      <c r="Y72" s="2"/>
      <c r="AA72" s="2"/>
    </row>
    <row r="73" spans="1:28" x14ac:dyDescent="0.25">
      <c r="A73" s="11"/>
      <c r="B73" s="11"/>
      <c r="C73" s="12"/>
      <c r="J73" s="2"/>
      <c r="K73" s="2"/>
      <c r="Q73" s="2"/>
      <c r="R73" s="2"/>
      <c r="S73" s="2"/>
      <c r="T73" s="2"/>
      <c r="U73" s="2"/>
      <c r="V73" s="10"/>
      <c r="Y73" s="2"/>
      <c r="AA73" s="2"/>
    </row>
    <row r="74" spans="1:28" x14ac:dyDescent="0.25">
      <c r="A74" s="11"/>
      <c r="B74" s="11"/>
      <c r="C74" s="12"/>
      <c r="D74" s="13"/>
      <c r="E74" s="2"/>
      <c r="F74" s="14"/>
      <c r="G74" s="10"/>
      <c r="H74" s="15"/>
      <c r="I74" s="13"/>
      <c r="J74" s="2"/>
      <c r="K74" s="2"/>
      <c r="Q74" s="2"/>
      <c r="R74" s="2"/>
      <c r="S74" s="2"/>
      <c r="T74" s="2"/>
      <c r="U74" s="2"/>
      <c r="V74" s="10"/>
      <c r="Y74" s="2"/>
      <c r="AA74" s="2"/>
    </row>
    <row r="75" spans="1:28" x14ac:dyDescent="0.25">
      <c r="A75" s="11"/>
      <c r="B75" s="11"/>
      <c r="C75" s="12"/>
      <c r="D75" s="13"/>
      <c r="E75" s="2"/>
      <c r="F75" s="14"/>
      <c r="G75" s="10"/>
      <c r="H75" s="15"/>
      <c r="I75" s="13"/>
      <c r="J75" s="2"/>
      <c r="K75" s="2"/>
      <c r="Q75" s="2"/>
      <c r="R75" s="2"/>
      <c r="S75" s="2"/>
      <c r="T75" s="2"/>
      <c r="U75" s="2"/>
      <c r="V75" s="10"/>
      <c r="Y75" s="2"/>
      <c r="AA75" s="2"/>
    </row>
    <row r="76" spans="1:28" x14ac:dyDescent="0.25">
      <c r="A76" s="11"/>
      <c r="B76" s="11"/>
      <c r="C76" s="12"/>
      <c r="D76" s="13"/>
      <c r="E76" s="2"/>
      <c r="F76" s="14"/>
      <c r="G76" s="10"/>
      <c r="H76" s="15"/>
      <c r="I76" s="13"/>
      <c r="J76" s="2"/>
      <c r="P76" s="2"/>
      <c r="Q76" s="2"/>
      <c r="R76" s="2"/>
      <c r="S76" s="2"/>
      <c r="T76" s="2"/>
      <c r="U76" s="2"/>
      <c r="V76" s="10"/>
      <c r="Y76" s="2"/>
      <c r="AA76" s="2"/>
    </row>
    <row r="77" spans="1:28" x14ac:dyDescent="0.25">
      <c r="A77" s="11"/>
      <c r="B77" s="11"/>
      <c r="C77" s="12"/>
      <c r="D77" s="13"/>
      <c r="E77" s="2"/>
      <c r="F77" s="14"/>
      <c r="G77" s="10"/>
      <c r="H77" s="15"/>
      <c r="I77" s="13"/>
      <c r="J77" s="2"/>
      <c r="M77" s="2"/>
      <c r="Q77" s="2"/>
      <c r="R77" s="2"/>
      <c r="S77" s="2"/>
      <c r="T77" s="2"/>
      <c r="U77" s="2"/>
      <c r="V77" s="10"/>
      <c r="Y77" s="2"/>
      <c r="AA77" s="2"/>
    </row>
    <row r="78" spans="1:28" x14ac:dyDescent="0.25">
      <c r="A78" s="11"/>
      <c r="B78" s="11"/>
      <c r="C78" s="12"/>
      <c r="D78" s="13"/>
      <c r="E78" s="2"/>
      <c r="F78" s="14"/>
      <c r="G78" s="10"/>
      <c r="H78" s="15"/>
      <c r="I78" s="13"/>
      <c r="J78" s="2"/>
      <c r="N78" s="2"/>
      <c r="Q78" s="2"/>
      <c r="R78" s="2"/>
      <c r="S78" s="2"/>
      <c r="T78" s="2"/>
      <c r="U78" s="2"/>
      <c r="V78" s="10"/>
      <c r="Z78" s="2"/>
      <c r="AB78" s="2"/>
    </row>
    <row r="79" spans="1:28" x14ac:dyDescent="0.25">
      <c r="A79" s="11"/>
      <c r="B79" s="11"/>
      <c r="C79" s="12"/>
      <c r="D79" s="13"/>
      <c r="E79" s="2"/>
      <c r="F79" s="14"/>
      <c r="G79" s="10"/>
      <c r="H79" s="15"/>
      <c r="I79" s="13"/>
      <c r="J79" s="2"/>
      <c r="N79" s="2"/>
      <c r="Q79" s="2"/>
      <c r="R79" s="2"/>
      <c r="S79" s="2"/>
      <c r="T79" s="2"/>
      <c r="U79" s="2"/>
      <c r="V79" s="10"/>
      <c r="Z79" s="2"/>
      <c r="AB79" s="2"/>
    </row>
    <row r="80" spans="1:28" x14ac:dyDescent="0.25">
      <c r="A80" s="11"/>
      <c r="B80" s="11"/>
      <c r="C80" s="12"/>
      <c r="D80" s="13"/>
      <c r="E80" s="2"/>
      <c r="F80" s="14"/>
      <c r="G80" s="10"/>
      <c r="H80" s="15"/>
      <c r="I80" s="13"/>
      <c r="J80" s="2"/>
      <c r="N80" s="2"/>
      <c r="Q80" s="2"/>
      <c r="R80" s="2"/>
      <c r="S80" s="2"/>
      <c r="T80" s="2"/>
      <c r="U80" s="2"/>
      <c r="V80" s="10"/>
      <c r="Z80" s="2"/>
      <c r="AB80" s="2"/>
    </row>
    <row r="81" spans="1:28" x14ac:dyDescent="0.25">
      <c r="A81" s="11"/>
      <c r="B81" s="11"/>
      <c r="C81" s="12"/>
      <c r="D81" s="13"/>
      <c r="E81" s="2"/>
      <c r="F81" s="14"/>
      <c r="G81" s="10"/>
      <c r="H81" s="15"/>
      <c r="I81" s="13"/>
      <c r="J81" s="2"/>
      <c r="N81" s="2"/>
      <c r="Q81" s="2"/>
      <c r="R81" s="2"/>
      <c r="S81" s="2"/>
      <c r="T81" s="2"/>
      <c r="U81" s="2"/>
      <c r="V81" s="10"/>
      <c r="Z81" s="2"/>
      <c r="AB81" s="2"/>
    </row>
  </sheetData>
  <phoneticPr fontId="8" type="noConversion"/>
  <hyperlinks>
    <hyperlink ref="B9" r:id="rId1" xr:uid="{7B83D72C-014F-4668-B385-EA9E5FCA1495}"/>
  </hyperlinks>
  <pageMargins left="0.75" right="0.75" top="1" bottom="1" header="0.5" footer="0.5"/>
  <pageSetup paperSize="9" orientation="landscape" horizontalDpi="300" verticalDpi="300" r:id="rId2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37" sqref="A37"/>
    </sheetView>
  </sheetViews>
  <sheetFormatPr defaultColWidth="11.5546875" defaultRowHeight="13.2" x14ac:dyDescent="0.25"/>
  <cols>
    <col min="1" max="256" width="8.77734375" customWidth="1"/>
  </cols>
  <sheetData/>
  <phoneticPr fontId="8" type="noConversion"/>
  <printOptions horizontalCentered="1"/>
  <pageMargins left="0.39370078740157483" right="0.39370078740157483" top="1.3779527559055118" bottom="0.78740157480314965" header="0.78740157480314965" footer="0.51181102362204722"/>
  <pageSetup paperSize="9" orientation="portrait" horizontalDpi="300" r:id="rId1"/>
  <headerFooter alignWithMargins="0">
    <oddHeader>Multi12_edta.xls</oddHeader>
    <oddFooter>&amp;L&amp;6&amp;F; &amp;A&amp;R&amp;6Page &amp;P
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CalcCaF</vt:lpstr>
      <vt:lpstr>PlotCaF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I.Puigdomenech</dc:creator>
  <cp:lastModifiedBy>Josep Bonet</cp:lastModifiedBy>
  <cp:lastPrinted>2002-08-12T14:38:15Z</cp:lastPrinted>
  <dcterms:created xsi:type="dcterms:W3CDTF">2000-02-23T12:13:48Z</dcterms:created>
  <dcterms:modified xsi:type="dcterms:W3CDTF">2023-12-03T11:38:29Z</dcterms:modified>
</cp:coreProperties>
</file>