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8_{AF3F1996-7AA3-414C-8826-3A44DB0258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F" sheetId="1" r:id="rId1"/>
  </sheets>
  <definedNames>
    <definedName name="_Regression_Out" hidden="1">CaF!$B$106:$B$106</definedName>
    <definedName name="_Regression_X" hidden="1">CaF!$E$101:$E$103</definedName>
    <definedName name="_Regression_Y" hidden="1">CaF!$G$101:$G$103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4" i="1" s="1"/>
  <c r="B23" i="1"/>
  <c r="B28" i="1"/>
  <c r="C28" i="1" s="1"/>
  <c r="E28" i="1"/>
  <c r="S28" i="1"/>
  <c r="B29" i="1"/>
  <c r="C29" i="1" s="1"/>
  <c r="E29" i="1"/>
  <c r="S29" i="1"/>
  <c r="B30" i="1"/>
  <c r="C30" i="1" s="1"/>
  <c r="E30" i="1"/>
  <c r="S30" i="1"/>
  <c r="B31" i="1"/>
  <c r="E31" i="1"/>
  <c r="S31" i="1"/>
  <c r="T31" i="1" s="1"/>
  <c r="B32" i="1"/>
  <c r="C32" i="1" s="1"/>
  <c r="E32" i="1"/>
  <c r="S32" i="1"/>
  <c r="T32" i="1"/>
  <c r="B33" i="1"/>
  <c r="C33" i="1" s="1"/>
  <c r="G33" i="1"/>
  <c r="S33" i="1"/>
  <c r="B34" i="1"/>
  <c r="C34" i="1" s="1"/>
  <c r="G34" i="1"/>
  <c r="S34" i="1"/>
  <c r="B35" i="1"/>
  <c r="G35" i="1"/>
  <c r="S35" i="1"/>
  <c r="B36" i="1"/>
  <c r="I36" i="1"/>
  <c r="S36" i="1"/>
  <c r="B37" i="1"/>
  <c r="C37" i="1" s="1"/>
  <c r="K37" i="1"/>
  <c r="S37" i="1"/>
  <c r="B38" i="1"/>
  <c r="C38" i="1" s="1"/>
  <c r="K38" i="1"/>
  <c r="S38" i="1"/>
  <c r="B39" i="1"/>
  <c r="K39" i="1"/>
  <c r="S39" i="1"/>
  <c r="B40" i="1"/>
  <c r="C40" i="1" s="1"/>
  <c r="M40" i="1"/>
  <c r="S40" i="1"/>
  <c r="T40" i="1" s="1"/>
  <c r="B41" i="1"/>
  <c r="C41" i="1" s="1"/>
  <c r="M41" i="1"/>
  <c r="S41" i="1"/>
  <c r="S42" i="1"/>
  <c r="B51" i="1"/>
  <c r="B59" i="1"/>
  <c r="C59" i="1" s="1"/>
  <c r="B60" i="1"/>
  <c r="C60" i="1" s="1"/>
  <c r="B61" i="1"/>
  <c r="C61" i="1" s="1"/>
  <c r="B62" i="1"/>
  <c r="C62" i="1" s="1"/>
  <c r="B63" i="1"/>
  <c r="C63" i="1" s="1"/>
  <c r="B70" i="1"/>
  <c r="C70" i="1" s="1"/>
  <c r="B71" i="1"/>
  <c r="C71" i="1" s="1"/>
  <c r="B72" i="1"/>
  <c r="C72" i="1" s="1"/>
  <c r="B79" i="1"/>
  <c r="L79" i="1" s="1"/>
  <c r="K79" i="1"/>
  <c r="K80" i="1"/>
  <c r="L80" i="1"/>
  <c r="K81" i="1"/>
  <c r="L81" i="1"/>
  <c r="K82" i="1"/>
  <c r="L82" i="1"/>
  <c r="B86" i="1"/>
  <c r="C86" i="1" s="1"/>
  <c r="B87" i="1"/>
  <c r="D87" i="1" s="1"/>
  <c r="B88" i="1"/>
  <c r="D88" i="1" s="1"/>
  <c r="C88" i="1"/>
  <c r="E88" i="1" s="1"/>
  <c r="B95" i="1"/>
  <c r="D95" i="1" s="1"/>
  <c r="B96" i="1"/>
  <c r="D96" i="1" s="1"/>
  <c r="C96" i="1"/>
  <c r="T38" i="1" l="1"/>
  <c r="O37" i="1"/>
  <c r="P35" i="1"/>
  <c r="T33" i="1"/>
  <c r="C87" i="1"/>
  <c r="T42" i="1"/>
  <c r="T39" i="1"/>
  <c r="U41" i="1"/>
  <c r="P41" i="1"/>
  <c r="U34" i="1"/>
  <c r="O31" i="1"/>
  <c r="T29" i="1"/>
  <c r="U28" i="1"/>
  <c r="C95" i="1"/>
  <c r="U36" i="1"/>
  <c r="T30" i="1"/>
  <c r="K85" i="1"/>
  <c r="K86" i="1" s="1"/>
  <c r="O41" i="1"/>
  <c r="O33" i="1"/>
  <c r="U40" i="1"/>
  <c r="O36" i="1"/>
  <c r="O35" i="1"/>
  <c r="U32" i="1"/>
  <c r="O30" i="1"/>
  <c r="U29" i="1"/>
  <c r="T41" i="1"/>
  <c r="O39" i="1"/>
  <c r="T37" i="1"/>
  <c r="T36" i="1"/>
  <c r="T35" i="1"/>
  <c r="T34" i="1"/>
  <c r="U33" i="1"/>
  <c r="C31" i="1"/>
  <c r="E87" i="1"/>
  <c r="C35" i="1"/>
  <c r="T28" i="1"/>
  <c r="O28" i="1"/>
  <c r="E95" i="1"/>
  <c r="K84" i="1"/>
  <c r="P40" i="1"/>
  <c r="P38" i="1"/>
  <c r="U37" i="1"/>
  <c r="O29" i="1"/>
  <c r="P33" i="1"/>
  <c r="D86" i="1"/>
  <c r="E86" i="1" s="1"/>
  <c r="C39" i="1"/>
  <c r="O38" i="1"/>
  <c r="C36" i="1"/>
  <c r="P30" i="1"/>
  <c r="E96" i="1"/>
  <c r="D79" i="1"/>
  <c r="D71" i="1"/>
  <c r="E71" i="1" s="1"/>
  <c r="D63" i="1"/>
  <c r="E63" i="1" s="1"/>
  <c r="D61" i="1"/>
  <c r="E61" i="1" s="1"/>
  <c r="D59" i="1"/>
  <c r="E59" i="1" s="1"/>
  <c r="U39" i="1"/>
  <c r="P32" i="1"/>
  <c r="U31" i="1"/>
  <c r="C79" i="1"/>
  <c r="E79" i="1" s="1"/>
  <c r="O40" i="1"/>
  <c r="P37" i="1"/>
  <c r="O32" i="1"/>
  <c r="P29" i="1"/>
  <c r="P34" i="1"/>
  <c r="P39" i="1"/>
  <c r="U38" i="1"/>
  <c r="O34" i="1"/>
  <c r="P31" i="1"/>
  <c r="U30" i="1"/>
  <c r="D72" i="1"/>
  <c r="E72" i="1" s="1"/>
  <c r="D70" i="1"/>
  <c r="E70" i="1" s="1"/>
  <c r="D62" i="1"/>
  <c r="E62" i="1" s="1"/>
  <c r="D60" i="1"/>
  <c r="E60" i="1" s="1"/>
  <c r="U42" i="1"/>
  <c r="P36" i="1"/>
  <c r="U35" i="1"/>
  <c r="P28" i="1"/>
  <c r="C45" i="1" l="1" a="1"/>
  <c r="C46" i="1" s="1"/>
  <c r="C51" i="1" s="1"/>
  <c r="D48" i="1" l="1"/>
  <c r="C47" i="1"/>
  <c r="C45" i="1"/>
  <c r="D45" i="1"/>
  <c r="V37" i="1" s="1"/>
  <c r="D49" i="1"/>
  <c r="C48" i="1"/>
  <c r="D46" i="1"/>
  <c r="D51" i="1" s="1"/>
  <c r="C49" i="1"/>
  <c r="D47" i="1"/>
  <c r="W34" i="1"/>
  <c r="V32" i="1"/>
  <c r="W35" i="1"/>
  <c r="V34" i="1"/>
  <c r="V35" i="1"/>
  <c r="V30" i="1"/>
  <c r="X33" i="1"/>
  <c r="W38" i="1"/>
  <c r="X30" i="1"/>
  <c r="W41" i="1"/>
  <c r="X28" i="1"/>
  <c r="X38" i="1" l="1"/>
  <c r="X35" i="1"/>
  <c r="W32" i="1"/>
  <c r="V40" i="1"/>
  <c r="X36" i="1"/>
  <c r="V31" i="1"/>
  <c r="V36" i="1"/>
  <c r="X42" i="1"/>
  <c r="V33" i="1"/>
  <c r="X40" i="1"/>
  <c r="W40" i="1"/>
  <c r="X29" i="1"/>
  <c r="V39" i="1"/>
  <c r="W37" i="1"/>
  <c r="X39" i="1"/>
  <c r="V29" i="1"/>
  <c r="W36" i="1"/>
  <c r="V28" i="1"/>
  <c r="W42" i="1"/>
  <c r="V42" i="1"/>
  <c r="X41" i="1"/>
  <c r="W29" i="1"/>
  <c r="X31" i="1"/>
  <c r="W31" i="1"/>
  <c r="W28" i="1"/>
  <c r="W33" i="1"/>
  <c r="V41" i="1"/>
  <c r="W30" i="1"/>
  <c r="X32" i="1"/>
  <c r="X37" i="1"/>
  <c r="W39" i="1"/>
  <c r="V38" i="1"/>
  <c r="X34" i="1"/>
</calcChain>
</file>

<file path=xl/sharedStrings.xml><?xml version="1.0" encoding="utf-8"?>
<sst xmlns="http://schemas.openxmlformats.org/spreadsheetml/2006/main" count="115" uniqueCount="59">
  <si>
    <r>
      <t>Ca</t>
    </r>
    <r>
      <rPr>
        <b/>
        <vertAlign val="superscript"/>
        <sz val="10"/>
        <rFont val="Arial"/>
        <family val="2"/>
      </rPr>
      <t>2+</t>
    </r>
    <r>
      <rPr>
        <b/>
        <sz val="10"/>
        <rFont val="Arial"/>
        <family val="2"/>
      </rPr>
      <t xml:space="preserve"> + F</t>
    </r>
    <r>
      <rPr>
        <b/>
        <vertAlign val="superscript"/>
        <sz val="10"/>
        <rFont val="Arial"/>
        <family val="2"/>
      </rPr>
      <t>-</t>
    </r>
    <r>
      <rPr>
        <b/>
        <sz val="10"/>
        <rFont val="Arial"/>
        <family val="2"/>
      </rPr>
      <t xml:space="preserve"> = CaF</t>
    </r>
    <r>
      <rPr>
        <b/>
        <vertAlign val="superscript"/>
        <sz val="10"/>
        <rFont val="Arial"/>
        <family val="2"/>
      </rPr>
      <t>+</t>
    </r>
  </si>
  <si>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</si>
  <si>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mol</t>
    </r>
    <r>
      <rPr>
        <vertAlign val="superscript"/>
        <sz val="10"/>
        <rFont val="Arial"/>
        <family val="2"/>
      </rPr>
      <t>-1</t>
    </r>
  </si>
  <si>
    <t>T</t>
  </si>
  <si>
    <t>K</t>
  </si>
  <si>
    <t>ln(10)</t>
  </si>
  <si>
    <t>R ln(10)</t>
  </si>
  <si>
    <t>R T ln(10)</t>
  </si>
  <si>
    <t>calc</t>
  </si>
  <si>
    <t>1 / T</t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</si>
  <si>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K</t>
    </r>
  </si>
  <si>
    <t>X1</t>
  </si>
  <si>
    <t>X2</t>
  </si>
  <si>
    <t>+</t>
  </si>
  <si>
    <t>-</t>
  </si>
  <si>
    <r>
      <t>[</t>
    </r>
    <r>
      <rPr>
        <sz val="10"/>
        <rFont val="Calibri"/>
        <family val="2"/>
      </rPr>
      <t>°</t>
    </r>
    <r>
      <rPr>
        <sz val="10"/>
        <rFont val="Arial"/>
        <family val="2"/>
      </rPr>
      <t>C]</t>
    </r>
  </si>
  <si>
    <t>[K]</t>
  </si>
  <si>
    <t>Cl-apatite</t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</si>
  <si>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C</t>
    </r>
    <r>
      <rPr>
        <b/>
        <i/>
        <vertAlign val="subscript"/>
        <sz val="10"/>
        <rFont val="Arial"/>
        <family val="2"/>
      </rPr>
      <t>p</t>
    </r>
    <r>
      <rPr>
        <b/>
        <vertAlign val="subscript"/>
        <sz val="10"/>
        <rFont val="Arial"/>
        <family val="2"/>
      </rPr>
      <t>m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</si>
  <si>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</si>
  <si>
    <r>
      <t>log</t>
    </r>
    <r>
      <rPr>
        <b/>
        <vertAlign val="subscript"/>
        <sz val="10"/>
        <rFont val="Arial"/>
        <family val="2"/>
      </rPr>
      <t>10</t>
    </r>
    <r>
      <rPr>
        <b/>
        <i/>
        <sz val="10"/>
        <rFont val="Arial"/>
        <family val="2"/>
      </rPr>
      <t>K</t>
    </r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</si>
  <si>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mol</t>
    </r>
    <r>
      <rPr>
        <vertAlign val="superscript"/>
        <sz val="10"/>
        <rFont val="Arial"/>
        <family val="2"/>
      </rPr>
      <t>-1</t>
    </r>
  </si>
  <si>
    <t>kJ/mol</t>
  </si>
  <si>
    <r>
      <t>m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, m</t>
    </r>
    <r>
      <rPr>
        <vertAlign val="subscript"/>
        <sz val="10"/>
        <color indexed="8"/>
        <rFont val="Arial"/>
        <family val="2"/>
      </rPr>
      <t>1</t>
    </r>
  </si>
  <si>
    <t>b</t>
  </si>
  <si>
    <t>r2</t>
  </si>
  <si>
    <t>standard error for the y estimate</t>
  </si>
  <si>
    <t>F</t>
  </si>
  <si>
    <t>degrees of freedom (df)</t>
  </si>
  <si>
    <t>residual sum of squares</t>
  </si>
  <si>
    <t>±</t>
  </si>
  <si>
    <t>Majer &amp; Stulik (1982)</t>
  </si>
  <si>
    <t>Bond &amp; Hefter (1971)</t>
  </si>
  <si>
    <t>Elgquist (1970)</t>
  </si>
  <si>
    <t>Tanner et al. (1968)</t>
  </si>
  <si>
    <t>Average:</t>
  </si>
  <si>
    <t>STDEV:</t>
  </si>
  <si>
    <r>
      <rPr>
        <sz val="10"/>
        <rFont val="Calibri"/>
        <family val="2"/>
      </rPr>
      <t>±</t>
    </r>
    <r>
      <rPr>
        <sz val="10"/>
        <rFont val="Arial"/>
        <family val="2"/>
      </rPr>
      <t xml:space="preserve"> 95%</t>
    </r>
  </si>
  <si>
    <t>Richardson &amp; Hooland (1979)</t>
  </si>
  <si>
    <t>Hummel W. &amp; Thoenen T. (2023): The PSI Chemical Thermodynamic Database 2020 (TDB 2020), Nagra Technical Report NTB 21-03</t>
  </si>
  <si>
    <t>Least squares regression analysis of experimental data using the three-term temperature equation as described in NTB 21-03 Chapter 1.6.2 Constant heat capacity of reaction</t>
  </si>
  <si>
    <t>References</t>
  </si>
  <si>
    <t>1968TAN/WAL</t>
  </si>
  <si>
    <t xml:space="preserve">Tanner, S.P., Walker, J.B. &amp; Choppin, G.R. (1968): Thermodynamic parameters of the alkaline earth monofluorides. J. Inorg. Nucl. Chem., 30, 2067–2070. </t>
  </si>
  <si>
    <t>1970ELQ</t>
  </si>
  <si>
    <t>Elgquist, B. (1970): Determination of the stability constants of MgF+ and CaF+ using a fluoride ion selective electrode. J. Inorg. Nucl. Chem., 32, 937–944.</t>
  </si>
  <si>
    <t>1971BON/HEF</t>
  </si>
  <si>
    <t>Bond, A.M. &amp; Hefter, G. (1971): Use of the fluoride ion-selective electrode for the detection of weak fluoride complexes. J. Inorg. Nucl. Chem., 33, 429–434.</t>
  </si>
  <si>
    <t>1979RIC/HOL</t>
  </si>
  <si>
    <t>Richardson, C.K. &amp; Holland, H.D. (1979): The solubility of fluorite in hydrothermal solutions, an experimental study. Geochim. Cosmochim. Acta, 43, 1313–1325.</t>
  </si>
  <si>
    <t>1982MAJ/STU</t>
  </si>
  <si>
    <t>Majer, V. &amp; Štulĭk, K. (1982): A study of the stability of alkaline-earth metal complexes with fluoride and chloride ions at various temperatures by potentiometry with ion-selective electrodes. Talanta, 29, 145–148.</t>
  </si>
  <si>
    <t>Chapter 4.2.4.1 Calcium(II) fluoride complexes</t>
  </si>
  <si>
    <t>25°C Data</t>
  </si>
  <si>
    <t>doi:10.1016/0022-1902(68)80198-8</t>
  </si>
  <si>
    <t>doi:10.1016/0022-1902(70)80072-0</t>
  </si>
  <si>
    <t>doi:10.1016/0022-1902(71)80385-8</t>
  </si>
  <si>
    <t>doi:10.1016/0016-7037(79)90121-2</t>
  </si>
  <si>
    <t>doi:10.1016/0039-9140(82)80039-8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</si>
</sst>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0"/>
      <name val="Arial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sz val="10"/>
      <name val="Calibri"/>
      <family val="2"/>
    </font>
    <font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6" fillId="0" borderId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quotePrefix="1" applyFont="1" applyAlignment="1">
      <alignment horizontal="center"/>
    </xf>
    <xf numFmtId="164" fontId="0" fillId="0" borderId="0" xfId="0" applyNumberFormat="1"/>
    <xf numFmtId="0" fontId="6" fillId="0" borderId="0" xfId="1" applyFont="1" applyAlignment="1">
      <alignment horizontal="right"/>
    </xf>
    <xf numFmtId="0" fontId="0" fillId="0" borderId="0" xfId="0" applyAlignment="1">
      <alignment horizontal="right"/>
    </xf>
    <xf numFmtId="0" fontId="7" fillId="0" borderId="0" xfId="2" applyFont="1" applyAlignment="1">
      <alignment horizontal="right"/>
    </xf>
    <xf numFmtId="0" fontId="3" fillId="0" borderId="0" xfId="1"/>
    <xf numFmtId="0" fontId="10" fillId="0" borderId="0" xfId="2" applyFont="1" applyAlignment="1">
      <alignment horizontal="right"/>
    </xf>
    <xf numFmtId="0" fontId="9" fillId="0" borderId="0" xfId="2" applyFont="1" applyAlignment="1">
      <alignment horizontal="right"/>
    </xf>
    <xf numFmtId="0" fontId="7" fillId="0" borderId="0" xfId="2" applyFont="1"/>
    <xf numFmtId="0" fontId="6" fillId="0" borderId="0" xfId="0" applyFont="1" applyAlignment="1">
      <alignment horizontal="center"/>
    </xf>
    <xf numFmtId="165" fontId="5" fillId="0" borderId="0" xfId="0" applyNumberFormat="1" applyFont="1"/>
    <xf numFmtId="0" fontId="3" fillId="0" borderId="0" xfId="0" quotePrefix="1" applyFont="1"/>
    <xf numFmtId="0" fontId="15" fillId="0" borderId="0" xfId="0" applyFont="1"/>
    <xf numFmtId="0" fontId="4" fillId="0" borderId="0" xfId="0" applyFont="1" applyAlignment="1">
      <alignment horizontal="center"/>
    </xf>
    <xf numFmtId="0" fontId="17" fillId="0" borderId="0" xfId="3"/>
  </cellXfs>
  <cellStyles count="4">
    <cellStyle name="Enllaç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0739599383667"/>
          <c:y val="3.7037037037037035E-2"/>
          <c:w val="0.83975346687211094"/>
          <c:h val="0.82788671023965144"/>
        </c:manualLayout>
      </c:layout>
      <c:scatterChart>
        <c:scatterStyle val="smoothMarker"/>
        <c:varyColors val="0"/>
        <c:ser>
          <c:idx val="0"/>
          <c:order val="0"/>
          <c:tx>
            <c:v>Majer &amp; Stulik (1982)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CaF!$F$28:$F$32</c:f>
                <c:numCache>
                  <c:formatCode>General</c:formatCode>
                  <c:ptCount val="5"/>
                  <c:pt idx="0">
                    <c:v>7.0000000000000007E-2</c:v>
                  </c:pt>
                  <c:pt idx="1">
                    <c:v>7.0000000000000007E-2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7.0000000000000007E-2</c:v>
                  </c:pt>
                </c:numCache>
              </c:numRef>
            </c:plus>
            <c:minus>
              <c:numRef>
                <c:f>CaF!$F$28:$F$32</c:f>
                <c:numCache>
                  <c:formatCode>General</c:formatCode>
                  <c:ptCount val="5"/>
                  <c:pt idx="0">
                    <c:v>7.0000000000000007E-2</c:v>
                  </c:pt>
                  <c:pt idx="1">
                    <c:v>7.0000000000000007E-2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7.0000000000000007E-2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CaF!$A$28:$A$39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2</c:v>
                </c:pt>
                <c:pt idx="6">
                  <c:v>25</c:v>
                </c:pt>
                <c:pt idx="7">
                  <c:v>35</c:v>
                </c:pt>
                <c:pt idx="8">
                  <c:v>25</c:v>
                </c:pt>
                <c:pt idx="9">
                  <c:v>2</c:v>
                </c:pt>
                <c:pt idx="10">
                  <c:v>25</c:v>
                </c:pt>
                <c:pt idx="11">
                  <c:v>39</c:v>
                </c:pt>
              </c:numCache>
            </c:numRef>
          </c:xVal>
          <c:yVal>
            <c:numRef>
              <c:f>CaF!$E$28:$E$39</c:f>
              <c:numCache>
                <c:formatCode>0.00</c:formatCode>
                <c:ptCount val="12"/>
                <c:pt idx="0">
                  <c:v>0.66</c:v>
                </c:pt>
                <c:pt idx="1">
                  <c:v>0.68</c:v>
                </c:pt>
                <c:pt idx="2">
                  <c:v>0.77</c:v>
                </c:pt>
                <c:pt idx="3">
                  <c:v>0.88</c:v>
                </c:pt>
                <c:pt idx="4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4-4C93-A183-79B99D6362CB}"/>
            </c:ext>
          </c:extLst>
        </c:ser>
        <c:ser>
          <c:idx val="7"/>
          <c:order val="1"/>
          <c:tx>
            <c:v>Richardson &amp; Holland (1979)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CaF!$N$28:$N$41</c:f>
                <c:numCache>
                  <c:formatCode>General</c:formatCode>
                  <c:ptCount val="14"/>
                  <c:pt idx="12">
                    <c:v>0.12</c:v>
                  </c:pt>
                  <c:pt idx="13">
                    <c:v>0.14000000000000001</c:v>
                  </c:pt>
                </c:numCache>
              </c:numRef>
            </c:plus>
            <c:minus>
              <c:numRef>
                <c:f>CaF!$N$28:$N$41</c:f>
                <c:numCache>
                  <c:formatCode>General</c:formatCode>
                  <c:ptCount val="14"/>
                  <c:pt idx="12">
                    <c:v>0.12</c:v>
                  </c:pt>
                  <c:pt idx="13">
                    <c:v>0.14000000000000001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CaF!$A$28:$A$41</c:f>
              <c:numCache>
                <c:formatCode>General</c:formatCode>
                <c:ptCount val="14"/>
                <c:pt idx="0">
                  <c:v>15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2</c:v>
                </c:pt>
                <c:pt idx="6">
                  <c:v>25</c:v>
                </c:pt>
                <c:pt idx="7">
                  <c:v>35</c:v>
                </c:pt>
                <c:pt idx="8">
                  <c:v>25</c:v>
                </c:pt>
                <c:pt idx="9">
                  <c:v>2</c:v>
                </c:pt>
                <c:pt idx="10">
                  <c:v>25</c:v>
                </c:pt>
                <c:pt idx="11">
                  <c:v>39</c:v>
                </c:pt>
                <c:pt idx="12">
                  <c:v>200</c:v>
                </c:pt>
                <c:pt idx="13">
                  <c:v>260</c:v>
                </c:pt>
              </c:numCache>
            </c:numRef>
          </c:xVal>
          <c:yVal>
            <c:numRef>
              <c:f>CaF!$M$28:$M$41</c:f>
              <c:numCache>
                <c:formatCode>General</c:formatCode>
                <c:ptCount val="14"/>
                <c:pt idx="12" formatCode="0.00">
                  <c:v>1.44</c:v>
                </c:pt>
                <c:pt idx="13" formatCode="0.00">
                  <c:v>1.64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94-4C93-A183-79B99D6362CB}"/>
            </c:ext>
          </c:extLst>
        </c:ser>
        <c:ser>
          <c:idx val="1"/>
          <c:order val="2"/>
          <c:tx>
            <c:v>Bond &amp; Hefter (1971)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CaF!$H$28:$H$35</c:f>
                <c:numCache>
                  <c:formatCode>General</c:formatCode>
                  <c:ptCount val="8"/>
                  <c:pt idx="5">
                    <c:v>0.27</c:v>
                  </c:pt>
                  <c:pt idx="6">
                    <c:v>0.12</c:v>
                  </c:pt>
                  <c:pt idx="7">
                    <c:v>7.0000000000000007E-2</c:v>
                  </c:pt>
                </c:numCache>
              </c:numRef>
            </c:plus>
            <c:minus>
              <c:numRef>
                <c:f>CaF!$H$28:$H$35</c:f>
                <c:numCache>
                  <c:formatCode>General</c:formatCode>
                  <c:ptCount val="8"/>
                  <c:pt idx="5">
                    <c:v>0.27</c:v>
                  </c:pt>
                  <c:pt idx="6">
                    <c:v>0.12</c:v>
                  </c:pt>
                  <c:pt idx="7">
                    <c:v>7.0000000000000007E-2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CaF!$A$28:$A$39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2</c:v>
                </c:pt>
                <c:pt idx="6">
                  <c:v>25</c:v>
                </c:pt>
                <c:pt idx="7">
                  <c:v>35</c:v>
                </c:pt>
                <c:pt idx="8">
                  <c:v>25</c:v>
                </c:pt>
                <c:pt idx="9">
                  <c:v>2</c:v>
                </c:pt>
                <c:pt idx="10">
                  <c:v>25</c:v>
                </c:pt>
                <c:pt idx="11">
                  <c:v>39</c:v>
                </c:pt>
              </c:numCache>
            </c:numRef>
          </c:xVal>
          <c:yVal>
            <c:numRef>
              <c:f>CaF!$G$28:$G$39</c:f>
              <c:numCache>
                <c:formatCode>General</c:formatCode>
                <c:ptCount val="12"/>
                <c:pt idx="5" formatCode="0.00">
                  <c:v>0.43</c:v>
                </c:pt>
                <c:pt idx="6" formatCode="0.00">
                  <c:v>0.53</c:v>
                </c:pt>
                <c:pt idx="7" formatCode="0.00">
                  <c:v>0.74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94-4C93-A183-79B99D6362CB}"/>
            </c:ext>
          </c:extLst>
        </c:ser>
        <c:ser>
          <c:idx val="6"/>
          <c:order val="3"/>
          <c:tx>
            <c:v>Elgquist (1970)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CaF!$A$28:$A$39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2</c:v>
                </c:pt>
                <c:pt idx="6">
                  <c:v>25</c:v>
                </c:pt>
                <c:pt idx="7">
                  <c:v>35</c:v>
                </c:pt>
                <c:pt idx="8">
                  <c:v>25</c:v>
                </c:pt>
                <c:pt idx="9">
                  <c:v>2</c:v>
                </c:pt>
                <c:pt idx="10">
                  <c:v>25</c:v>
                </c:pt>
                <c:pt idx="11">
                  <c:v>39</c:v>
                </c:pt>
              </c:numCache>
            </c:numRef>
          </c:xVal>
          <c:yVal>
            <c:numRef>
              <c:f>CaF!$I$28:$I$39</c:f>
              <c:numCache>
                <c:formatCode>General</c:formatCode>
                <c:ptCount val="12"/>
                <c:pt idx="8" formatCode="0.00">
                  <c:v>0.59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94-4C93-A183-79B99D6362CB}"/>
            </c:ext>
          </c:extLst>
        </c:ser>
        <c:ser>
          <c:idx val="2"/>
          <c:order val="4"/>
          <c:tx>
            <c:v>Tanner et al. (1968)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CaF!$L$28:$L$39</c:f>
                <c:numCache>
                  <c:formatCode>General</c:formatCode>
                  <c:ptCount val="12"/>
                  <c:pt idx="9">
                    <c:v>0.1</c:v>
                  </c:pt>
                  <c:pt idx="10">
                    <c:v>0.1</c:v>
                  </c:pt>
                  <c:pt idx="11">
                    <c:v>0.1</c:v>
                  </c:pt>
                </c:numCache>
              </c:numRef>
            </c:plus>
            <c:minus>
              <c:numRef>
                <c:f>CaF!$L$28:$L$39</c:f>
                <c:numCache>
                  <c:formatCode>General</c:formatCode>
                  <c:ptCount val="12"/>
                  <c:pt idx="9">
                    <c:v>0.1</c:v>
                  </c:pt>
                  <c:pt idx="10">
                    <c:v>0.1</c:v>
                  </c:pt>
                  <c:pt idx="11">
                    <c:v>0.1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CaF!$A$28:$A$39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2</c:v>
                </c:pt>
                <c:pt idx="6">
                  <c:v>25</c:v>
                </c:pt>
                <c:pt idx="7">
                  <c:v>35</c:v>
                </c:pt>
                <c:pt idx="8">
                  <c:v>25</c:v>
                </c:pt>
                <c:pt idx="9">
                  <c:v>2</c:v>
                </c:pt>
                <c:pt idx="10">
                  <c:v>25</c:v>
                </c:pt>
                <c:pt idx="11">
                  <c:v>39</c:v>
                </c:pt>
              </c:numCache>
            </c:numRef>
          </c:xVal>
          <c:yVal>
            <c:numRef>
              <c:f>CaF!$K$28:$K$39</c:f>
              <c:numCache>
                <c:formatCode>General</c:formatCode>
                <c:ptCount val="12"/>
                <c:pt idx="9" formatCode="0.00">
                  <c:v>0.41</c:v>
                </c:pt>
                <c:pt idx="10" formatCode="0.00">
                  <c:v>0.63</c:v>
                </c:pt>
                <c:pt idx="11" formatCode="0.00">
                  <c:v>0.79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794-4C93-A183-79B99D6362CB}"/>
            </c:ext>
          </c:extLst>
        </c:ser>
        <c:ser>
          <c:idx val="3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CaF!$R$28:$R$42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50</c:v>
                </c:pt>
                <c:pt idx="10">
                  <c:v>70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280</c:v>
                </c:pt>
              </c:numCache>
            </c:numRef>
          </c:xVal>
          <c:yVal>
            <c:numRef>
              <c:f>CaF!$V$28:$V$42</c:f>
              <c:numCache>
                <c:formatCode>0.000</c:formatCode>
                <c:ptCount val="15"/>
                <c:pt idx="0">
                  <c:v>0.43711978815471364</c:v>
                </c:pt>
                <c:pt idx="1">
                  <c:v>0.47213296193456677</c:v>
                </c:pt>
                <c:pt idx="2">
                  <c:v>0.51450830005811754</c:v>
                </c:pt>
                <c:pt idx="3">
                  <c:v>0.55541303821208476</c:v>
                </c:pt>
                <c:pt idx="4">
                  <c:v>0.59492242456137978</c:v>
                </c:pt>
                <c:pt idx="5">
                  <c:v>0.63310665959927792</c:v>
                </c:pt>
                <c:pt idx="6">
                  <c:v>0.67003131241590286</c:v>
                </c:pt>
                <c:pt idx="7">
                  <c:v>0.70575769644081521</c:v>
                </c:pt>
                <c:pt idx="8">
                  <c:v>0.74034320918918561</c:v>
                </c:pt>
                <c:pt idx="9">
                  <c:v>0.80630344903699824</c:v>
                </c:pt>
                <c:pt idx="10">
                  <c:v>0.92669073802631763</c:v>
                </c:pt>
                <c:pt idx="11">
                  <c:v>1.0830748426902541</c:v>
                </c:pt>
                <c:pt idx="12">
                  <c:v>1.2944388409392196</c:v>
                </c:pt>
                <c:pt idx="13">
                  <c:v>1.4611311709542285</c:v>
                </c:pt>
                <c:pt idx="14">
                  <c:v>1.6651578818163117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794-4C93-A183-79B99D6362CB}"/>
            </c:ext>
          </c:extLst>
        </c:ser>
        <c:ser>
          <c:idx val="4"/>
          <c:order val="6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CaF!$R$28:$R$42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50</c:v>
                </c:pt>
                <c:pt idx="10">
                  <c:v>70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280</c:v>
                </c:pt>
              </c:numCache>
            </c:numRef>
          </c:xVal>
          <c:yVal>
            <c:numRef>
              <c:f>CaF!$W$28:$W$42</c:f>
              <c:numCache>
                <c:formatCode>0.000</c:formatCode>
                <c:ptCount val="15"/>
                <c:pt idx="0">
                  <c:v>0.51245662611576592</c:v>
                </c:pt>
                <c:pt idx="1">
                  <c:v>0.54472986446624172</c:v>
                </c:pt>
                <c:pt idx="2">
                  <c:v>0.58378914529699821</c:v>
                </c:pt>
                <c:pt idx="3">
                  <c:v>0.62149290709840332</c:v>
                </c:pt>
                <c:pt idx="4">
                  <c:v>0.65791050953424801</c:v>
                </c:pt>
                <c:pt idx="5">
                  <c:v>0.69310665959927786</c:v>
                </c:pt>
                <c:pt idx="6">
                  <c:v>0.73292082951897508</c:v>
                </c:pt>
                <c:pt idx="7">
                  <c:v>0.77144296082372177</c:v>
                </c:pt>
                <c:pt idx="8">
                  <c:v>0.80873494263765766</c:v>
                </c:pt>
                <c:pt idx="9">
                  <c:v>0.87985686246414274</c:v>
                </c:pt>
                <c:pt idx="10">
                  <c:v>1.0096649883196795</c:v>
                </c:pt>
                <c:pt idx="11">
                  <c:v>1.1782868396001971</c:v>
                </c:pt>
                <c:pt idx="12">
                  <c:v>1.40619100387177</c:v>
                </c:pt>
                <c:pt idx="13">
                  <c:v>1.5859277446472904</c:v>
                </c:pt>
                <c:pt idx="14">
                  <c:v>1.8059204464002654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794-4C93-A183-79B99D6362CB}"/>
            </c:ext>
          </c:extLst>
        </c:ser>
        <c:ser>
          <c:idx val="5"/>
          <c:order val="7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CaF!$R$28:$R$42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50</c:v>
                </c:pt>
                <c:pt idx="10">
                  <c:v>70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280</c:v>
                </c:pt>
              </c:numCache>
            </c:numRef>
          </c:xVal>
          <c:yVal>
            <c:numRef>
              <c:f>CaF!$X$28:$X$42</c:f>
              <c:numCache>
                <c:formatCode>0.000</c:formatCode>
                <c:ptCount val="15"/>
                <c:pt idx="0">
                  <c:v>0.36178295019366147</c:v>
                </c:pt>
                <c:pt idx="1">
                  <c:v>0.39953605940289183</c:v>
                </c:pt>
                <c:pt idx="2">
                  <c:v>0.44522745481923698</c:v>
                </c:pt>
                <c:pt idx="3">
                  <c:v>0.48933316932576626</c:v>
                </c:pt>
                <c:pt idx="4">
                  <c:v>0.53193433958851144</c:v>
                </c:pt>
                <c:pt idx="5">
                  <c:v>0.57310665959927798</c:v>
                </c:pt>
                <c:pt idx="6">
                  <c:v>0.60714179531283075</c:v>
                </c:pt>
                <c:pt idx="7">
                  <c:v>0.64007243205790854</c:v>
                </c:pt>
                <c:pt idx="8">
                  <c:v>0.67195147574071346</c:v>
                </c:pt>
                <c:pt idx="9">
                  <c:v>0.73275003560985374</c:v>
                </c:pt>
                <c:pt idx="10">
                  <c:v>0.8437164877329556</c:v>
                </c:pt>
                <c:pt idx="11">
                  <c:v>0.98786284578031103</c:v>
                </c:pt>
                <c:pt idx="12">
                  <c:v>1.1826866780066689</c:v>
                </c:pt>
                <c:pt idx="13">
                  <c:v>1.3363345972611664</c:v>
                </c:pt>
                <c:pt idx="14">
                  <c:v>1.5243953172323583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794-4C93-A183-79B99D636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50048"/>
        <c:axId val="153252224"/>
      </c:scatterChart>
      <c:valAx>
        <c:axId val="15325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Calibri"/>
                    <a:cs typeface="Times New Roman" panose="02020603050405020304" pitchFamily="18" charset="0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[°C]</a:t>
                </a:r>
              </a:p>
            </c:rich>
          </c:tx>
          <c:layout>
            <c:manualLayout>
              <c:xMode val="edge"/>
              <c:yMode val="edge"/>
              <c:x val="0.51463790446841295"/>
              <c:y val="0.9193899782135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3252224"/>
        <c:crossesAt val="-14"/>
        <c:crossBetween val="midCat"/>
      </c:valAx>
      <c:valAx>
        <c:axId val="153252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de-CH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</c:rich>
          </c:tx>
          <c:layout>
            <c:manualLayout>
              <c:xMode val="edge"/>
              <c:yMode val="edge"/>
              <c:x val="1.6949152542372881E-2"/>
              <c:y val="0.398692810457516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3250048"/>
        <c:crosses val="autoZero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1617873651771962"/>
          <c:y val="0.60130718954248363"/>
          <c:w val="0.4206471494607088"/>
          <c:h val="0.22875816993464052"/>
        </c:manualLayout>
      </c:layout>
      <c:overlay val="0"/>
      <c:spPr>
        <a:noFill/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Times New Roman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4696692200402"/>
          <c:y val="4.8293798051010736E-2"/>
          <c:w val="0.79271473069261933"/>
          <c:h val="0.8168096297168204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CaF!$C$28:$C$39</c:f>
              <c:numCache>
                <c:formatCode>General</c:formatCode>
                <c:ptCount val="12"/>
                <c:pt idx="0">
                  <c:v>3.4704147145583901E-3</c:v>
                </c:pt>
                <c:pt idx="1">
                  <c:v>3.3540164346805303E-3</c:v>
                </c:pt>
                <c:pt idx="2">
                  <c:v>3.1431714600031434E-3</c:v>
                </c:pt>
                <c:pt idx="3">
                  <c:v>2.9572674848440043E-3</c:v>
                </c:pt>
                <c:pt idx="4">
                  <c:v>2.7921262041044259E-3</c:v>
                </c:pt>
                <c:pt idx="5">
                  <c:v>3.6343812465927678E-3</c:v>
                </c:pt>
                <c:pt idx="6">
                  <c:v>3.3540164346805303E-3</c:v>
                </c:pt>
                <c:pt idx="7">
                  <c:v>3.2451728054518907E-3</c:v>
                </c:pt>
                <c:pt idx="8">
                  <c:v>3.3540164346805303E-3</c:v>
                </c:pt>
                <c:pt idx="9">
                  <c:v>3.6343812465927678E-3</c:v>
                </c:pt>
                <c:pt idx="10">
                  <c:v>3.3540164346805303E-3</c:v>
                </c:pt>
                <c:pt idx="11">
                  <c:v>3.2035880185808108E-3</c:v>
                </c:pt>
              </c:numCache>
            </c:numRef>
          </c:xVal>
          <c:yVal>
            <c:numRef>
              <c:f>CaF!$E$28:$E$39</c:f>
              <c:numCache>
                <c:formatCode>0.00</c:formatCode>
                <c:ptCount val="12"/>
                <c:pt idx="0">
                  <c:v>0.66</c:v>
                </c:pt>
                <c:pt idx="1">
                  <c:v>0.68</c:v>
                </c:pt>
                <c:pt idx="2">
                  <c:v>0.77</c:v>
                </c:pt>
                <c:pt idx="3">
                  <c:v>0.88</c:v>
                </c:pt>
                <c:pt idx="4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AD-4E8F-9C76-DEBE6C14F81C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802060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CaF!$C$28:$C$39</c:f>
              <c:numCache>
                <c:formatCode>General</c:formatCode>
                <c:ptCount val="12"/>
                <c:pt idx="0">
                  <c:v>3.4704147145583901E-3</c:v>
                </c:pt>
                <c:pt idx="1">
                  <c:v>3.3540164346805303E-3</c:v>
                </c:pt>
                <c:pt idx="2">
                  <c:v>3.1431714600031434E-3</c:v>
                </c:pt>
                <c:pt idx="3">
                  <c:v>2.9572674848440043E-3</c:v>
                </c:pt>
                <c:pt idx="4">
                  <c:v>2.7921262041044259E-3</c:v>
                </c:pt>
                <c:pt idx="5">
                  <c:v>3.6343812465927678E-3</c:v>
                </c:pt>
                <c:pt idx="6">
                  <c:v>3.3540164346805303E-3</c:v>
                </c:pt>
                <c:pt idx="7">
                  <c:v>3.2451728054518907E-3</c:v>
                </c:pt>
                <c:pt idx="8">
                  <c:v>3.3540164346805303E-3</c:v>
                </c:pt>
                <c:pt idx="9">
                  <c:v>3.6343812465927678E-3</c:v>
                </c:pt>
                <c:pt idx="10">
                  <c:v>3.3540164346805303E-3</c:v>
                </c:pt>
                <c:pt idx="11">
                  <c:v>3.2035880185808108E-3</c:v>
                </c:pt>
              </c:numCache>
            </c:numRef>
          </c:xVal>
          <c:yVal>
            <c:numRef>
              <c:f>CaF!$G$28:$G$39</c:f>
              <c:numCache>
                <c:formatCode>General</c:formatCode>
                <c:ptCount val="12"/>
                <c:pt idx="5" formatCode="0.00">
                  <c:v>0.43</c:v>
                </c:pt>
                <c:pt idx="6" formatCode="0.00">
                  <c:v>0.53</c:v>
                </c:pt>
                <c:pt idx="7" formatCode="0.00">
                  <c:v>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AD-4E8F-9C76-DEBE6C14F81C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969696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CaF!$C$28:$C$39</c:f>
              <c:numCache>
                <c:formatCode>General</c:formatCode>
                <c:ptCount val="12"/>
                <c:pt idx="0">
                  <c:v>3.4704147145583901E-3</c:v>
                </c:pt>
                <c:pt idx="1">
                  <c:v>3.3540164346805303E-3</c:v>
                </c:pt>
                <c:pt idx="2">
                  <c:v>3.1431714600031434E-3</c:v>
                </c:pt>
                <c:pt idx="3">
                  <c:v>2.9572674848440043E-3</c:v>
                </c:pt>
                <c:pt idx="4">
                  <c:v>2.7921262041044259E-3</c:v>
                </c:pt>
                <c:pt idx="5">
                  <c:v>3.6343812465927678E-3</c:v>
                </c:pt>
                <c:pt idx="6">
                  <c:v>3.3540164346805303E-3</c:v>
                </c:pt>
                <c:pt idx="7">
                  <c:v>3.2451728054518907E-3</c:v>
                </c:pt>
                <c:pt idx="8">
                  <c:v>3.3540164346805303E-3</c:v>
                </c:pt>
                <c:pt idx="9">
                  <c:v>3.6343812465927678E-3</c:v>
                </c:pt>
                <c:pt idx="10">
                  <c:v>3.3540164346805303E-3</c:v>
                </c:pt>
                <c:pt idx="11">
                  <c:v>3.2035880185808108E-3</c:v>
                </c:pt>
              </c:numCache>
            </c:numRef>
          </c:xVal>
          <c:yVal>
            <c:numRef>
              <c:f>CaF!$K$28:$K$39</c:f>
              <c:numCache>
                <c:formatCode>General</c:formatCode>
                <c:ptCount val="12"/>
                <c:pt idx="9" formatCode="0.00">
                  <c:v>0.41</c:v>
                </c:pt>
                <c:pt idx="10" formatCode="0.00">
                  <c:v>0.63</c:v>
                </c:pt>
                <c:pt idx="11" formatCode="0.00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AD-4E8F-9C76-DEBE6C14F81C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x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CaF!$C$28:$C$39</c:f>
              <c:numCache>
                <c:formatCode>General</c:formatCode>
                <c:ptCount val="12"/>
                <c:pt idx="0">
                  <c:v>3.4704147145583901E-3</c:v>
                </c:pt>
                <c:pt idx="1">
                  <c:v>3.3540164346805303E-3</c:v>
                </c:pt>
                <c:pt idx="2">
                  <c:v>3.1431714600031434E-3</c:v>
                </c:pt>
                <c:pt idx="3">
                  <c:v>2.9572674848440043E-3</c:v>
                </c:pt>
                <c:pt idx="4">
                  <c:v>2.7921262041044259E-3</c:v>
                </c:pt>
                <c:pt idx="5">
                  <c:v>3.6343812465927678E-3</c:v>
                </c:pt>
                <c:pt idx="6">
                  <c:v>3.3540164346805303E-3</c:v>
                </c:pt>
                <c:pt idx="7">
                  <c:v>3.2451728054518907E-3</c:v>
                </c:pt>
                <c:pt idx="8">
                  <c:v>3.3540164346805303E-3</c:v>
                </c:pt>
                <c:pt idx="9">
                  <c:v>3.6343812465927678E-3</c:v>
                </c:pt>
                <c:pt idx="10">
                  <c:v>3.3540164346805303E-3</c:v>
                </c:pt>
                <c:pt idx="11">
                  <c:v>3.2035880185808108E-3</c:v>
                </c:pt>
              </c:numCache>
            </c:numRef>
          </c:xVal>
          <c:yVal>
            <c:numRef>
              <c:f>CaF!$I$28:$I$39</c:f>
              <c:numCache>
                <c:formatCode>General</c:formatCode>
                <c:ptCount val="12"/>
                <c:pt idx="8" formatCode="0.00">
                  <c:v>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AD-4E8F-9C76-DEBE6C14F81C}"/>
            </c:ext>
          </c:extLst>
        </c:ser>
        <c:ser>
          <c:idx val="4"/>
          <c:order val="4"/>
          <c:spPr>
            <a:ln w="28575">
              <a:noFill/>
            </a:ln>
          </c:spPr>
          <c:marker>
            <c:symbol val="star"/>
            <c:size val="5"/>
            <c:spPr>
              <a:solidFill>
                <a:srgbClr val="33CCCC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CaF!$C$28:$C$41</c:f>
              <c:numCache>
                <c:formatCode>General</c:formatCode>
                <c:ptCount val="14"/>
                <c:pt idx="0">
                  <c:v>3.4704147145583901E-3</c:v>
                </c:pt>
                <c:pt idx="1">
                  <c:v>3.3540164346805303E-3</c:v>
                </c:pt>
                <c:pt idx="2">
                  <c:v>3.1431714600031434E-3</c:v>
                </c:pt>
                <c:pt idx="3">
                  <c:v>2.9572674848440043E-3</c:v>
                </c:pt>
                <c:pt idx="4">
                  <c:v>2.7921262041044259E-3</c:v>
                </c:pt>
                <c:pt idx="5">
                  <c:v>3.6343812465927678E-3</c:v>
                </c:pt>
                <c:pt idx="6">
                  <c:v>3.3540164346805303E-3</c:v>
                </c:pt>
                <c:pt idx="7">
                  <c:v>3.2451728054518907E-3</c:v>
                </c:pt>
                <c:pt idx="8">
                  <c:v>3.3540164346805303E-3</c:v>
                </c:pt>
                <c:pt idx="9">
                  <c:v>3.6343812465927678E-3</c:v>
                </c:pt>
                <c:pt idx="10">
                  <c:v>3.3540164346805303E-3</c:v>
                </c:pt>
                <c:pt idx="11">
                  <c:v>3.2035880185808108E-3</c:v>
                </c:pt>
                <c:pt idx="12">
                  <c:v>2.1134946634259748E-3</c:v>
                </c:pt>
                <c:pt idx="13">
                  <c:v>1.8756447528838038E-3</c:v>
                </c:pt>
              </c:numCache>
            </c:numRef>
          </c:xVal>
          <c:yVal>
            <c:numRef>
              <c:f>CaF!$M$28:$M$41</c:f>
              <c:numCache>
                <c:formatCode>General</c:formatCode>
                <c:ptCount val="14"/>
                <c:pt idx="12" formatCode="0.00">
                  <c:v>1.44</c:v>
                </c:pt>
                <c:pt idx="13" formatCode="0.00">
                  <c:v>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AD-4E8F-9C76-DEBE6C14F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87680"/>
        <c:axId val="153302144"/>
      </c:scatterChart>
      <c:valAx>
        <c:axId val="153287680"/>
        <c:scaling>
          <c:orientation val="minMax"/>
          <c:min val="1.5000000000000005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 / T [K]</a:t>
                </a:r>
              </a:p>
            </c:rich>
          </c:tx>
          <c:layout>
            <c:manualLayout>
              <c:xMode val="edge"/>
              <c:yMode val="edge"/>
              <c:x val="0.51229157475858811"/>
              <c:y val="0.915620040020567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3302144"/>
        <c:crosses val="autoZero"/>
        <c:crossBetween val="midCat"/>
      </c:valAx>
      <c:valAx>
        <c:axId val="153302144"/>
        <c:scaling>
          <c:orientation val="minMax"/>
          <c:min val="0.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</a:t>
                </a:r>
                <a:r>
                  <a:rPr lang="en-US" baseline="-25000"/>
                  <a:t>10</a:t>
                </a:r>
                <a:r>
                  <a:rPr lang="en-US"/>
                  <a:t>K</a:t>
                </a:r>
                <a:r>
                  <a:rPr lang="en-US" baseline="-25000"/>
                  <a:t>1</a:t>
                </a:r>
              </a:p>
            </c:rich>
          </c:tx>
          <c:layout>
            <c:manualLayout>
              <c:xMode val="edge"/>
              <c:yMode val="edge"/>
              <c:x val="3.0454037048424965E-2"/>
              <c:y val="0.38541615814938945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32876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45</xdr:row>
      <xdr:rowOff>142875</xdr:rowOff>
    </xdr:from>
    <xdr:to>
      <xdr:col>16</xdr:col>
      <xdr:colOff>561975</xdr:colOff>
      <xdr:row>72</xdr:row>
      <xdr:rowOff>66675</xdr:rowOff>
    </xdr:to>
    <xdr:graphicFrame macro="">
      <xdr:nvGraphicFramePr>
        <xdr:cNvPr id="1195" name="Chart 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276225</xdr:colOff>
      <xdr:row>47</xdr:row>
      <xdr:rowOff>38100</xdr:rowOff>
    </xdr:from>
    <xdr:to>
      <xdr:col>26</xdr:col>
      <xdr:colOff>342900</xdr:colOff>
      <xdr:row>72</xdr:row>
      <xdr:rowOff>9525</xdr:rowOff>
    </xdr:to>
    <xdr:graphicFrame macro="">
      <xdr:nvGraphicFramePr>
        <xdr:cNvPr id="1196" name="Chart 2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0022-1902(71)80385-8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oi.org/10.1016/0022-1902(70)80072-0" TargetMode="External"/><Relationship Id="rId1" Type="http://schemas.openxmlformats.org/officeDocument/2006/relationships/hyperlink" Target="https://doi.org/10.1016/0022-1902(68)80198-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0039-9140(82)80039-8" TargetMode="External"/><Relationship Id="rId4" Type="http://schemas.openxmlformats.org/officeDocument/2006/relationships/hyperlink" Target="https://doi.org/10.1016/0016-7037(79)9012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abSelected="1" workbookViewId="0">
      <selection activeCell="B13" sqref="B13"/>
    </sheetView>
  </sheetViews>
  <sheetFormatPr defaultColWidth="8.77734375" defaultRowHeight="13.2" x14ac:dyDescent="0.25"/>
  <cols>
    <col min="2" max="4" width="10.77734375" customWidth="1"/>
    <col min="13" max="13" width="12.44140625" customWidth="1"/>
    <col min="21" max="21" width="9.5546875" customWidth="1"/>
  </cols>
  <sheetData>
    <row r="1" spans="1:3" x14ac:dyDescent="0.25">
      <c r="A1" s="2" t="s">
        <v>39</v>
      </c>
    </row>
    <row r="3" spans="1:3" x14ac:dyDescent="0.25">
      <c r="A3" t="s">
        <v>52</v>
      </c>
    </row>
    <row r="6" spans="1:3" x14ac:dyDescent="0.25">
      <c r="A6" s="2" t="s">
        <v>40</v>
      </c>
    </row>
    <row r="8" spans="1:3" x14ac:dyDescent="0.25">
      <c r="A8" t="s">
        <v>41</v>
      </c>
    </row>
    <row r="9" spans="1:3" x14ac:dyDescent="0.25">
      <c r="A9" s="18" t="s">
        <v>42</v>
      </c>
      <c r="B9" s="20" t="s">
        <v>54</v>
      </c>
      <c r="C9" t="s">
        <v>43</v>
      </c>
    </row>
    <row r="10" spans="1:3" x14ac:dyDescent="0.25">
      <c r="A10" s="18" t="s">
        <v>44</v>
      </c>
      <c r="B10" s="20" t="s">
        <v>55</v>
      </c>
      <c r="C10" t="s">
        <v>45</v>
      </c>
    </row>
    <row r="11" spans="1:3" x14ac:dyDescent="0.25">
      <c r="A11" s="18" t="s">
        <v>46</v>
      </c>
      <c r="B11" s="20" t="s">
        <v>56</v>
      </c>
      <c r="C11" t="s">
        <v>47</v>
      </c>
    </row>
    <row r="12" spans="1:3" x14ac:dyDescent="0.25">
      <c r="A12" s="18" t="s">
        <v>48</v>
      </c>
      <c r="B12" s="20" t="s">
        <v>57</v>
      </c>
      <c r="C12" t="s">
        <v>49</v>
      </c>
    </row>
    <row r="13" spans="1:3" x14ac:dyDescent="0.25">
      <c r="A13" s="18" t="s">
        <v>50</v>
      </c>
      <c r="B13" s="20" t="s">
        <v>58</v>
      </c>
      <c r="C13" t="s">
        <v>51</v>
      </c>
    </row>
    <row r="14" spans="1:3" x14ac:dyDescent="0.25">
      <c r="A14" s="18"/>
    </row>
    <row r="15" spans="1:3" x14ac:dyDescent="0.25">
      <c r="A15" s="18"/>
    </row>
    <row r="17" spans="1:24" ht="15.6" x14ac:dyDescent="0.25">
      <c r="A17" s="1" t="s">
        <v>0</v>
      </c>
    </row>
    <row r="19" spans="1:24" ht="15.6" x14ac:dyDescent="0.25">
      <c r="A19" t="s">
        <v>1</v>
      </c>
      <c r="B19">
        <v>8.3145100000000007E-3</v>
      </c>
      <c r="C19" s="2" t="s">
        <v>2</v>
      </c>
    </row>
    <row r="20" spans="1:24" x14ac:dyDescent="0.25">
      <c r="A20" t="s">
        <v>3</v>
      </c>
      <c r="B20">
        <v>298.14999999999998</v>
      </c>
      <c r="C20" s="2" t="s">
        <v>4</v>
      </c>
    </row>
    <row r="21" spans="1:24" x14ac:dyDescent="0.25">
      <c r="A21" t="s">
        <v>5</v>
      </c>
      <c r="B21">
        <f>LN(10)</f>
        <v>2.3025850929940459</v>
      </c>
    </row>
    <row r="23" spans="1:24" x14ac:dyDescent="0.25">
      <c r="A23" s="2" t="s">
        <v>6</v>
      </c>
      <c r="B23">
        <f>B19*B21</f>
        <v>1.9144866781549925E-2</v>
      </c>
    </row>
    <row r="24" spans="1:24" x14ac:dyDescent="0.25">
      <c r="A24" t="s">
        <v>7</v>
      </c>
      <c r="B24">
        <f>B19*B20*B21</f>
        <v>5.7080420309191107</v>
      </c>
      <c r="E24" s="2"/>
      <c r="F24" s="2"/>
    </row>
    <row r="25" spans="1:24" x14ac:dyDescent="0.25">
      <c r="V25" s="4" t="s">
        <v>8</v>
      </c>
    </row>
    <row r="26" spans="1:24" ht="15.6" x14ac:dyDescent="0.35">
      <c r="A26" s="4" t="s">
        <v>3</v>
      </c>
      <c r="B26" s="4" t="s">
        <v>3</v>
      </c>
      <c r="C26" s="5" t="s">
        <v>9</v>
      </c>
      <c r="D26" s="4" t="s">
        <v>10</v>
      </c>
      <c r="E26" s="18" t="s">
        <v>50</v>
      </c>
      <c r="G26" s="18" t="s">
        <v>46</v>
      </c>
      <c r="I26" s="18" t="s">
        <v>44</v>
      </c>
      <c r="K26" s="18" t="s">
        <v>42</v>
      </c>
      <c r="M26" s="18" t="s">
        <v>48</v>
      </c>
      <c r="O26" s="4" t="s">
        <v>11</v>
      </c>
      <c r="P26" s="4" t="s">
        <v>12</v>
      </c>
      <c r="R26" s="4" t="s">
        <v>3</v>
      </c>
      <c r="S26" s="4" t="s">
        <v>3</v>
      </c>
      <c r="T26" s="4" t="s">
        <v>11</v>
      </c>
      <c r="U26" s="4" t="s">
        <v>12</v>
      </c>
      <c r="V26" s="4" t="s">
        <v>10</v>
      </c>
      <c r="W26" s="6" t="s">
        <v>13</v>
      </c>
      <c r="X26" s="6" t="s">
        <v>14</v>
      </c>
    </row>
    <row r="27" spans="1:24" ht="13.8" x14ac:dyDescent="0.3">
      <c r="A27" s="4" t="s">
        <v>15</v>
      </c>
      <c r="B27" s="4" t="s">
        <v>16</v>
      </c>
      <c r="C27" s="4" t="s">
        <v>16</v>
      </c>
      <c r="F27" s="19" t="s">
        <v>30</v>
      </c>
      <c r="H27" s="19" t="s">
        <v>30</v>
      </c>
      <c r="J27" s="19" t="s">
        <v>30</v>
      </c>
      <c r="L27" s="19" t="s">
        <v>30</v>
      </c>
      <c r="N27" s="19" t="s">
        <v>30</v>
      </c>
      <c r="R27" s="4" t="s">
        <v>15</v>
      </c>
      <c r="S27" s="4" t="s">
        <v>16</v>
      </c>
      <c r="V27" s="4" t="s">
        <v>17</v>
      </c>
    </row>
    <row r="28" spans="1:24" x14ac:dyDescent="0.25">
      <c r="A28">
        <v>15</v>
      </c>
      <c r="B28">
        <f>273.15+$A28</f>
        <v>288.14999999999998</v>
      </c>
      <c r="C28">
        <f>1/B28</f>
        <v>3.4704147145583901E-3</v>
      </c>
      <c r="D28" s="3">
        <v>0.66</v>
      </c>
      <c r="E28" s="3">
        <f>D28</f>
        <v>0.66</v>
      </c>
      <c r="F28" s="3">
        <v>7.0000000000000007E-2</v>
      </c>
      <c r="O28">
        <f t="shared" ref="O28:O41" si="0">(1/$B$20-1/$B28)/$B$23</f>
        <v>-6.0798688863185945E-3</v>
      </c>
      <c r="P28">
        <f t="shared" ref="P28:P41" si="1">($B$20/$B28-1+LN($B28/$B$20))/$B$23</f>
        <v>3.0745027680825151E-2</v>
      </c>
      <c r="R28">
        <v>1</v>
      </c>
      <c r="S28">
        <f t="shared" ref="S28:S42" si="2">273.15+$R28</f>
        <v>274.14999999999998</v>
      </c>
      <c r="T28">
        <f t="shared" ref="T28:T42" si="3">(1/$B$20-1/$S28)/$B$23</f>
        <v>-1.5336837961052303E-2</v>
      </c>
      <c r="U28">
        <f t="shared" ref="U28:U42" si="4">($B$20/$S28-1+LN($S28/$B$20))/$B$23</f>
        <v>0.18918919757203095</v>
      </c>
      <c r="V28" s="7">
        <f t="shared" ref="V28:V42" si="5">$D$45+$C$45*$T28+$B$45*$U28</f>
        <v>0.43711978815471364</v>
      </c>
      <c r="W28" s="7">
        <f>($D$45+$D$52+($C$45-$C$52)*$T28+($B$45-$B$52)*$U28)</f>
        <v>0.51245662611576592</v>
      </c>
      <c r="X28" s="7">
        <f>($D$45-$D$52+($C$45+$C$52)*$T28+($B$45+$B$52)*$U28)</f>
        <v>0.36178295019366147</v>
      </c>
    </row>
    <row r="29" spans="1:24" x14ac:dyDescent="0.25">
      <c r="A29">
        <v>25</v>
      </c>
      <c r="B29">
        <f t="shared" ref="B29:B41" si="6">273.15+$A29</f>
        <v>298.14999999999998</v>
      </c>
      <c r="C29">
        <f t="shared" ref="C29:C41" si="7">1/B29</f>
        <v>3.3540164346805303E-3</v>
      </c>
      <c r="D29" s="3">
        <v>0.68</v>
      </c>
      <c r="E29" s="3">
        <f>D29</f>
        <v>0.68</v>
      </c>
      <c r="F29" s="3">
        <v>7.0000000000000007E-2</v>
      </c>
      <c r="O29">
        <f t="shared" si="0"/>
        <v>0</v>
      </c>
      <c r="P29">
        <f t="shared" si="1"/>
        <v>0</v>
      </c>
      <c r="R29">
        <v>5</v>
      </c>
      <c r="S29">
        <f t="shared" si="2"/>
        <v>278.14999999999998</v>
      </c>
      <c r="T29">
        <f t="shared" si="3"/>
        <v>-1.2596902531675022E-2</v>
      </c>
      <c r="U29">
        <f t="shared" si="4"/>
        <v>0.12888415942165576</v>
      </c>
      <c r="V29" s="7">
        <f t="shared" si="5"/>
        <v>0.47213296193456677</v>
      </c>
      <c r="W29" s="7">
        <f>($D$45+$D$52+($C$45-$C$52)*$T29+($B$45-$B$52)*$U29)</f>
        <v>0.54472986446624172</v>
      </c>
      <c r="X29" s="7">
        <f>($D$45-$D$52+($C$45+$C$52)*$T29+($B$45+$B$52)*$U29)</f>
        <v>0.39953605940289183</v>
      </c>
    </row>
    <row r="30" spans="1:24" x14ac:dyDescent="0.25">
      <c r="A30">
        <v>45</v>
      </c>
      <c r="B30">
        <f t="shared" si="6"/>
        <v>318.14999999999998</v>
      </c>
      <c r="C30">
        <f t="shared" si="7"/>
        <v>3.1431714600031434E-3</v>
      </c>
      <c r="D30" s="3">
        <v>0.77</v>
      </c>
      <c r="E30" s="3">
        <f>D30</f>
        <v>0.77</v>
      </c>
      <c r="F30" s="3">
        <v>7.0000000000000007E-2</v>
      </c>
      <c r="O30">
        <f t="shared" si="0"/>
        <v>1.1013133550794935E-2</v>
      </c>
      <c r="P30">
        <f t="shared" si="1"/>
        <v>0.10774819867701339</v>
      </c>
      <c r="R30">
        <v>10</v>
      </c>
      <c r="S30">
        <f t="shared" si="2"/>
        <v>283.14999999999998</v>
      </c>
      <c r="T30">
        <f t="shared" si="3"/>
        <v>-9.2808452388806473E-3</v>
      </c>
      <c r="U30">
        <f t="shared" si="4"/>
        <v>7.0803924213856742E-2</v>
      </c>
      <c r="V30" s="7">
        <f t="shared" si="5"/>
        <v>0.51450830005811754</v>
      </c>
      <c r="W30" s="7">
        <f>($D$45+$D$52+($C$45-$C$52)*$T30+($B$45-$B$52)*$U30)</f>
        <v>0.58378914529699821</v>
      </c>
      <c r="X30" s="7">
        <f>($D$45-$D$52+($C$45+$C$52)*$T30+($B$45+$B$52)*$U30)</f>
        <v>0.44522745481923698</v>
      </c>
    </row>
    <row r="31" spans="1:24" x14ac:dyDescent="0.25">
      <c r="A31">
        <v>65</v>
      </c>
      <c r="B31">
        <f t="shared" si="6"/>
        <v>338.15</v>
      </c>
      <c r="C31">
        <f t="shared" si="7"/>
        <v>2.9572674848440043E-3</v>
      </c>
      <c r="D31" s="3">
        <v>0.88</v>
      </c>
      <c r="E31" s="3">
        <f>D31</f>
        <v>0.88</v>
      </c>
      <c r="F31" s="3">
        <v>7.0000000000000007E-2</v>
      </c>
      <c r="O31">
        <f t="shared" si="0"/>
        <v>2.0723515831349446E-2</v>
      </c>
      <c r="P31">
        <f t="shared" si="1"/>
        <v>0.39708654778419117</v>
      </c>
      <c r="R31">
        <v>15</v>
      </c>
      <c r="S31">
        <f t="shared" si="2"/>
        <v>288.14999999999998</v>
      </c>
      <c r="T31">
        <f t="shared" si="3"/>
        <v>-6.0798688863185945E-3</v>
      </c>
      <c r="U31">
        <f t="shared" si="4"/>
        <v>3.0745027680825151E-2</v>
      </c>
      <c r="V31" s="7">
        <f t="shared" si="5"/>
        <v>0.55541303821208476</v>
      </c>
      <c r="W31" s="7">
        <f>($D$45+$D$52+($C$45-$C$52)*$T31+($B$45-$B$52)*$U31)</f>
        <v>0.62149290709840332</v>
      </c>
      <c r="X31" s="7">
        <f>($D$45-$D$52+($C$45+$C$52)*$T31+($B$45+$B$52)*$U31)</f>
        <v>0.48933316932576626</v>
      </c>
    </row>
    <row r="32" spans="1:24" x14ac:dyDescent="0.25">
      <c r="A32">
        <v>85</v>
      </c>
      <c r="B32">
        <f t="shared" si="6"/>
        <v>358.15</v>
      </c>
      <c r="C32">
        <f t="shared" si="7"/>
        <v>2.7921262041044259E-3</v>
      </c>
      <c r="D32" s="3">
        <v>0.99</v>
      </c>
      <c r="E32" s="3">
        <f>D32</f>
        <v>0.99</v>
      </c>
      <c r="F32" s="3">
        <v>7.0000000000000007E-2</v>
      </c>
      <c r="O32">
        <f t="shared" si="0"/>
        <v>2.9349393599207643E-2</v>
      </c>
      <c r="P32">
        <f t="shared" si="1"/>
        <v>0.82672840849082851</v>
      </c>
      <c r="R32">
        <v>20</v>
      </c>
      <c r="S32">
        <f t="shared" si="2"/>
        <v>293.14999999999998</v>
      </c>
      <c r="T32">
        <f t="shared" si="3"/>
        <v>-2.9880849728683343E-3</v>
      </c>
      <c r="U32">
        <f t="shared" si="4"/>
        <v>7.5123248357080062E-3</v>
      </c>
      <c r="V32" s="7">
        <f t="shared" si="5"/>
        <v>0.59492242456137978</v>
      </c>
      <c r="W32" s="7">
        <f>($D$45+$D$52+($C$45-$C$52)*$T32+($B$45-$B$52)*$U32)</f>
        <v>0.65791050953424801</v>
      </c>
      <c r="X32" s="7">
        <f>($D$45-$D$52+($C$45+$C$52)*$T32+($B$45+$B$52)*$U32)</f>
        <v>0.53193433958851144</v>
      </c>
    </row>
    <row r="33" spans="1:24" x14ac:dyDescent="0.25">
      <c r="A33">
        <v>2</v>
      </c>
      <c r="B33">
        <f t="shared" si="6"/>
        <v>275.14999999999998</v>
      </c>
      <c r="C33">
        <f t="shared" si="7"/>
        <v>3.6343812465927678E-3</v>
      </c>
      <c r="D33" s="3">
        <v>0.43</v>
      </c>
      <c r="G33" s="3">
        <f>D33</f>
        <v>0.43</v>
      </c>
      <c r="H33" s="3">
        <v>0.27</v>
      </c>
      <c r="I33" s="3"/>
      <c r="J33" s="3"/>
      <c r="O33">
        <f t="shared" si="0"/>
        <v>-1.4644385626251914E-2</v>
      </c>
      <c r="P33">
        <f t="shared" si="1"/>
        <v>0.17291614750105794</v>
      </c>
      <c r="R33">
        <v>25</v>
      </c>
      <c r="S33">
        <f t="shared" si="2"/>
        <v>298.14999999999998</v>
      </c>
      <c r="T33">
        <f t="shared" si="3"/>
        <v>0</v>
      </c>
      <c r="U33">
        <f t="shared" si="4"/>
        <v>0</v>
      </c>
      <c r="V33" s="7">
        <f t="shared" si="5"/>
        <v>0.63310665959927792</v>
      </c>
      <c r="W33" s="7">
        <f t="shared" ref="W33:W42" si="8">($D$45+$D$52+($C$45+$C$52)*$T33+($B$45+$B$52)*$U33)</f>
        <v>0.69310665959927786</v>
      </c>
      <c r="X33" s="7">
        <f t="shared" ref="X33:X42" si="9">($D$45-$D$52+($C$45-$C$52)*$T33+($B$45-$B$52)*$U33)</f>
        <v>0.57310665959927798</v>
      </c>
    </row>
    <row r="34" spans="1:24" x14ac:dyDescent="0.25">
      <c r="A34">
        <v>25</v>
      </c>
      <c r="B34">
        <f t="shared" si="6"/>
        <v>298.14999999999998</v>
      </c>
      <c r="C34">
        <f t="shared" si="7"/>
        <v>3.3540164346805303E-3</v>
      </c>
      <c r="D34" s="3">
        <v>0.53</v>
      </c>
      <c r="G34" s="3">
        <f>D34</f>
        <v>0.53</v>
      </c>
      <c r="H34" s="3">
        <v>0.12</v>
      </c>
      <c r="I34" s="3"/>
      <c r="J34" s="3"/>
      <c r="K34" s="3"/>
      <c r="L34" s="3"/>
      <c r="O34">
        <f t="shared" si="0"/>
        <v>0</v>
      </c>
      <c r="P34">
        <f t="shared" si="1"/>
        <v>0</v>
      </c>
      <c r="R34">
        <v>30</v>
      </c>
      <c r="S34">
        <f t="shared" si="2"/>
        <v>303.14999999999998</v>
      </c>
      <c r="T34">
        <f t="shared" si="3"/>
        <v>2.8895171030722494E-3</v>
      </c>
      <c r="U34">
        <f t="shared" si="4"/>
        <v>7.1837467869668844E-3</v>
      </c>
      <c r="V34" s="7">
        <f t="shared" si="5"/>
        <v>0.67003131241590286</v>
      </c>
      <c r="W34" s="7">
        <f t="shared" si="8"/>
        <v>0.73292082951897508</v>
      </c>
      <c r="X34" s="7">
        <f t="shared" si="9"/>
        <v>0.60714179531283075</v>
      </c>
    </row>
    <row r="35" spans="1:24" x14ac:dyDescent="0.25">
      <c r="A35">
        <v>35</v>
      </c>
      <c r="B35">
        <f t="shared" si="6"/>
        <v>308.14999999999998</v>
      </c>
      <c r="C35">
        <f t="shared" si="7"/>
        <v>3.2451728054518907E-3</v>
      </c>
      <c r="D35" s="3">
        <v>0.74</v>
      </c>
      <c r="G35" s="3">
        <f>D35</f>
        <v>0.74</v>
      </c>
      <c r="H35" s="3">
        <v>7.0000000000000007E-2</v>
      </c>
      <c r="I35" s="3"/>
      <c r="J35" s="3"/>
      <c r="K35" s="3"/>
      <c r="L35" s="3"/>
      <c r="O35">
        <f t="shared" si="0"/>
        <v>5.6852643829067113E-3</v>
      </c>
      <c r="P35">
        <f t="shared" si="1"/>
        <v>2.8113738829310959E-2</v>
      </c>
      <c r="R35">
        <v>35</v>
      </c>
      <c r="S35">
        <f t="shared" si="2"/>
        <v>308.14999999999998</v>
      </c>
      <c r="T35">
        <f t="shared" si="3"/>
        <v>5.6852643829067113E-3</v>
      </c>
      <c r="U35">
        <f t="shared" si="4"/>
        <v>2.8113738829310959E-2</v>
      </c>
      <c r="V35" s="7">
        <f t="shared" si="5"/>
        <v>0.70575769644081521</v>
      </c>
      <c r="W35" s="7">
        <f t="shared" si="8"/>
        <v>0.77144296082372177</v>
      </c>
      <c r="X35" s="7">
        <f t="shared" si="9"/>
        <v>0.64007243205790854</v>
      </c>
    </row>
    <row r="36" spans="1:24" x14ac:dyDescent="0.25">
      <c r="A36">
        <v>25</v>
      </c>
      <c r="B36">
        <f t="shared" si="6"/>
        <v>298.14999999999998</v>
      </c>
      <c r="C36">
        <f t="shared" si="7"/>
        <v>3.3540164346805303E-3</v>
      </c>
      <c r="D36" s="3">
        <v>0.59</v>
      </c>
      <c r="G36" s="3"/>
      <c r="H36" s="3"/>
      <c r="I36" s="3">
        <f>D36</f>
        <v>0.59</v>
      </c>
      <c r="J36" s="3">
        <v>0.05</v>
      </c>
      <c r="K36" s="3"/>
      <c r="L36" s="3"/>
      <c r="O36">
        <f t="shared" si="0"/>
        <v>0</v>
      </c>
      <c r="P36">
        <f t="shared" si="1"/>
        <v>0</v>
      </c>
      <c r="R36">
        <v>40</v>
      </c>
      <c r="S36">
        <f t="shared" si="2"/>
        <v>313.14999999999998</v>
      </c>
      <c r="T36">
        <f t="shared" si="3"/>
        <v>8.3917334484721641E-3</v>
      </c>
      <c r="U36">
        <f t="shared" si="4"/>
        <v>6.1908300521596696E-2</v>
      </c>
      <c r="V36" s="7">
        <f t="shared" si="5"/>
        <v>0.74034320918918561</v>
      </c>
      <c r="W36" s="7">
        <f t="shared" si="8"/>
        <v>0.80873494263765766</v>
      </c>
      <c r="X36" s="7">
        <f t="shared" si="9"/>
        <v>0.67195147574071346</v>
      </c>
    </row>
    <row r="37" spans="1:24" x14ac:dyDescent="0.25">
      <c r="A37">
        <v>2</v>
      </c>
      <c r="B37">
        <f t="shared" si="6"/>
        <v>275.14999999999998</v>
      </c>
      <c r="C37">
        <f t="shared" si="7"/>
        <v>3.6343812465927678E-3</v>
      </c>
      <c r="D37" s="3">
        <v>0.41</v>
      </c>
      <c r="K37" s="3">
        <f>D37</f>
        <v>0.41</v>
      </c>
      <c r="L37" s="3">
        <v>0.1</v>
      </c>
      <c r="O37">
        <f t="shared" si="0"/>
        <v>-1.4644385626251914E-2</v>
      </c>
      <c r="P37">
        <f t="shared" si="1"/>
        <v>0.17291614750105794</v>
      </c>
      <c r="R37">
        <v>50</v>
      </c>
      <c r="S37">
        <f t="shared" si="2"/>
        <v>323.14999999999998</v>
      </c>
      <c r="T37">
        <f t="shared" si="3"/>
        <v>1.3553413427144556E-2</v>
      </c>
      <c r="U37">
        <f t="shared" si="4"/>
        <v>0.16487148598323309</v>
      </c>
      <c r="V37" s="7">
        <f t="shared" si="5"/>
        <v>0.80630344903699824</v>
      </c>
      <c r="W37" s="7">
        <f t="shared" si="8"/>
        <v>0.87985686246414274</v>
      </c>
      <c r="X37" s="7">
        <f t="shared" si="9"/>
        <v>0.73275003560985374</v>
      </c>
    </row>
    <row r="38" spans="1:24" x14ac:dyDescent="0.25">
      <c r="A38">
        <v>25</v>
      </c>
      <c r="B38">
        <f t="shared" si="6"/>
        <v>298.14999999999998</v>
      </c>
      <c r="C38">
        <f t="shared" si="7"/>
        <v>3.3540164346805303E-3</v>
      </c>
      <c r="D38" s="3">
        <v>0.63</v>
      </c>
      <c r="K38" s="3">
        <f>D38</f>
        <v>0.63</v>
      </c>
      <c r="L38" s="3">
        <v>0.1</v>
      </c>
      <c r="O38">
        <f t="shared" si="0"/>
        <v>0</v>
      </c>
      <c r="P38">
        <f t="shared" si="1"/>
        <v>0</v>
      </c>
      <c r="R38">
        <v>70</v>
      </c>
      <c r="S38">
        <f t="shared" si="2"/>
        <v>343.15</v>
      </c>
      <c r="T38">
        <f t="shared" si="3"/>
        <v>2.2974250293361986E-2</v>
      </c>
      <c r="U38">
        <f t="shared" si="4"/>
        <v>0.4927152322236833</v>
      </c>
      <c r="V38" s="7">
        <f t="shared" si="5"/>
        <v>0.92669073802631763</v>
      </c>
      <c r="W38" s="7">
        <f t="shared" si="8"/>
        <v>1.0096649883196795</v>
      </c>
      <c r="X38" s="7">
        <f t="shared" si="9"/>
        <v>0.8437164877329556</v>
      </c>
    </row>
    <row r="39" spans="1:24" x14ac:dyDescent="0.25">
      <c r="A39">
        <v>39</v>
      </c>
      <c r="B39">
        <f t="shared" si="6"/>
        <v>312.14999999999998</v>
      </c>
      <c r="C39">
        <f t="shared" si="7"/>
        <v>3.2035880185808108E-3</v>
      </c>
      <c r="D39" s="3">
        <v>0.79</v>
      </c>
      <c r="K39" s="3">
        <f>D39</f>
        <v>0.79</v>
      </c>
      <c r="L39" s="3">
        <v>0.1</v>
      </c>
      <c r="O39">
        <f t="shared" si="0"/>
        <v>7.8573759648559536E-3</v>
      </c>
      <c r="P39">
        <f t="shared" si="1"/>
        <v>5.4160401863244195E-2</v>
      </c>
      <c r="R39">
        <v>100</v>
      </c>
      <c r="S39">
        <f t="shared" si="2"/>
        <v>373.15</v>
      </c>
      <c r="T39">
        <f t="shared" si="3"/>
        <v>3.5211996909943123E-2</v>
      </c>
      <c r="U39">
        <f t="shared" si="4"/>
        <v>1.2218528298288194</v>
      </c>
      <c r="V39" s="7">
        <f t="shared" si="5"/>
        <v>1.0830748426902541</v>
      </c>
      <c r="W39" s="7">
        <f t="shared" si="8"/>
        <v>1.1782868396001971</v>
      </c>
      <c r="X39" s="7">
        <f t="shared" si="9"/>
        <v>0.98786284578031103</v>
      </c>
    </row>
    <row r="40" spans="1:24" x14ac:dyDescent="0.25">
      <c r="A40">
        <v>200</v>
      </c>
      <c r="B40">
        <f t="shared" si="6"/>
        <v>473.15</v>
      </c>
      <c r="C40">
        <f t="shared" si="7"/>
        <v>2.1134946634259748E-3</v>
      </c>
      <c r="D40" s="3">
        <v>1.44</v>
      </c>
      <c r="M40" s="3">
        <f>D40</f>
        <v>1.44</v>
      </c>
      <c r="N40">
        <v>0.12</v>
      </c>
      <c r="O40">
        <f t="shared" si="0"/>
        <v>6.4796573693062062E-2</v>
      </c>
      <c r="P40">
        <f t="shared" si="1"/>
        <v>4.8030724023735853</v>
      </c>
      <c r="R40">
        <v>150</v>
      </c>
      <c r="S40">
        <f t="shared" si="2"/>
        <v>423.15</v>
      </c>
      <c r="T40">
        <f t="shared" si="3"/>
        <v>5.1752162932550617E-2</v>
      </c>
      <c r="U40">
        <f t="shared" si="4"/>
        <v>2.8585463644890767</v>
      </c>
      <c r="V40" s="7">
        <f t="shared" si="5"/>
        <v>1.2944388409392196</v>
      </c>
      <c r="W40" s="7">
        <f t="shared" si="8"/>
        <v>1.40619100387177</v>
      </c>
      <c r="X40" s="7">
        <f t="shared" si="9"/>
        <v>1.1826866780066689</v>
      </c>
    </row>
    <row r="41" spans="1:24" x14ac:dyDescent="0.25">
      <c r="A41">
        <v>260</v>
      </c>
      <c r="B41">
        <f t="shared" si="6"/>
        <v>533.15</v>
      </c>
      <c r="C41">
        <f t="shared" si="7"/>
        <v>1.8756447528838038E-3</v>
      </c>
      <c r="D41" s="3">
        <v>1.64</v>
      </c>
      <c r="M41" s="3">
        <f>D41</f>
        <v>1.64</v>
      </c>
      <c r="N41">
        <v>0.14000000000000001</v>
      </c>
      <c r="O41">
        <f t="shared" si="0"/>
        <v>7.7220264766817079E-2</v>
      </c>
      <c r="P41">
        <f t="shared" si="1"/>
        <v>7.3351034284925323</v>
      </c>
      <c r="R41">
        <v>200</v>
      </c>
      <c r="S41">
        <f t="shared" si="2"/>
        <v>473.15</v>
      </c>
      <c r="T41">
        <f t="shared" si="3"/>
        <v>6.4796573693062062E-2</v>
      </c>
      <c r="U41">
        <f t="shared" si="4"/>
        <v>4.8030724023735853</v>
      </c>
      <c r="V41" s="7">
        <f t="shared" si="5"/>
        <v>1.4611311709542285</v>
      </c>
      <c r="W41" s="7">
        <f t="shared" si="8"/>
        <v>1.5859277446472904</v>
      </c>
      <c r="X41" s="7">
        <f t="shared" si="9"/>
        <v>1.3363345972611664</v>
      </c>
    </row>
    <row r="42" spans="1:24" x14ac:dyDescent="0.25">
      <c r="H42" s="3"/>
      <c r="I42" s="3"/>
      <c r="J42" s="3"/>
      <c r="K42" s="3"/>
      <c r="L42" s="3"/>
      <c r="R42">
        <v>280</v>
      </c>
      <c r="S42">
        <f t="shared" si="2"/>
        <v>553.15</v>
      </c>
      <c r="T42">
        <f t="shared" si="3"/>
        <v>8.0762564583953603E-2</v>
      </c>
      <c r="U42">
        <f t="shared" si="4"/>
        <v>8.2025320694900934</v>
      </c>
      <c r="V42" s="7">
        <f t="shared" si="5"/>
        <v>1.6651578818163117</v>
      </c>
      <c r="W42" s="7">
        <f t="shared" si="8"/>
        <v>1.8059204464002654</v>
      </c>
      <c r="X42" s="7">
        <f t="shared" si="9"/>
        <v>1.5243953172323583</v>
      </c>
    </row>
    <row r="43" spans="1:24" ht="15.6" x14ac:dyDescent="0.35">
      <c r="B43" s="12" t="s">
        <v>18</v>
      </c>
      <c r="C43" s="12" t="s">
        <v>19</v>
      </c>
      <c r="D43" s="13" t="s">
        <v>20</v>
      </c>
    </row>
    <row r="44" spans="1:24" ht="15.6" x14ac:dyDescent="0.25">
      <c r="B44" s="11" t="s">
        <v>21</v>
      </c>
      <c r="C44" s="10" t="s">
        <v>22</v>
      </c>
      <c r="D44" s="11"/>
      <c r="E44" s="3"/>
      <c r="F44" s="3"/>
      <c r="G44" s="3"/>
    </row>
    <row r="45" spans="1:24" ht="15.6" x14ac:dyDescent="0.35">
      <c r="A45" s="10" t="s">
        <v>23</v>
      </c>
      <c r="B45">
        <v>0</v>
      </c>
      <c r="C45" s="1">
        <f t="array" ref="C45:D49">LINEST(D28:D41,O28:O41,TRUE,TRUE)</f>
        <v>12.778831721523714</v>
      </c>
      <c r="D45" s="1">
        <v>0.63310665959927792</v>
      </c>
      <c r="E45" s="14" t="s">
        <v>24</v>
      </c>
      <c r="F45" s="14"/>
    </row>
    <row r="46" spans="1:24" x14ac:dyDescent="0.25">
      <c r="A46" s="10"/>
      <c r="C46">
        <v>0.53061689893330954</v>
      </c>
      <c r="D46">
        <v>1.562114034694592E-2</v>
      </c>
      <c r="E46" s="14"/>
      <c r="F46" s="14"/>
    </row>
    <row r="47" spans="1:24" x14ac:dyDescent="0.25">
      <c r="A47" s="10" t="s">
        <v>25</v>
      </c>
      <c r="C47">
        <v>0.97972937096562607</v>
      </c>
      <c r="D47">
        <v>5.2491960432083637E-2</v>
      </c>
      <c r="E47" s="14" t="s">
        <v>26</v>
      </c>
      <c r="F47" s="14"/>
    </row>
    <row r="48" spans="1:24" x14ac:dyDescent="0.25">
      <c r="A48" s="10" t="s">
        <v>27</v>
      </c>
      <c r="C48">
        <v>579.9895223602083</v>
      </c>
      <c r="D48">
        <v>12</v>
      </c>
      <c r="E48" s="14" t="s">
        <v>28</v>
      </c>
      <c r="F48" s="14"/>
    </row>
    <row r="49" spans="1:6" x14ac:dyDescent="0.25">
      <c r="A49" s="9"/>
      <c r="C49">
        <v>1.5981065576513871</v>
      </c>
      <c r="D49">
        <v>3.3064870920041213E-2</v>
      </c>
      <c r="E49" s="14" t="s">
        <v>29</v>
      </c>
      <c r="F49" s="14"/>
    </row>
    <row r="51" spans="1:6" x14ac:dyDescent="0.25">
      <c r="B51">
        <f>B46*1.96</f>
        <v>0</v>
      </c>
      <c r="C51">
        <f>C46*1.96</f>
        <v>1.0400091219092866</v>
      </c>
      <c r="D51">
        <f>D46*1.96</f>
        <v>3.0617435080014004E-2</v>
      </c>
    </row>
    <row r="52" spans="1:6" ht="13.8" x14ac:dyDescent="0.3">
      <c r="A52" s="8" t="s">
        <v>30</v>
      </c>
      <c r="B52" s="1">
        <v>0</v>
      </c>
      <c r="C52" s="16">
        <v>1</v>
      </c>
      <c r="D52" s="1">
        <v>0.06</v>
      </c>
    </row>
    <row r="55" spans="1:6" x14ac:dyDescent="0.25">
      <c r="A55" s="18" t="s">
        <v>50</v>
      </c>
      <c r="C55" s="2" t="s">
        <v>31</v>
      </c>
    </row>
    <row r="57" spans="1:6" ht="15.6" x14ac:dyDescent="0.35">
      <c r="A57" s="4" t="s">
        <v>3</v>
      </c>
      <c r="B57" s="4" t="s">
        <v>10</v>
      </c>
      <c r="C57" s="6" t="s">
        <v>13</v>
      </c>
      <c r="D57" s="6" t="s">
        <v>14</v>
      </c>
      <c r="E57" s="15" t="s">
        <v>30</v>
      </c>
      <c r="F57" s="15"/>
    </row>
    <row r="58" spans="1:6" ht="13.8" x14ac:dyDescent="0.3">
      <c r="A58" s="4" t="s">
        <v>15</v>
      </c>
    </row>
    <row r="59" spans="1:6" x14ac:dyDescent="0.25">
      <c r="A59">
        <v>15</v>
      </c>
      <c r="B59" s="7">
        <f>LOG(4.62)</f>
        <v>0.66464197555612547</v>
      </c>
      <c r="C59" s="7">
        <f>-$B59+LOG(4.62+2*0.23)</f>
        <v>4.1221736727793834E-2</v>
      </c>
      <c r="D59" s="7">
        <f>-$B59+LOG(4.62-2*0.23)</f>
        <v>-4.5548644929382709E-2</v>
      </c>
      <c r="E59" s="7">
        <f>(C59-D59)/2</f>
        <v>4.3385190828588271E-2</v>
      </c>
      <c r="F59" s="7"/>
    </row>
    <row r="60" spans="1:6" x14ac:dyDescent="0.25">
      <c r="A60">
        <v>25</v>
      </c>
      <c r="B60" s="7">
        <f>LOG(4.81)</f>
        <v>0.6821450763738317</v>
      </c>
      <c r="C60" s="7">
        <f>-$B60+LOG(4.81+2*0.27)</f>
        <v>4.6208705647396764E-2</v>
      </c>
      <c r="D60" s="7">
        <f>-$B60+LOG(4.81-2*0.27)</f>
        <v>-5.1717201348807862E-2</v>
      </c>
      <c r="E60" s="7">
        <f>(C60-D60)/2</f>
        <v>4.8962953498102313E-2</v>
      </c>
      <c r="F60" s="7"/>
    </row>
    <row r="61" spans="1:6" x14ac:dyDescent="0.25">
      <c r="A61">
        <v>45</v>
      </c>
      <c r="B61" s="7">
        <f>LOG(5.83)</f>
        <v>0.76566855475901408</v>
      </c>
      <c r="C61" s="7">
        <f>-$B61+LOG(5.83+2*0.3)</f>
        <v>4.2542418165207985E-2</v>
      </c>
      <c r="D61" s="7">
        <f>-$B61+LOG(5.83-2*0.3)</f>
        <v>-4.7166865891739795E-2</v>
      </c>
      <c r="E61" s="7">
        <f>(C61-D61)/2</f>
        <v>4.485464202847389E-2</v>
      </c>
      <c r="F61" s="7"/>
    </row>
    <row r="62" spans="1:6" x14ac:dyDescent="0.25">
      <c r="A62">
        <v>65</v>
      </c>
      <c r="B62" s="7">
        <f>LOG(7.58)</f>
        <v>0.87966920563205353</v>
      </c>
      <c r="C62" s="7">
        <f>-$B62+LOG(7.58+2*0.44)</f>
        <v>4.7701157406970007E-2</v>
      </c>
      <c r="D62" s="7">
        <f>-$B62+LOG(7.58-2*0.44)</f>
        <v>-5.3594402931227081E-2</v>
      </c>
      <c r="E62" s="7">
        <f>(C62-D62)/2</f>
        <v>5.0647780169098544E-2</v>
      </c>
      <c r="F62" s="7"/>
    </row>
    <row r="63" spans="1:6" x14ac:dyDescent="0.25">
      <c r="A63">
        <v>85</v>
      </c>
      <c r="B63" s="7">
        <f>LOG(9.72)</f>
        <v>0.98766626492627463</v>
      </c>
      <c r="C63" s="7">
        <f>-$B63+LOG(9.72+2*0.71)</f>
        <v>5.9218925911435516E-2</v>
      </c>
      <c r="D63" s="7">
        <f>-$B63+LOG(9.72-2*0.71)</f>
        <v>-6.8588172550200666E-2</v>
      </c>
      <c r="E63" s="7">
        <f>(C63-D63)/2</f>
        <v>6.3903549230818091E-2</v>
      </c>
      <c r="F63" s="7"/>
    </row>
    <row r="66" spans="1:12" x14ac:dyDescent="0.25">
      <c r="A66" s="18" t="s">
        <v>46</v>
      </c>
      <c r="C66" s="2" t="s">
        <v>32</v>
      </c>
    </row>
    <row r="68" spans="1:12" ht="15.6" x14ac:dyDescent="0.35">
      <c r="A68" s="4" t="s">
        <v>3</v>
      </c>
      <c r="B68" s="4" t="s">
        <v>10</v>
      </c>
      <c r="C68" s="6" t="s">
        <v>13</v>
      </c>
      <c r="D68" s="6" t="s">
        <v>14</v>
      </c>
    </row>
    <row r="69" spans="1:12" ht="13.8" x14ac:dyDescent="0.3">
      <c r="A69" s="4" t="s">
        <v>15</v>
      </c>
    </row>
    <row r="70" spans="1:12" x14ac:dyDescent="0.25">
      <c r="A70">
        <v>2</v>
      </c>
      <c r="B70" s="7">
        <f>LOG(2.7)</f>
        <v>0.43136376415898736</v>
      </c>
      <c r="C70" s="7">
        <f>-$B70+LOG(2.7+1.5)</f>
        <v>0.19188552623891308</v>
      </c>
      <c r="D70" s="7">
        <f>-$B70+LOG(2.7-1.5)</f>
        <v>-0.35218251811136247</v>
      </c>
      <c r="E70" s="7">
        <f>(C70-D70)/2</f>
        <v>0.27203402217513778</v>
      </c>
      <c r="F70" s="7"/>
    </row>
    <row r="71" spans="1:12" x14ac:dyDescent="0.25">
      <c r="A71">
        <v>25</v>
      </c>
      <c r="B71" s="7">
        <f>LOG(3.4)</f>
        <v>0.53147891704225514</v>
      </c>
      <c r="C71" s="7">
        <f>-$B71+LOG(3.4+0.9)</f>
        <v>0.10198953853733139</v>
      </c>
      <c r="D71" s="7">
        <f>-$B71+LOG(3.4-0.9)</f>
        <v>-0.13353890837021754</v>
      </c>
      <c r="E71" s="7">
        <f>(C71-D71)/2</f>
        <v>0.11776422345377446</v>
      </c>
      <c r="F71" s="7"/>
    </row>
    <row r="72" spans="1:12" x14ac:dyDescent="0.25">
      <c r="A72">
        <v>35</v>
      </c>
      <c r="B72" s="7">
        <f>LOG(5.5)</f>
        <v>0.74036268949424389</v>
      </c>
      <c r="C72" s="7">
        <f>-$B72+LOG(5.5+0.9)</f>
        <v>6.5817284489643302E-2</v>
      </c>
      <c r="D72" s="7">
        <f>-$B72+LOG(5.5-0.9)</f>
        <v>-7.7604857812669792E-2</v>
      </c>
      <c r="E72" s="7">
        <f>(C72-D72)/2</f>
        <v>7.1711071151156547E-2</v>
      </c>
      <c r="F72" s="7"/>
    </row>
    <row r="75" spans="1:12" x14ac:dyDescent="0.25">
      <c r="A75" s="18" t="s">
        <v>44</v>
      </c>
      <c r="C75" s="2" t="s">
        <v>33</v>
      </c>
    </row>
    <row r="77" spans="1:12" ht="15.6" x14ac:dyDescent="0.35">
      <c r="A77" s="4" t="s">
        <v>3</v>
      </c>
      <c r="B77" s="4" t="s">
        <v>10</v>
      </c>
      <c r="C77" s="6" t="s">
        <v>13</v>
      </c>
      <c r="D77" s="6" t="s">
        <v>14</v>
      </c>
      <c r="H77" t="s">
        <v>53</v>
      </c>
      <c r="K77" s="4" t="s">
        <v>10</v>
      </c>
    </row>
    <row r="78" spans="1:12" ht="13.8" x14ac:dyDescent="0.3">
      <c r="A78" s="4" t="s">
        <v>15</v>
      </c>
    </row>
    <row r="79" spans="1:12" x14ac:dyDescent="0.25">
      <c r="A79">
        <v>25</v>
      </c>
      <c r="B79" s="7">
        <f>LOG(3.85)</f>
        <v>0.5854607295085007</v>
      </c>
      <c r="C79" s="7">
        <f>-$B79+LOG(3.85+2*0.08)</f>
        <v>1.768364311168158E-2</v>
      </c>
      <c r="D79" s="7">
        <f>-$B79+LOG(3.85-2*0.08)</f>
        <v>-1.8434363349440375E-2</v>
      </c>
      <c r="E79" s="7">
        <f>(C79-D79)/2</f>
        <v>1.8059003230560977E-2</v>
      </c>
      <c r="H79" s="2" t="s">
        <v>34</v>
      </c>
      <c r="J79">
        <v>25</v>
      </c>
      <c r="K79" s="7">
        <f>LOG(4.3)</f>
        <v>0.63346845557958653</v>
      </c>
      <c r="L79" s="7">
        <f>-$B79+LOG(4.3+2*0.3)</f>
        <v>0.10473535052001293</v>
      </c>
    </row>
    <row r="80" spans="1:12" x14ac:dyDescent="0.25">
      <c r="B80" s="7"/>
      <c r="C80" s="7"/>
      <c r="D80" s="7"/>
      <c r="E80" s="7"/>
      <c r="H80" s="2" t="s">
        <v>32</v>
      </c>
      <c r="J80">
        <v>25</v>
      </c>
      <c r="K80" s="7">
        <f>LOG(3.4)</f>
        <v>0.53147891704225514</v>
      </c>
      <c r="L80" s="7">
        <f>-$B80+LOG(3.4+0.9)</f>
        <v>0.63346845557958653</v>
      </c>
    </row>
    <row r="81" spans="1:12" x14ac:dyDescent="0.25">
      <c r="H81" s="2" t="s">
        <v>33</v>
      </c>
      <c r="J81">
        <v>25</v>
      </c>
      <c r="K81" s="7">
        <f>LOG(3.85)</f>
        <v>0.5854607295085007</v>
      </c>
      <c r="L81" s="7">
        <f>-$B81+LOG(3.85+2*0.08)</f>
        <v>0.60314437262018228</v>
      </c>
    </row>
    <row r="82" spans="1:12" x14ac:dyDescent="0.25">
      <c r="A82" s="18" t="s">
        <v>42</v>
      </c>
      <c r="C82" s="2" t="s">
        <v>34</v>
      </c>
      <c r="H82" s="2" t="s">
        <v>31</v>
      </c>
      <c r="J82">
        <v>25</v>
      </c>
      <c r="K82" s="7">
        <f>LOG(4.81)</f>
        <v>0.6821450763738317</v>
      </c>
      <c r="L82" s="7">
        <f>-$B82+LOG(4.81+2*0.27)</f>
        <v>0.72835378202122847</v>
      </c>
    </row>
    <row r="84" spans="1:12" ht="15.6" x14ac:dyDescent="0.35">
      <c r="A84" s="4" t="s">
        <v>3</v>
      </c>
      <c r="B84" s="4" t="s">
        <v>10</v>
      </c>
      <c r="C84" s="6" t="s">
        <v>13</v>
      </c>
      <c r="D84" s="6" t="s">
        <v>14</v>
      </c>
      <c r="J84" t="s">
        <v>35</v>
      </c>
      <c r="K84" s="7">
        <f>AVERAGE(K79:K82)</f>
        <v>0.60813829462604341</v>
      </c>
    </row>
    <row r="85" spans="1:12" ht="13.8" x14ac:dyDescent="0.3">
      <c r="A85" s="4" t="s">
        <v>15</v>
      </c>
      <c r="J85" t="s">
        <v>36</v>
      </c>
      <c r="K85">
        <f>STDEV(K79:K82)</f>
        <v>6.4574383284682832E-2</v>
      </c>
    </row>
    <row r="86" spans="1:12" ht="13.8" x14ac:dyDescent="0.3">
      <c r="A86">
        <v>2</v>
      </c>
      <c r="B86" s="7">
        <f>LOG(2.6)</f>
        <v>0.41497334797081797</v>
      </c>
      <c r="C86" s="7">
        <f>-$B86+LOG(2.6+2*0.3)</f>
        <v>9.0176630349088072E-2</v>
      </c>
      <c r="D86" s="7">
        <f>-$B86+LOG(2.6-2*0.3)</f>
        <v>-0.11394335230683678</v>
      </c>
      <c r="E86" s="7">
        <f>(C86-D86)/2</f>
        <v>0.10205999132796242</v>
      </c>
      <c r="F86" s="7"/>
      <c r="J86" s="17" t="s">
        <v>37</v>
      </c>
      <c r="K86" s="1">
        <f>K85/SQRT(4)*3.18</f>
        <v>0.10267326942264571</v>
      </c>
    </row>
    <row r="87" spans="1:12" x14ac:dyDescent="0.25">
      <c r="A87">
        <v>25</v>
      </c>
      <c r="B87" s="7">
        <f>LOG(4.3)</f>
        <v>0.63346845557958653</v>
      </c>
      <c r="C87" s="7">
        <f>-$B87+LOG(4.3+2*0.3)</f>
        <v>5.6727624448927094E-2</v>
      </c>
      <c r="D87" s="7">
        <f>-$B87+LOG(4.3-2*0.3)</f>
        <v>-6.5266731512591547E-2</v>
      </c>
      <c r="E87" s="7">
        <f>(C87-D87)/2</f>
        <v>6.0997177980759321E-2</v>
      </c>
      <c r="F87" s="7"/>
    </row>
    <row r="88" spans="1:12" x14ac:dyDescent="0.25">
      <c r="A88">
        <v>39</v>
      </c>
      <c r="B88" s="7">
        <f>LOG(6.1)</f>
        <v>0.78532983501076703</v>
      </c>
      <c r="C88" s="7">
        <f>-$B88+LOG(6.1+2*0.3)</f>
        <v>4.0744967690059308E-2</v>
      </c>
      <c r="D88" s="7">
        <f>-$B88+LOG(6.1-2*0.3)</f>
        <v>-4.4967145516523144E-2</v>
      </c>
      <c r="E88" s="7">
        <f>(C88-D88)/2</f>
        <v>4.2856056603291226E-2</v>
      </c>
      <c r="F88" s="7"/>
    </row>
    <row r="91" spans="1:12" x14ac:dyDescent="0.25">
      <c r="A91" s="18" t="s">
        <v>48</v>
      </c>
      <c r="C91" s="2" t="s">
        <v>38</v>
      </c>
    </row>
    <row r="93" spans="1:12" ht="15.6" x14ac:dyDescent="0.35">
      <c r="A93" s="4" t="s">
        <v>3</v>
      </c>
      <c r="B93" s="4" t="s">
        <v>10</v>
      </c>
      <c r="C93" s="6" t="s">
        <v>13</v>
      </c>
      <c r="D93" s="6" t="s">
        <v>14</v>
      </c>
    </row>
    <row r="94" spans="1:12" ht="13.8" x14ac:dyDescent="0.3">
      <c r="A94" s="4" t="s">
        <v>15</v>
      </c>
    </row>
    <row r="95" spans="1:12" x14ac:dyDescent="0.25">
      <c r="A95">
        <v>200</v>
      </c>
      <c r="B95" s="7">
        <f>LOG(27.6)</f>
        <v>1.4409090820652177</v>
      </c>
      <c r="C95" s="7">
        <f>-$B95+LOG(27.6+2*3.7)</f>
        <v>0.10315896228505794</v>
      </c>
      <c r="D95" s="7">
        <f>-$B95+LOG(27.6-2*3.7)</f>
        <v>-0.13555771261859384</v>
      </c>
      <c r="E95" s="7">
        <f>(C95-D95)/2</f>
        <v>0.11935833745182589</v>
      </c>
    </row>
    <row r="96" spans="1:12" x14ac:dyDescent="0.25">
      <c r="A96">
        <v>260</v>
      </c>
      <c r="B96" s="7">
        <f>LOG(43.8)</f>
        <v>1.6414741105040995</v>
      </c>
      <c r="C96" s="7">
        <f>-$B96+LOG(43.8+2*6.9)</f>
        <v>0.11894837291911253</v>
      </c>
      <c r="D96" s="7">
        <f>-$B96+LOG(43.8-2*6.9)</f>
        <v>-0.16435285578443715</v>
      </c>
      <c r="E96" s="7">
        <f>(C96-D96)/2</f>
        <v>0.14165061435177484</v>
      </c>
    </row>
  </sheetData>
  <hyperlinks>
    <hyperlink ref="B9" r:id="rId1" xr:uid="{260A196C-C67D-4807-87DC-3D86D4697875}"/>
    <hyperlink ref="B10" r:id="rId2" xr:uid="{8753E746-C2F9-4DE6-807F-BE1F80E050F7}"/>
    <hyperlink ref="B11" r:id="rId3" xr:uid="{D56598A0-7AC5-4A21-B182-D10D586345E9}"/>
    <hyperlink ref="B12" r:id="rId4" xr:uid="{D070B3E3-45C6-4CAD-AA12-3D6F62268671}"/>
    <hyperlink ref="B13" r:id="rId5" xr:uid="{D1DABB8C-E06D-4D8E-BF24-FCE21A1A1A00}"/>
  </hyperlinks>
  <pageMargins left="0.75" right="0.75" top="1" bottom="1" header="0.5" footer="0.5"/>
  <pageSetup paperSize="9" orientation="portrait" horizontalDpi="300" r:id="rId6"/>
  <headerFooter alignWithMargins="0">
    <oddHeader>&amp;A</oddHeader>
    <oddFooter>Page &amp;P</oddFoot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CaF</vt:lpstr>
    </vt:vector>
  </TitlesOfParts>
  <Company>Paul Scherrer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Hummel</dc:creator>
  <cp:lastModifiedBy>Josep Bonet</cp:lastModifiedBy>
  <cp:lastPrinted>2001-11-28T13:26:59Z</cp:lastPrinted>
  <dcterms:created xsi:type="dcterms:W3CDTF">2001-11-28T13:43:01Z</dcterms:created>
  <dcterms:modified xsi:type="dcterms:W3CDTF">2023-11-30T14:28:23Z</dcterms:modified>
</cp:coreProperties>
</file>