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13_ncr:1_{59BDCF13-6D92-43D3-897F-547A5389C4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F2(s)" sheetId="1" r:id="rId1"/>
  </sheets>
  <definedNames>
    <definedName name="_Regression_Out" hidden="1">'CaF2(s)'!#REF!</definedName>
    <definedName name="_Regression_X" hidden="1">'CaF2(s)'!#REF!</definedName>
    <definedName name="_Regression_Y" hidden="1">'CaF2(s)'!#REF!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0" i="1" l="1"/>
  <c r="J61" i="1"/>
  <c r="H69" i="1" s="1"/>
  <c r="I69" i="1" s="1"/>
  <c r="J69" i="1" s="1"/>
  <c r="I70" i="1"/>
  <c r="J70" i="1" s="1"/>
  <c r="H71" i="1"/>
  <c r="I71" i="1" s="1"/>
  <c r="J71" i="1" s="1"/>
  <c r="H72" i="1"/>
  <c r="I72" i="1"/>
  <c r="J72" i="1" s="1"/>
  <c r="H74" i="1"/>
  <c r="I74" i="1" s="1"/>
  <c r="J74" i="1" s="1"/>
  <c r="H75" i="1"/>
  <c r="I75" i="1" s="1"/>
  <c r="J75" i="1" s="1"/>
  <c r="H76" i="1"/>
  <c r="I76" i="1"/>
  <c r="J76" i="1" s="1"/>
  <c r="H78" i="1"/>
  <c r="I78" i="1" s="1"/>
  <c r="J78" i="1" s="1"/>
  <c r="H79" i="1"/>
  <c r="I79" i="1" s="1"/>
  <c r="J79" i="1" s="1"/>
  <c r="H80" i="1"/>
  <c r="I80" i="1"/>
  <c r="J80" i="1" s="1"/>
  <c r="H81" i="1"/>
  <c r="I81" i="1"/>
  <c r="J81" i="1"/>
  <c r="H82" i="1"/>
  <c r="I82" i="1" s="1"/>
  <c r="J82" i="1" s="1"/>
  <c r="H83" i="1"/>
  <c r="I83" i="1" s="1"/>
  <c r="J83" i="1" s="1"/>
  <c r="H84" i="1"/>
  <c r="I84" i="1"/>
  <c r="J84" i="1" s="1"/>
  <c r="H77" i="1" l="1"/>
  <c r="I77" i="1" s="1"/>
  <c r="J77" i="1" s="1"/>
  <c r="H73" i="1"/>
  <c r="I73" i="1" s="1"/>
  <c r="J73" i="1" s="1"/>
  <c r="B21" i="1" l="1"/>
  <c r="B24" i="1" s="1"/>
  <c r="B30" i="1"/>
  <c r="C30" i="1" s="1"/>
  <c r="E30" i="1"/>
  <c r="Q30" i="1"/>
  <c r="X30" i="1" s="1"/>
  <c r="Z30" i="1" s="1"/>
  <c r="B31" i="1"/>
  <c r="C31" i="1" s="1"/>
  <c r="G31" i="1"/>
  <c r="Q31" i="1"/>
  <c r="X31" i="1" s="1"/>
  <c r="Z31" i="1" s="1"/>
  <c r="B32" i="1"/>
  <c r="C32" i="1" s="1"/>
  <c r="G32" i="1"/>
  <c r="Q32" i="1"/>
  <c r="B33" i="1"/>
  <c r="C33" i="1" s="1"/>
  <c r="I33" i="1"/>
  <c r="Q33" i="1"/>
  <c r="B34" i="1"/>
  <c r="C34" i="1" s="1"/>
  <c r="I34" i="1"/>
  <c r="Q34" i="1"/>
  <c r="B35" i="1"/>
  <c r="C35" i="1"/>
  <c r="I35" i="1"/>
  <c r="Q35" i="1"/>
  <c r="X35" i="1" s="1"/>
  <c r="Z35" i="1" s="1"/>
  <c r="A36" i="1"/>
  <c r="B36" i="1" s="1"/>
  <c r="Q36" i="1"/>
  <c r="A37" i="1"/>
  <c r="B37" i="1" s="1"/>
  <c r="Q37" i="1"/>
  <c r="X37" i="1" s="1"/>
  <c r="Z37" i="1" s="1"/>
  <c r="A38" i="1"/>
  <c r="B38" i="1" s="1"/>
  <c r="Q38" i="1"/>
  <c r="X38" i="1" s="1"/>
  <c r="Z38" i="1" s="1"/>
  <c r="A39" i="1"/>
  <c r="B39" i="1" s="1"/>
  <c r="C39" i="1" s="1"/>
  <c r="Q39" i="1"/>
  <c r="X39" i="1" s="1"/>
  <c r="Z39" i="1" s="1"/>
  <c r="A40" i="1"/>
  <c r="B40" i="1" s="1"/>
  <c r="Q40" i="1"/>
  <c r="A41" i="1"/>
  <c r="B41" i="1" s="1"/>
  <c r="Q41" i="1"/>
  <c r="A42" i="1"/>
  <c r="B42" i="1" s="1"/>
  <c r="Q42" i="1"/>
  <c r="X42" i="1" s="1"/>
  <c r="Z42" i="1" s="1"/>
  <c r="A43" i="1"/>
  <c r="B43" i="1" s="1"/>
  <c r="Q43" i="1"/>
  <c r="X43" i="1" s="1"/>
  <c r="Z43" i="1" s="1"/>
  <c r="Q44" i="1"/>
  <c r="Q45" i="1"/>
  <c r="X45" i="1" s="1"/>
  <c r="Z45" i="1" s="1"/>
  <c r="Q46" i="1"/>
  <c r="X46" i="1" s="1"/>
  <c r="Z46" i="1" s="1"/>
  <c r="Q47" i="1"/>
  <c r="X47" i="1" s="1"/>
  <c r="Z47" i="1" s="1"/>
  <c r="B60" i="1"/>
  <c r="D60" i="1" s="1"/>
  <c r="B61" i="1"/>
  <c r="C61" i="1" s="1"/>
  <c r="B62" i="1"/>
  <c r="C62" i="1" s="1"/>
  <c r="B69" i="1"/>
  <c r="D69" i="1" s="1"/>
  <c r="C69" i="1"/>
  <c r="B70" i="1"/>
  <c r="D70" i="1" s="1"/>
  <c r="C70" i="1"/>
  <c r="B71" i="1"/>
  <c r="C71" i="1" s="1"/>
  <c r="D36" i="1"/>
  <c r="K36" i="1" s="1"/>
  <c r="D37" i="1"/>
  <c r="K37" i="1" s="1"/>
  <c r="B78" i="1"/>
  <c r="C78" i="1" s="1"/>
  <c r="D39" i="1"/>
  <c r="K39" i="1" s="1"/>
  <c r="D40" i="1"/>
  <c r="K40" i="1" s="1"/>
  <c r="D42" i="1"/>
  <c r="K42" i="1" s="1"/>
  <c r="D43" i="1"/>
  <c r="K43" i="1" s="1"/>
  <c r="B85" i="1"/>
  <c r="D78" i="1" l="1"/>
  <c r="C60" i="1"/>
  <c r="M43" i="1"/>
  <c r="M35" i="1"/>
  <c r="M32" i="1"/>
  <c r="B23" i="1"/>
  <c r="R34" i="1" s="1"/>
  <c r="N32" i="1"/>
  <c r="M30" i="1"/>
  <c r="R47" i="1"/>
  <c r="M34" i="1"/>
  <c r="M33" i="1"/>
  <c r="C38" i="1"/>
  <c r="M38" i="1"/>
  <c r="N38" i="1"/>
  <c r="M37" i="1"/>
  <c r="C37" i="1"/>
  <c r="N42" i="1"/>
  <c r="C42" i="1"/>
  <c r="S40" i="1"/>
  <c r="X40" i="1"/>
  <c r="Z40" i="1" s="1"/>
  <c r="R41" i="1"/>
  <c r="X41" i="1"/>
  <c r="Z41" i="1" s="1"/>
  <c r="D41" i="1"/>
  <c r="K41" i="1" s="1"/>
  <c r="D38" i="1"/>
  <c r="K38" i="1" s="1"/>
  <c r="D62" i="1"/>
  <c r="D61" i="1"/>
  <c r="R44" i="1"/>
  <c r="X44" i="1"/>
  <c r="Z44" i="1" s="1"/>
  <c r="S39" i="1"/>
  <c r="S36" i="1"/>
  <c r="X36" i="1"/>
  <c r="Z36" i="1" s="1"/>
  <c r="N35" i="1"/>
  <c r="D71" i="1"/>
  <c r="S47" i="1"/>
  <c r="S45" i="1"/>
  <c r="S43" i="1"/>
  <c r="R40" i="1"/>
  <c r="R39" i="1"/>
  <c r="S34" i="1"/>
  <c r="X34" i="1"/>
  <c r="Z34" i="1" s="1"/>
  <c r="R33" i="1"/>
  <c r="X33" i="1"/>
  <c r="Z33" i="1" s="1"/>
  <c r="R32" i="1"/>
  <c r="X32" i="1"/>
  <c r="Z32" i="1" s="1"/>
  <c r="M31" i="1"/>
  <c r="C36" i="1"/>
  <c r="M36" i="1"/>
  <c r="N36" i="1"/>
  <c r="M40" i="1"/>
  <c r="N40" i="1"/>
  <c r="C40" i="1"/>
  <c r="C41" i="1"/>
  <c r="M41" i="1"/>
  <c r="N41" i="1"/>
  <c r="S46" i="1"/>
  <c r="R42" i="1"/>
  <c r="S37" i="1"/>
  <c r="N34" i="1"/>
  <c r="S33" i="1"/>
  <c r="R46" i="1"/>
  <c r="C43" i="1"/>
  <c r="N39" i="1"/>
  <c r="R37" i="1"/>
  <c r="N31" i="1"/>
  <c r="S30" i="1"/>
  <c r="R43" i="1"/>
  <c r="M42" i="1"/>
  <c r="S38" i="1"/>
  <c r="N37" i="1"/>
  <c r="R35" i="1"/>
  <c r="N33" i="1"/>
  <c r="S32" i="1"/>
  <c r="R30" i="1"/>
  <c r="S44" i="1"/>
  <c r="S41" i="1"/>
  <c r="R38" i="1"/>
  <c r="N30" i="1"/>
  <c r="M39" i="1"/>
  <c r="N43" i="1" l="1"/>
  <c r="S35" i="1"/>
  <c r="R31" i="1"/>
  <c r="S31" i="1"/>
  <c r="S42" i="1"/>
  <c r="R45" i="1"/>
  <c r="R36" i="1"/>
  <c r="B47" i="1" a="1"/>
  <c r="D49" i="1" s="1"/>
  <c r="C48" i="1" l="1"/>
  <c r="C53" i="1" s="1"/>
  <c r="C50" i="1"/>
  <c r="D51" i="1"/>
  <c r="C51" i="1"/>
  <c r="D47" i="1"/>
  <c r="B50" i="1"/>
  <c r="B49" i="1"/>
  <c r="D48" i="1"/>
  <c r="D53" i="1" s="1"/>
  <c r="B48" i="1"/>
  <c r="B53" i="1" s="1"/>
  <c r="B47" i="1"/>
  <c r="V37" i="1" s="1"/>
  <c r="D50" i="1"/>
  <c r="B51" i="1"/>
  <c r="C47" i="1"/>
  <c r="C49" i="1"/>
  <c r="T31" i="1"/>
  <c r="V33" i="1"/>
  <c r="T47" i="1"/>
  <c r="U41" i="1"/>
  <c r="U46" i="1"/>
  <c r="U39" i="1"/>
  <c r="V42" i="1"/>
  <c r="V47" i="1"/>
  <c r="T38" i="1"/>
  <c r="V40" i="1"/>
  <c r="V31" i="1"/>
  <c r="T41" i="1"/>
  <c r="T44" i="1"/>
  <c r="V45" i="1"/>
  <c r="V41" i="1"/>
  <c r="V44" i="1"/>
  <c r="V32" i="1"/>
  <c r="T40" i="1"/>
  <c r="T33" i="1"/>
  <c r="V35" i="1"/>
  <c r="V30" i="1"/>
  <c r="U37" i="1"/>
  <c r="T37" i="1" l="1"/>
  <c r="V38" i="1"/>
  <c r="U38" i="1"/>
  <c r="U34" i="1"/>
  <c r="V34" i="1"/>
  <c r="T36" i="1"/>
  <c r="T45" i="1"/>
  <c r="U33" i="1"/>
  <c r="U42" i="1"/>
  <c r="T46" i="1"/>
  <c r="U43" i="1"/>
  <c r="T30" i="1"/>
  <c r="T35" i="1"/>
  <c r="U36" i="1"/>
  <c r="U44" i="1"/>
  <c r="U47" i="1"/>
  <c r="U31" i="1"/>
  <c r="T32" i="1"/>
  <c r="T39" i="1"/>
  <c r="V43" i="1"/>
  <c r="U30" i="1"/>
  <c r="U35" i="1"/>
  <c r="T43" i="1"/>
  <c r="U32" i="1"/>
  <c r="V39" i="1"/>
  <c r="T42" i="1"/>
  <c r="V36" i="1"/>
  <c r="U45" i="1"/>
  <c r="T34" i="1"/>
  <c r="U40" i="1"/>
  <c r="V46" i="1"/>
</calcChain>
</file>

<file path=xl/sharedStrings.xml><?xml version="1.0" encoding="utf-8"?>
<sst xmlns="http://schemas.openxmlformats.org/spreadsheetml/2006/main" count="116" uniqueCount="71">
  <si>
    <t>Fluorite solubility</t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</si>
  <si>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</si>
  <si>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</si>
  <si>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T</t>
  </si>
  <si>
    <t>K</t>
  </si>
  <si>
    <t>ln(10)</t>
  </si>
  <si>
    <t>R ln(10)</t>
  </si>
  <si>
    <t>R T ln(10)</t>
  </si>
  <si>
    <t>calc</t>
  </si>
  <si>
    <t>1 / T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</si>
  <si>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</t>
    </r>
  </si>
  <si>
    <t>X1</t>
  </si>
  <si>
    <t>X2</t>
  </si>
  <si>
    <t>+</t>
  </si>
  <si>
    <t>-</t>
  </si>
  <si>
    <r>
      <t>[</t>
    </r>
    <r>
      <rPr>
        <sz val="10"/>
        <rFont val="Calibri"/>
        <family val="2"/>
      </rPr>
      <t>°</t>
    </r>
    <r>
      <rPr>
        <sz val="10"/>
        <rFont val="Arial"/>
        <family val="2"/>
      </rPr>
      <t>C]</t>
    </r>
  </si>
  <si>
    <t>[K]</t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</si>
  <si>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C</t>
    </r>
    <r>
      <rPr>
        <b/>
        <i/>
        <vertAlign val="subscript"/>
        <sz val="10"/>
        <rFont val="Arial"/>
        <family val="2"/>
      </rPr>
      <t>p</t>
    </r>
    <r>
      <rPr>
        <b/>
        <vertAlign val="subscript"/>
        <sz val="10"/>
        <rFont val="Arial"/>
        <family val="2"/>
      </rPr>
      <t>m</t>
    </r>
    <r>
      <rPr>
        <b/>
        <vertAlign val="superscript"/>
        <sz val="10"/>
        <rFont val="Arial"/>
        <family val="2"/>
      </rPr>
      <t>o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</si>
  <si>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  <r>
      <rPr>
        <b/>
        <vertAlign val="superscript"/>
        <sz val="10"/>
        <rFont val="Arial"/>
        <family val="2"/>
      </rPr>
      <t>o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</si>
  <si>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i/>
        <sz val="10"/>
        <rFont val="Arial"/>
        <family val="2"/>
      </rPr>
      <t>K</t>
    </r>
    <r>
      <rPr>
        <b/>
        <vertAlign val="superscript"/>
        <sz val="10"/>
        <rFont val="Arial"/>
        <family val="2"/>
      </rPr>
      <t>o</t>
    </r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</si>
  <si>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</si>
  <si>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kJ/mol</t>
  </si>
  <si>
    <r>
      <t>m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, m</t>
    </r>
    <r>
      <rPr>
        <vertAlign val="subscript"/>
        <sz val="10"/>
        <color indexed="8"/>
        <rFont val="Arial"/>
        <family val="2"/>
      </rPr>
      <t>1</t>
    </r>
  </si>
  <si>
    <t>b</t>
  </si>
  <si>
    <t>r2</t>
  </si>
  <si>
    <t>standard error for the y estimate</t>
  </si>
  <si>
    <t>F</t>
  </si>
  <si>
    <t>degrees of freedom (df)</t>
  </si>
  <si>
    <t>residual sum of squares</t>
  </si>
  <si>
    <t>±</t>
  </si>
  <si>
    <t>Richardson &amp; Holland (1979)</t>
  </si>
  <si>
    <t>molecular weigth mw:</t>
  </si>
  <si>
    <t>g / mol</t>
  </si>
  <si>
    <t>solubility s</t>
  </si>
  <si>
    <t>s</t>
  </si>
  <si>
    <t>s / 1000</t>
  </si>
  <si>
    <t>molar solubility  ms</t>
  </si>
  <si>
    <t>s/1000/mw</t>
  </si>
  <si>
    <t>Strübel (1965)</t>
  </si>
  <si>
    <t>Ks = ms * (2ms)^2</t>
  </si>
  <si>
    <t>ms</t>
  </si>
  <si>
    <t>Ks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</si>
  <si>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Ks</t>
    </r>
  </si>
  <si>
    <t>Garand &amp; Mucci (2004)</t>
  </si>
  <si>
    <t>Zhang et al. (2017)</t>
  </si>
  <si>
    <t>calculated</t>
  </si>
  <si>
    <t>Hummel W. &amp; Thoenen T. (2023): The PSI Chemical Thermodynamic Database 2020 (TDB 2020), Nagra Technical Report NTB 21-03</t>
  </si>
  <si>
    <t>Least squares regression analysis of experimental data using the three-term temperature equation as described in NTB 21-03 Chapter 1.6.2 Constant heat capacity of reaction</t>
  </si>
  <si>
    <t>References</t>
  </si>
  <si>
    <t>1990NOR/PLU</t>
  </si>
  <si>
    <t>Nordstrom, D.K., Plummer, L.N., Langmuir, D., Busenberg, E., May, H.M., Jones, B.F. &amp; Parkhurst, D.L. (1990): Revised Chemical Equilibrium Data for Major Water-Mineral Reactions and Their Limitations. In: Melchior, D.C., and Bassett, R.L. (eds.): Chemical Modeling of Aqueous Systems II. Washington, D.C., American Chemical Society, ACS Symposium Series 416, p. 398–413.</t>
  </si>
  <si>
    <t>Chapter 4.2.4.2 Calcium(II) fluoride compounds</t>
  </si>
  <si>
    <t>1979RIC/HOL</t>
  </si>
  <si>
    <t>Richardson, C.K. &amp; Holland, H.D. (1979): The solubility of fluorite in hydrothermal solutions, an experimental study. Geochim. Cosmochim. Acta, 43, 1313–1325.</t>
  </si>
  <si>
    <t>1965STR</t>
  </si>
  <si>
    <t xml:space="preserve">Garand, A. &amp; Mucci, A. (2004): The solubility of fluorite as a function of ionic strength and solution composition at 25°C and 1 atm total pressure. Marine Geochemistry, 91, 27–35. </t>
  </si>
  <si>
    <t>2004GAR/MUC</t>
  </si>
  <si>
    <r>
      <t>Zhang, W., Zhou, L., Tang, H., Li, H., Song, W. &amp; Xie, G. (2017): The solubility of fluorite in Na-K-Cl solutions at temperatures up to 260 °C and ionic strengths up to 4 mol/kg 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O. Applied Geochemistry, 82, 79–88.</t>
    </r>
  </si>
  <si>
    <t>2017ZHA/ZHO</t>
  </si>
  <si>
    <t>1977NOR/JEN</t>
  </si>
  <si>
    <t>Nordstrom, D.K. &amp; Jenne, A.E. (1977): Fluorite solubility equilibria in selected geothermal waters. Geochim. Cosmochim. Acta, 41, 175–188.</t>
  </si>
  <si>
    <r>
      <t>CaF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(s)</t>
    </r>
  </si>
  <si>
    <r>
      <t>mg / kg 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</t>
    </r>
  </si>
  <si>
    <r>
      <t>g / kg (H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O)</t>
    </r>
  </si>
  <si>
    <r>
      <t>mol / kg (H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O)</t>
    </r>
  </si>
  <si>
    <t>doi:10.1016/0016-7037(77)90224-1</t>
  </si>
  <si>
    <t>doi:10.1016/0016-7037(79)90121-2</t>
  </si>
  <si>
    <t>doi:10.1021/bk-1990-0416.ch031</t>
  </si>
  <si>
    <t>doi:10.1016/j.marchem.2004.04.002</t>
  </si>
  <si>
    <t>doi:10.1016/j.apgeochem.2017.04.017</t>
  </si>
  <si>
    <r>
      <t>Strübel, G. (1965): Quantitative Untersuchungen über die hydrothermale Löslichkeit von Flußspat (CaF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). Neues Jahrbuch für Mineralogie Monatshefte, 3, 83–95.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</si>
</sst>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0"/>
      <name val="Arial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Symbol"/>
      <family val="1"/>
      <charset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4" fillId="0" borderId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5" fillId="0" borderId="0" xfId="1" applyFont="1" applyAlignment="1">
      <alignment horizontal="right"/>
    </xf>
    <xf numFmtId="0" fontId="0" fillId="0" borderId="0" xfId="0" applyAlignment="1">
      <alignment horizontal="right"/>
    </xf>
    <xf numFmtId="0" fontId="6" fillId="0" borderId="0" xfId="2" applyFont="1" applyAlignment="1">
      <alignment horizontal="right"/>
    </xf>
    <xf numFmtId="0" fontId="3" fillId="0" borderId="0" xfId="1"/>
    <xf numFmtId="0" fontId="9" fillId="0" borderId="0" xfId="2" applyFont="1" applyAlignment="1">
      <alignment horizontal="right"/>
    </xf>
    <xf numFmtId="0" fontId="8" fillId="0" borderId="0" xfId="2" applyFont="1" applyAlignment="1">
      <alignment horizontal="right"/>
    </xf>
    <xf numFmtId="0" fontId="6" fillId="0" borderId="0" xfId="2" applyFont="1"/>
    <xf numFmtId="2" fontId="3" fillId="0" borderId="0" xfId="0" quotePrefix="1" applyNumberFormat="1" applyFont="1"/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7" fillId="0" borderId="0" xfId="3"/>
  </cellXfs>
  <cellStyles count="4">
    <cellStyle name="Enllaç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0739599383667"/>
          <c:y val="3.7362637362637362E-2"/>
          <c:w val="0.83975346687211094"/>
          <c:h val="0.82637362637362632"/>
        </c:manualLayout>
      </c:layout>
      <c:scatterChart>
        <c:scatterStyle val="smoothMarker"/>
        <c:varyColors val="0"/>
        <c:ser>
          <c:idx val="1"/>
          <c:order val="0"/>
          <c:tx>
            <c:v>Zhang et al. (2017)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'CaF2(s)'!$H$30:$H$32</c:f>
                <c:numCache>
                  <c:formatCode>General</c:formatCode>
                  <c:ptCount val="3"/>
                  <c:pt idx="1">
                    <c:v>0.1</c:v>
                  </c:pt>
                  <c:pt idx="2">
                    <c:v>0.1</c:v>
                  </c:pt>
                </c:numCache>
              </c:numRef>
            </c:plus>
            <c:minus>
              <c:numRef>
                <c:f>'CaF2(s)'!$H$30:$H$32</c:f>
                <c:numCache>
                  <c:formatCode>General</c:formatCode>
                  <c:ptCount val="3"/>
                  <c:pt idx="1">
                    <c:v>0.1</c:v>
                  </c:pt>
                  <c:pt idx="2">
                    <c:v>0.1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'CaF2(s)'!$A$30:$A$35</c:f>
              <c:numCache>
                <c:formatCode>General</c:formatCode>
                <c:ptCount val="6"/>
                <c:pt idx="0">
                  <c:v>25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260</c:v>
                </c:pt>
              </c:numCache>
            </c:numRef>
          </c:xVal>
          <c:yVal>
            <c:numRef>
              <c:f>'CaF2(s)'!$G$30:$G$35</c:f>
              <c:numCache>
                <c:formatCode>0.00</c:formatCode>
                <c:ptCount val="6"/>
                <c:pt idx="1">
                  <c:v>-10.41</c:v>
                </c:pt>
                <c:pt idx="2">
                  <c:v>-10.3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E6-4C59-B07F-B51B68068039}"/>
            </c:ext>
          </c:extLst>
        </c:ser>
        <c:ser>
          <c:idx val="0"/>
          <c:order val="1"/>
          <c:tx>
            <c:v>Garand &amp; Mucci (2004)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'CaF2(s)'!$F$30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'CaF2(s)'!$F$30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'CaF2(s)'!$A$30:$A$35</c:f>
              <c:numCache>
                <c:formatCode>General</c:formatCode>
                <c:ptCount val="6"/>
                <c:pt idx="0">
                  <c:v>25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260</c:v>
                </c:pt>
              </c:numCache>
            </c:numRef>
          </c:xVal>
          <c:yVal>
            <c:numRef>
              <c:f>'CaF2(s)'!$E$30:$E$35</c:f>
              <c:numCache>
                <c:formatCode>General</c:formatCode>
                <c:ptCount val="6"/>
                <c:pt idx="0" formatCode="0.00">
                  <c:v>-10.51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E6-4C59-B07F-B51B68068039}"/>
            </c:ext>
          </c:extLst>
        </c:ser>
        <c:ser>
          <c:idx val="6"/>
          <c:order val="2"/>
          <c:tx>
            <c:v>Strübel (1965)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'CaF2(s)'!$L$36:$L$43</c:f>
                <c:numCache>
                  <c:formatCode>General</c:formatCode>
                  <c:ptCount val="8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0.15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</c:numCache>
              </c:numRef>
            </c:plus>
            <c:minus>
              <c:numRef>
                <c:f>'CaF2(s)'!$L$36:$L$43</c:f>
                <c:numCache>
                  <c:formatCode>General</c:formatCode>
                  <c:ptCount val="8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0.15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'CaF2(s)'!$A$36:$A$43</c:f>
              <c:numCache>
                <c:formatCode>0.00</c:formatCode>
                <c:ptCount val="8"/>
                <c:pt idx="0">
                  <c:v>76.5</c:v>
                </c:pt>
                <c:pt idx="1">
                  <c:v>86.5</c:v>
                </c:pt>
                <c:pt idx="2">
                  <c:v>98.5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</c:numCache>
            </c:numRef>
          </c:xVal>
          <c:yVal>
            <c:numRef>
              <c:f>'CaF2(s)'!$K$36:$K$43</c:f>
              <c:numCache>
                <c:formatCode>0.000</c:formatCode>
                <c:ptCount val="8"/>
                <c:pt idx="0">
                  <c:v>-10.407356711371653</c:v>
                </c:pt>
                <c:pt idx="1">
                  <c:v>-10.398028150428724</c:v>
                </c:pt>
                <c:pt idx="2">
                  <c:v>-10.401130255336358</c:v>
                </c:pt>
                <c:pt idx="3">
                  <c:v>-10.529975360980087</c:v>
                </c:pt>
                <c:pt idx="4">
                  <c:v>-10.713784331196853</c:v>
                </c:pt>
                <c:pt idx="5">
                  <c:v>-10.916270794364145</c:v>
                </c:pt>
                <c:pt idx="6">
                  <c:v>-11.390897154578646</c:v>
                </c:pt>
                <c:pt idx="7">
                  <c:v>-11.636766054885838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E6-4C59-B07F-B51B68068039}"/>
            </c:ext>
          </c:extLst>
        </c:ser>
        <c:ser>
          <c:idx val="2"/>
          <c:order val="3"/>
          <c:tx>
            <c:v>Richardson &amp; Holland (1979)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'CaF2(s)'!$J$30:$J$35</c:f>
                <c:numCache>
                  <c:formatCode>General</c:formatCode>
                  <c:ptCount val="6"/>
                  <c:pt idx="3">
                    <c:v>0.1</c:v>
                  </c:pt>
                  <c:pt idx="4">
                    <c:v>0.15</c:v>
                  </c:pt>
                  <c:pt idx="5">
                    <c:v>0.2</c:v>
                  </c:pt>
                </c:numCache>
              </c:numRef>
            </c:plus>
            <c:minus>
              <c:numRef>
                <c:f>'CaF2(s)'!$J$30:$J$35</c:f>
                <c:numCache>
                  <c:formatCode>General</c:formatCode>
                  <c:ptCount val="6"/>
                  <c:pt idx="3">
                    <c:v>0.1</c:v>
                  </c:pt>
                  <c:pt idx="4">
                    <c:v>0.15</c:v>
                  </c:pt>
                  <c:pt idx="5">
                    <c:v>0.2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'CaF2(s)'!$A$30:$A$35</c:f>
              <c:numCache>
                <c:formatCode>General</c:formatCode>
                <c:ptCount val="6"/>
                <c:pt idx="0">
                  <c:v>25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260</c:v>
                </c:pt>
              </c:numCache>
            </c:numRef>
          </c:xVal>
          <c:yVal>
            <c:numRef>
              <c:f>'CaF2(s)'!$I$30:$I$35</c:f>
              <c:numCache>
                <c:formatCode>General</c:formatCode>
                <c:ptCount val="6"/>
                <c:pt idx="3" formatCode="0.00">
                  <c:v>-10.41</c:v>
                </c:pt>
                <c:pt idx="4" formatCode="0.00">
                  <c:v>-10.8</c:v>
                </c:pt>
                <c:pt idx="5" formatCode="0.00">
                  <c:v>-11.22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E6-4C59-B07F-B51B68068039}"/>
            </c:ext>
          </c:extLst>
        </c:ser>
        <c:ser>
          <c:idx val="3"/>
          <c:order val="4"/>
          <c:spPr>
            <a:ln w="285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'CaF2(s)'!$P$30:$P$47</c:f>
              <c:numCache>
                <c:formatCode>General</c:formatCode>
                <c:ptCount val="1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  <c:pt idx="10">
                  <c:v>175</c:v>
                </c:pt>
                <c:pt idx="11">
                  <c:v>200</c:v>
                </c:pt>
                <c:pt idx="12">
                  <c:v>225</c:v>
                </c:pt>
                <c:pt idx="13">
                  <c:v>250</c:v>
                </c:pt>
                <c:pt idx="14">
                  <c:v>275</c:v>
                </c:pt>
                <c:pt idx="15">
                  <c:v>300</c:v>
                </c:pt>
                <c:pt idx="16">
                  <c:v>325</c:v>
                </c:pt>
                <c:pt idx="17">
                  <c:v>354</c:v>
                </c:pt>
              </c:numCache>
            </c:numRef>
          </c:xVal>
          <c:yVal>
            <c:numRef>
              <c:f>'CaF2(s)'!$T$30:$T$47</c:f>
              <c:numCache>
                <c:formatCode>0.000</c:formatCode>
                <c:ptCount val="18"/>
                <c:pt idx="0">
                  <c:v>-10.484988037326254</c:v>
                </c:pt>
                <c:pt idx="1">
                  <c:v>-10.46039846450827</c:v>
                </c:pt>
                <c:pt idx="2">
                  <c:v>-10.439074048826846</c:v>
                </c:pt>
                <c:pt idx="3">
                  <c:v>-10.405439606090562</c:v>
                </c:pt>
                <c:pt idx="4">
                  <c:v>-10.382655372308561</c:v>
                </c:pt>
                <c:pt idx="5">
                  <c:v>-10.369481004694512</c:v>
                </c:pt>
                <c:pt idx="6">
                  <c:v>-10.367776225600133</c:v>
                </c:pt>
                <c:pt idx="7">
                  <c:v>-10.393198070805887</c:v>
                </c:pt>
                <c:pt idx="8">
                  <c:v>-10.454844042091853</c:v>
                </c:pt>
                <c:pt idx="9">
                  <c:v>-10.542139126613295</c:v>
                </c:pt>
                <c:pt idx="10">
                  <c:v>-10.648951435452526</c:v>
                </c:pt>
                <c:pt idx="11">
                  <c:v>-10.770639750138852</c:v>
                </c:pt>
                <c:pt idx="12">
                  <c:v>-10.903650098049745</c:v>
                </c:pt>
                <c:pt idx="13">
                  <c:v>-11.045233627454939</c:v>
                </c:pt>
                <c:pt idx="14">
                  <c:v>-11.193245769857565</c:v>
                </c:pt>
                <c:pt idx="15">
                  <c:v>-11.346000977263326</c:v>
                </c:pt>
                <c:pt idx="16">
                  <c:v>-11.502166143802194</c:v>
                </c:pt>
                <c:pt idx="17">
                  <c:v>-11.686202817547645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E6-4C59-B07F-B51B68068039}"/>
            </c:ext>
          </c:extLst>
        </c:ser>
        <c:ser>
          <c:idx val="4"/>
          <c:order val="5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'CaF2(s)'!$P$30:$P$47</c:f>
              <c:numCache>
                <c:formatCode>General</c:formatCode>
                <c:ptCount val="1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  <c:pt idx="10">
                  <c:v>175</c:v>
                </c:pt>
                <c:pt idx="11">
                  <c:v>200</c:v>
                </c:pt>
                <c:pt idx="12">
                  <c:v>225</c:v>
                </c:pt>
                <c:pt idx="13">
                  <c:v>250</c:v>
                </c:pt>
                <c:pt idx="14">
                  <c:v>275</c:v>
                </c:pt>
                <c:pt idx="15">
                  <c:v>300</c:v>
                </c:pt>
                <c:pt idx="16">
                  <c:v>325</c:v>
                </c:pt>
                <c:pt idx="17">
                  <c:v>354</c:v>
                </c:pt>
              </c:numCache>
            </c:numRef>
          </c:xVal>
          <c:yVal>
            <c:numRef>
              <c:f>'CaF2(s)'!$U$30:$U$47</c:f>
              <c:numCache>
                <c:formatCode>0.000</c:formatCode>
                <c:ptCount val="18"/>
                <c:pt idx="0">
                  <c:v>-10.400552713902167</c:v>
                </c:pt>
                <c:pt idx="1">
                  <c:v>-10.37039846450827</c:v>
                </c:pt>
                <c:pt idx="2">
                  <c:v>-10.343476210129204</c:v>
                </c:pt>
                <c:pt idx="3">
                  <c:v>-10.298566688030641</c:v>
                </c:pt>
                <c:pt idx="4">
                  <c:v>-10.264430814507239</c:v>
                </c:pt>
                <c:pt idx="5">
                  <c:v>-10.239858392835078</c:v>
                </c:pt>
                <c:pt idx="6">
                  <c:v>-10.215315302315362</c:v>
                </c:pt>
                <c:pt idx="7">
                  <c:v>-10.217967484229561</c:v>
                </c:pt>
                <c:pt idx="8">
                  <c:v>-10.251413239331601</c:v>
                </c:pt>
                <c:pt idx="9">
                  <c:v>-10.310931821574112</c:v>
                </c:pt>
                <c:pt idx="10">
                  <c:v>-10.390482875009294</c:v>
                </c:pt>
                <c:pt idx="11">
                  <c:v>-10.485480174086428</c:v>
                </c:pt>
                <c:pt idx="12">
                  <c:v>-10.59239996203112</c:v>
                </c:pt>
                <c:pt idx="13">
                  <c:v>-10.708506719113473</c:v>
                </c:pt>
                <c:pt idx="14">
                  <c:v>-10.831657697537723</c:v>
                </c:pt>
                <c:pt idx="15">
                  <c:v>-10.96016135907831</c:v>
                </c:pt>
                <c:pt idx="16">
                  <c:v>-11.092673369848718</c:v>
                </c:pt>
                <c:pt idx="17">
                  <c:v>-11.250002573041042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E6-4C59-B07F-B51B68068039}"/>
            </c:ext>
          </c:extLst>
        </c:ser>
        <c:ser>
          <c:idx val="5"/>
          <c:order val="6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'CaF2(s)'!$P$30:$P$47</c:f>
              <c:numCache>
                <c:formatCode>General</c:formatCode>
                <c:ptCount val="1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  <c:pt idx="10">
                  <c:v>175</c:v>
                </c:pt>
                <c:pt idx="11">
                  <c:v>200</c:v>
                </c:pt>
                <c:pt idx="12">
                  <c:v>225</c:v>
                </c:pt>
                <c:pt idx="13">
                  <c:v>250</c:v>
                </c:pt>
                <c:pt idx="14">
                  <c:v>275</c:v>
                </c:pt>
                <c:pt idx="15">
                  <c:v>300</c:v>
                </c:pt>
                <c:pt idx="16">
                  <c:v>325</c:v>
                </c:pt>
                <c:pt idx="17">
                  <c:v>354</c:v>
                </c:pt>
              </c:numCache>
            </c:numRef>
          </c:xVal>
          <c:yVal>
            <c:numRef>
              <c:f>'CaF2(s)'!$V$30:$V$47</c:f>
              <c:numCache>
                <c:formatCode>0.000</c:formatCode>
                <c:ptCount val="18"/>
                <c:pt idx="0">
                  <c:v>-10.569423360750339</c:v>
                </c:pt>
                <c:pt idx="1">
                  <c:v>-10.55039846450827</c:v>
                </c:pt>
                <c:pt idx="2">
                  <c:v>-10.534671887524489</c:v>
                </c:pt>
                <c:pt idx="3">
                  <c:v>-10.512312524150484</c:v>
                </c:pt>
                <c:pt idx="4">
                  <c:v>-10.500879930109884</c:v>
                </c:pt>
                <c:pt idx="5">
                  <c:v>-10.499103616553946</c:v>
                </c:pt>
                <c:pt idx="6">
                  <c:v>-10.520237148884902</c:v>
                </c:pt>
                <c:pt idx="7">
                  <c:v>-10.56842865738221</c:v>
                </c:pt>
                <c:pt idx="8">
                  <c:v>-10.658274844852109</c:v>
                </c:pt>
                <c:pt idx="9">
                  <c:v>-10.773346431652477</c:v>
                </c:pt>
                <c:pt idx="10">
                  <c:v>-10.907419995895758</c:v>
                </c:pt>
                <c:pt idx="11">
                  <c:v>-11.055799326191273</c:v>
                </c:pt>
                <c:pt idx="12">
                  <c:v>-11.214900234068368</c:v>
                </c:pt>
                <c:pt idx="13">
                  <c:v>-11.381960535796404</c:v>
                </c:pt>
                <c:pt idx="14">
                  <c:v>-11.554833842177407</c:v>
                </c:pt>
                <c:pt idx="15">
                  <c:v>-11.73184059544834</c:v>
                </c:pt>
                <c:pt idx="16">
                  <c:v>-11.91165891775567</c:v>
                </c:pt>
                <c:pt idx="17">
                  <c:v>-12.122403062054248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6E6-4C59-B07F-B51B68068039}"/>
            </c:ext>
          </c:extLst>
        </c:ser>
        <c:ser>
          <c:idx val="7"/>
          <c:order val="7"/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'CaF2(s)'!$P$30:$P$47</c:f>
              <c:numCache>
                <c:formatCode>General</c:formatCode>
                <c:ptCount val="1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  <c:pt idx="10">
                  <c:v>175</c:v>
                </c:pt>
                <c:pt idx="11">
                  <c:v>200</c:v>
                </c:pt>
                <c:pt idx="12">
                  <c:v>225</c:v>
                </c:pt>
                <c:pt idx="13">
                  <c:v>250</c:v>
                </c:pt>
                <c:pt idx="14">
                  <c:v>275</c:v>
                </c:pt>
                <c:pt idx="15">
                  <c:v>300</c:v>
                </c:pt>
                <c:pt idx="16">
                  <c:v>325</c:v>
                </c:pt>
                <c:pt idx="17">
                  <c:v>354</c:v>
                </c:pt>
              </c:numCache>
            </c:numRef>
          </c:xVal>
          <c:yVal>
            <c:numRef>
              <c:f>'CaF2(s)'!$X$30:$X$47</c:f>
              <c:numCache>
                <c:formatCode>0.000</c:formatCode>
                <c:ptCount val="18"/>
                <c:pt idx="0">
                  <c:v>-10.659947194954995</c:v>
                </c:pt>
                <c:pt idx="1">
                  <c:v>-10.59967561609556</c:v>
                </c:pt>
                <c:pt idx="2">
                  <c:v>-10.544428024935513</c:v>
                </c:pt>
                <c:pt idx="3">
                  <c:v>-10.447849869306943</c:v>
                </c:pt>
                <c:pt idx="4">
                  <c:v>-10.368096368030152</c:v>
                </c:pt>
                <c:pt idx="5">
                  <c:v>-10.303326763437632</c:v>
                </c:pt>
                <c:pt idx="6">
                  <c:v>-10.212509350066355</c:v>
                </c:pt>
                <c:pt idx="7">
                  <c:v>-10.164758777691517</c:v>
                </c:pt>
                <c:pt idx="8">
                  <c:v>-10.153209521164158</c:v>
                </c:pt>
                <c:pt idx="9">
                  <c:v>-10.183765916746019</c:v>
                </c:pt>
                <c:pt idx="10">
                  <c:v>-10.247105921800355</c:v>
                </c:pt>
                <c:pt idx="11">
                  <c:v>-10.336118559855898</c:v>
                </c:pt>
                <c:pt idx="12">
                  <c:v>-10.445312764609454</c:v>
                </c:pt>
                <c:pt idx="13">
                  <c:v>-10.57040268502174</c:v>
                </c:pt>
                <c:pt idx="14">
                  <c:v>-10.708011523498357</c:v>
                </c:pt>
                <c:pt idx="15">
                  <c:v>-10.855456610837393</c:v>
                </c:pt>
                <c:pt idx="16">
                  <c:v>-11.010591169900053</c:v>
                </c:pt>
                <c:pt idx="17">
                  <c:v>-11.197917131058666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6E6-4C59-B07F-B51B68068039}"/>
            </c:ext>
          </c:extLst>
        </c:ser>
        <c:ser>
          <c:idx val="8"/>
          <c:order val="8"/>
          <c:spPr>
            <a:ln w="25400"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'CaF2(s)'!$P$30:$P$47</c:f>
              <c:numCache>
                <c:formatCode>General</c:formatCode>
                <c:ptCount val="1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  <c:pt idx="10">
                  <c:v>175</c:v>
                </c:pt>
                <c:pt idx="11">
                  <c:v>200</c:v>
                </c:pt>
                <c:pt idx="12">
                  <c:v>225</c:v>
                </c:pt>
                <c:pt idx="13">
                  <c:v>250</c:v>
                </c:pt>
                <c:pt idx="14">
                  <c:v>275</c:v>
                </c:pt>
                <c:pt idx="15">
                  <c:v>300</c:v>
                </c:pt>
                <c:pt idx="16">
                  <c:v>325</c:v>
                </c:pt>
                <c:pt idx="17">
                  <c:v>354</c:v>
                </c:pt>
              </c:numCache>
            </c:numRef>
          </c:xVal>
          <c:yVal>
            <c:numRef>
              <c:f>'CaF2(s)'!$Z$30:$Z$47</c:f>
              <c:numCache>
                <c:formatCode>0.000</c:formatCode>
                <c:ptCount val="18"/>
                <c:pt idx="0">
                  <c:v>-11.019947194954996</c:v>
                </c:pt>
                <c:pt idx="1">
                  <c:v>-10.959675616095561</c:v>
                </c:pt>
                <c:pt idx="2">
                  <c:v>-10.904428024935514</c:v>
                </c:pt>
                <c:pt idx="3">
                  <c:v>-10.807849869306944</c:v>
                </c:pt>
                <c:pt idx="4">
                  <c:v>-10.728096368030153</c:v>
                </c:pt>
                <c:pt idx="5">
                  <c:v>-10.663326763437633</c:v>
                </c:pt>
                <c:pt idx="6">
                  <c:v>-10.572509350066357</c:v>
                </c:pt>
                <c:pt idx="7">
                  <c:v>-10.524758777691519</c:v>
                </c:pt>
                <c:pt idx="8">
                  <c:v>-10.513209521164159</c:v>
                </c:pt>
                <c:pt idx="9">
                  <c:v>-10.54376591674602</c:v>
                </c:pt>
                <c:pt idx="10">
                  <c:v>-10.607105921800356</c:v>
                </c:pt>
                <c:pt idx="11">
                  <c:v>-10.696118559855899</c:v>
                </c:pt>
                <c:pt idx="12">
                  <c:v>-10.805312764609456</c:v>
                </c:pt>
                <c:pt idx="13">
                  <c:v>-10.930402685021742</c:v>
                </c:pt>
                <c:pt idx="14">
                  <c:v>-11.068011523498358</c:v>
                </c:pt>
                <c:pt idx="15">
                  <c:v>-11.215456610837395</c:v>
                </c:pt>
                <c:pt idx="16">
                  <c:v>-11.370591169900054</c:v>
                </c:pt>
                <c:pt idx="17">
                  <c:v>-11.557917131058668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6E6-4C59-B07F-B51B68068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37696"/>
        <c:axId val="129839872"/>
      </c:scatterChart>
      <c:valAx>
        <c:axId val="129837696"/>
        <c:scaling>
          <c:orientation val="minMax"/>
          <c:max val="3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T [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0.50282485875706218"/>
              <c:y val="0.918681318681318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29839872"/>
        <c:crossesAt val="-14"/>
        <c:crossBetween val="midCat"/>
      </c:valAx>
      <c:valAx>
        <c:axId val="129839872"/>
        <c:scaling>
          <c:orientation val="minMax"/>
          <c:max val="-9.5"/>
          <c:min val="-12.5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de-CH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endParaRPr lang="de-CH" sz="1400" b="0" i="0" u="none" strike="noStrike" baseline="0">
                  <a:solidFill>
                    <a:srgbClr val="000000"/>
                  </a:solidFill>
                  <a:latin typeface="Calibri"/>
                </a:endParaRPr>
              </a:p>
            </c:rich>
          </c:tx>
          <c:layout>
            <c:manualLayout>
              <c:xMode val="edge"/>
              <c:yMode val="edge"/>
              <c:x val="7.7041602465331279E-3"/>
              <c:y val="0.393406593406593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29837696"/>
        <c:crosses val="autoZero"/>
        <c:crossBetween val="midCat"/>
        <c:majorUnit val="0.5"/>
        <c:minorUnit val="0.1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021571648690292"/>
          <c:y val="0.6754578754578755"/>
          <c:w val="0.36127407802838207"/>
          <c:h val="0.15824175824175823"/>
        </c:manualLayout>
      </c:layout>
      <c:overlay val="0"/>
      <c:spPr>
        <a:noFill/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50</xdr:row>
      <xdr:rowOff>19050</xdr:rowOff>
    </xdr:from>
    <xdr:to>
      <xdr:col>22</xdr:col>
      <xdr:colOff>76200</xdr:colOff>
      <xdr:row>76</xdr:row>
      <xdr:rowOff>28575</xdr:rowOff>
    </xdr:to>
    <xdr:graphicFrame macro="">
      <xdr:nvGraphicFramePr>
        <xdr:cNvPr id="1162" name="Chart 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bk-1990-0416.ch03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oi.org/10.1016/0016-7037(79)90121-2" TargetMode="External"/><Relationship Id="rId1" Type="http://schemas.openxmlformats.org/officeDocument/2006/relationships/hyperlink" Target="http://dx.doi.org/10.1016/0016-7037(77)90224-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j.apgeochem.2017.04.017" TargetMode="External"/><Relationship Id="rId4" Type="http://schemas.openxmlformats.org/officeDocument/2006/relationships/hyperlink" Target="https://doi.org/10.1016/j.marchem.2004.04.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"/>
  <sheetViews>
    <sheetView tabSelected="1" workbookViewId="0">
      <selection activeCell="C10" sqref="C10"/>
    </sheetView>
  </sheetViews>
  <sheetFormatPr defaultColWidth="8.77734375" defaultRowHeight="13.2" x14ac:dyDescent="0.25"/>
  <cols>
    <col min="2" max="4" width="10.77734375" customWidth="1"/>
    <col min="8" max="9" width="12.44140625" customWidth="1"/>
    <col min="10" max="10" width="9.6640625" customWidth="1"/>
    <col min="11" max="11" width="12.44140625" customWidth="1"/>
    <col min="19" max="19" width="9.5546875" customWidth="1"/>
  </cols>
  <sheetData>
    <row r="1" spans="1:3" x14ac:dyDescent="0.25">
      <c r="A1" s="2" t="s">
        <v>46</v>
      </c>
    </row>
    <row r="3" spans="1:3" x14ac:dyDescent="0.25">
      <c r="A3" t="s">
        <v>51</v>
      </c>
    </row>
    <row r="6" spans="1:3" x14ac:dyDescent="0.25">
      <c r="A6" s="2" t="s">
        <v>47</v>
      </c>
    </row>
    <row r="8" spans="1:3" x14ac:dyDescent="0.25">
      <c r="A8" t="s">
        <v>48</v>
      </c>
    </row>
    <row r="9" spans="1:3" ht="15.6" x14ac:dyDescent="0.35">
      <c r="A9" s="18" t="s">
        <v>54</v>
      </c>
      <c r="B9" s="2"/>
      <c r="C9" s="2" t="s">
        <v>70</v>
      </c>
    </row>
    <row r="10" spans="1:3" x14ac:dyDescent="0.25">
      <c r="A10" s="18" t="s">
        <v>59</v>
      </c>
      <c r="B10" s="21" t="s">
        <v>65</v>
      </c>
      <c r="C10" s="2" t="s">
        <v>60</v>
      </c>
    </row>
    <row r="11" spans="1:3" x14ac:dyDescent="0.25">
      <c r="A11" s="18" t="s">
        <v>52</v>
      </c>
      <c r="B11" s="21" t="s">
        <v>66</v>
      </c>
      <c r="C11" t="s">
        <v>53</v>
      </c>
    </row>
    <row r="12" spans="1:3" x14ac:dyDescent="0.25">
      <c r="A12" s="18" t="s">
        <v>49</v>
      </c>
      <c r="B12" s="21" t="s">
        <v>67</v>
      </c>
      <c r="C12" t="s">
        <v>50</v>
      </c>
    </row>
    <row r="13" spans="1:3" x14ac:dyDescent="0.25">
      <c r="A13" s="18" t="s">
        <v>56</v>
      </c>
      <c r="B13" s="21" t="s">
        <v>68</v>
      </c>
      <c r="C13" t="s">
        <v>55</v>
      </c>
    </row>
    <row r="14" spans="1:3" ht="15.6" x14ac:dyDescent="0.35">
      <c r="A14" s="18" t="s">
        <v>58</v>
      </c>
      <c r="B14" s="21" t="s">
        <v>69</v>
      </c>
      <c r="C14" s="2" t="s">
        <v>57</v>
      </c>
    </row>
    <row r="17" spans="1:26" x14ac:dyDescent="0.25">
      <c r="A17" s="1" t="s">
        <v>0</v>
      </c>
    </row>
    <row r="19" spans="1:26" ht="15.6" x14ac:dyDescent="0.25">
      <c r="A19" t="s">
        <v>1</v>
      </c>
      <c r="B19">
        <v>8.3145100000000007E-3</v>
      </c>
      <c r="C19" s="2" t="s">
        <v>2</v>
      </c>
    </row>
    <row r="20" spans="1:26" x14ac:dyDescent="0.25">
      <c r="A20" t="s">
        <v>3</v>
      </c>
      <c r="B20">
        <v>298.14999999999998</v>
      </c>
      <c r="C20" s="2" t="s">
        <v>4</v>
      </c>
    </row>
    <row r="21" spans="1:26" x14ac:dyDescent="0.25">
      <c r="A21" t="s">
        <v>5</v>
      </c>
      <c r="B21">
        <f>LN(10)</f>
        <v>2.3025850929940459</v>
      </c>
    </row>
    <row r="23" spans="1:26" x14ac:dyDescent="0.25">
      <c r="A23" s="2" t="s">
        <v>6</v>
      </c>
      <c r="B23">
        <f>B19*B21</f>
        <v>1.9144866781549925E-2</v>
      </c>
    </row>
    <row r="24" spans="1:26" x14ac:dyDescent="0.25">
      <c r="A24" t="s">
        <v>7</v>
      </c>
      <c r="B24">
        <f>B19*B20*B21</f>
        <v>5.7080420309191107</v>
      </c>
      <c r="E24" s="2"/>
      <c r="F24" s="2"/>
      <c r="K24" s="6"/>
    </row>
    <row r="27" spans="1:26" x14ac:dyDescent="0.25">
      <c r="T27" s="4" t="s">
        <v>8</v>
      </c>
    </row>
    <row r="28" spans="1:26" ht="15.6" x14ac:dyDescent="0.35">
      <c r="A28" s="4" t="s">
        <v>3</v>
      </c>
      <c r="B28" s="4" t="s">
        <v>3</v>
      </c>
      <c r="C28" s="5" t="s">
        <v>9</v>
      </c>
      <c r="D28" s="4" t="s">
        <v>10</v>
      </c>
      <c r="E28" s="18" t="s">
        <v>56</v>
      </c>
      <c r="G28" s="18" t="s">
        <v>58</v>
      </c>
      <c r="I28" s="18" t="s">
        <v>52</v>
      </c>
      <c r="K28" s="20" t="s">
        <v>54</v>
      </c>
      <c r="M28" s="4" t="s">
        <v>11</v>
      </c>
      <c r="N28" s="4" t="s">
        <v>12</v>
      </c>
      <c r="P28" s="4" t="s">
        <v>3</v>
      </c>
      <c r="Q28" s="4" t="s">
        <v>3</v>
      </c>
      <c r="R28" s="4" t="s">
        <v>11</v>
      </c>
      <c r="S28" s="4" t="s">
        <v>12</v>
      </c>
      <c r="T28" s="4" t="s">
        <v>10</v>
      </c>
      <c r="U28" s="7" t="s">
        <v>13</v>
      </c>
      <c r="V28" s="7" t="s">
        <v>14</v>
      </c>
      <c r="X28" s="18" t="s">
        <v>49</v>
      </c>
      <c r="Z28" s="18" t="s">
        <v>59</v>
      </c>
    </row>
    <row r="29" spans="1:26" ht="13.8" x14ac:dyDescent="0.3">
      <c r="A29" s="4" t="s">
        <v>15</v>
      </c>
      <c r="B29" s="4" t="s">
        <v>16</v>
      </c>
      <c r="C29" s="4" t="s">
        <v>16</v>
      </c>
      <c r="F29" s="19" t="s">
        <v>29</v>
      </c>
      <c r="H29" s="19" t="s">
        <v>29</v>
      </c>
      <c r="J29" s="19" t="s">
        <v>29</v>
      </c>
      <c r="L29" s="19" t="s">
        <v>29</v>
      </c>
      <c r="P29" s="4" t="s">
        <v>15</v>
      </c>
      <c r="Q29" s="4" t="s">
        <v>16</v>
      </c>
    </row>
    <row r="30" spans="1:26" x14ac:dyDescent="0.25">
      <c r="A30">
        <v>25</v>
      </c>
      <c r="B30">
        <f t="shared" ref="B30:B41" si="0">273.15+$A30</f>
        <v>298.14999999999998</v>
      </c>
      <c r="C30">
        <f t="shared" ref="C30:C41" si="1">1/B30</f>
        <v>3.3540164346805303E-3</v>
      </c>
      <c r="D30" s="3">
        <v>-10.51</v>
      </c>
      <c r="E30" s="3">
        <f>D30</f>
        <v>-10.51</v>
      </c>
      <c r="F30" s="3">
        <v>0.1</v>
      </c>
      <c r="M30">
        <f t="shared" ref="M30:M43" si="2">(1/$B$20-1/$B30)/$B$23</f>
        <v>0</v>
      </c>
      <c r="N30">
        <f t="shared" ref="N30:N43" si="3">($B$20/$B30-1+LN($B30/$B$20))/$B$23</f>
        <v>0</v>
      </c>
      <c r="P30">
        <v>20</v>
      </c>
      <c r="Q30">
        <f t="shared" ref="Q30:Q47" si="4">273.15+$P30</f>
        <v>293.14999999999998</v>
      </c>
      <c r="R30">
        <f t="shared" ref="R30:R47" si="5">(1/$B$20-1/$Q30)/$B$23</f>
        <v>-2.9880849728683343E-3</v>
      </c>
      <c r="S30">
        <f t="shared" ref="S30:S47" si="6">($B$20/$Q30-1+LN($Q30/$B$20))/$B$23</f>
        <v>7.5123248357080062E-3</v>
      </c>
      <c r="T30" s="8">
        <f t="shared" ref="T30:T47" si="7">$D$47+$C$47*$R30+$B$47*$S30</f>
        <v>-10.484988037326254</v>
      </c>
      <c r="U30" s="8">
        <f t="shared" ref="U30:U47" si="8">($D$47+$D$54+($C$47+$C$54)*$R30+($B$47+$B$54)*$S30)</f>
        <v>-10.400552713902167</v>
      </c>
      <c r="V30" s="8">
        <f t="shared" ref="V30:V47" si="9">($D$47-$D$54+($C$47-$C$54)*$R30+($B$47-$B$54)*$S30)</f>
        <v>-10.569423360750339</v>
      </c>
      <c r="X30" s="8">
        <f>66.348-4298.2/$Q30-25.271*LOG(Q30)</f>
        <v>-10.659947194954995</v>
      </c>
      <c r="Z30" s="8">
        <f>X30+(10.6-10.96)</f>
        <v>-11.019947194954996</v>
      </c>
    </row>
    <row r="31" spans="1:26" x14ac:dyDescent="0.25">
      <c r="A31">
        <v>30</v>
      </c>
      <c r="B31">
        <f t="shared" si="0"/>
        <v>303.14999999999998</v>
      </c>
      <c r="C31">
        <f t="shared" si="1"/>
        <v>3.298697014679202E-3</v>
      </c>
      <c r="D31" s="3">
        <v>-10.41</v>
      </c>
      <c r="G31" s="3">
        <f>D31</f>
        <v>-10.41</v>
      </c>
      <c r="H31" s="3">
        <v>0.1</v>
      </c>
      <c r="M31">
        <f t="shared" si="2"/>
        <v>2.8895171030722494E-3</v>
      </c>
      <c r="N31">
        <f t="shared" si="3"/>
        <v>7.1837467869668844E-3</v>
      </c>
      <c r="P31">
        <v>25</v>
      </c>
      <c r="Q31">
        <f t="shared" si="4"/>
        <v>298.14999999999998</v>
      </c>
      <c r="R31">
        <f t="shared" si="5"/>
        <v>0</v>
      </c>
      <c r="S31">
        <f t="shared" si="6"/>
        <v>0</v>
      </c>
      <c r="T31" s="8">
        <f t="shared" si="7"/>
        <v>-10.46039846450827</v>
      </c>
      <c r="U31" s="8">
        <f t="shared" si="8"/>
        <v>-10.37039846450827</v>
      </c>
      <c r="V31" s="8">
        <f t="shared" si="9"/>
        <v>-10.55039846450827</v>
      </c>
      <c r="X31" s="8">
        <f t="shared" ref="X31:X47" si="10">66.348-4298.2/$Q31-25.271*LOG(Q31)</f>
        <v>-10.59967561609556</v>
      </c>
      <c r="Z31" s="8">
        <f t="shared" ref="Z31:Z47" si="11">X31+(10.6-10.96)</f>
        <v>-10.959675616095561</v>
      </c>
    </row>
    <row r="32" spans="1:26" x14ac:dyDescent="0.25">
      <c r="A32">
        <v>50</v>
      </c>
      <c r="B32">
        <f t="shared" si="0"/>
        <v>323.14999999999998</v>
      </c>
      <c r="C32">
        <f t="shared" si="1"/>
        <v>3.0945381401825778E-3</v>
      </c>
      <c r="D32" s="3">
        <v>-10.3</v>
      </c>
      <c r="G32" s="3">
        <f>D32</f>
        <v>-10.3</v>
      </c>
      <c r="H32" s="3">
        <v>0.1</v>
      </c>
      <c r="M32">
        <f t="shared" si="2"/>
        <v>1.3553413427144556E-2</v>
      </c>
      <c r="N32">
        <f t="shared" si="3"/>
        <v>0.16487148598323309</v>
      </c>
      <c r="P32">
        <v>30</v>
      </c>
      <c r="Q32">
        <f t="shared" si="4"/>
        <v>303.14999999999998</v>
      </c>
      <c r="R32">
        <f t="shared" si="5"/>
        <v>2.8895171030722494E-3</v>
      </c>
      <c r="S32">
        <f t="shared" si="6"/>
        <v>7.1837467869668844E-3</v>
      </c>
      <c r="T32" s="8">
        <f t="shared" si="7"/>
        <v>-10.439074048826846</v>
      </c>
      <c r="U32" s="8">
        <f t="shared" si="8"/>
        <v>-10.343476210129204</v>
      </c>
      <c r="V32" s="8">
        <f t="shared" si="9"/>
        <v>-10.534671887524489</v>
      </c>
      <c r="X32" s="8">
        <f t="shared" si="10"/>
        <v>-10.544428024935513</v>
      </c>
      <c r="Z32" s="8">
        <f t="shared" si="11"/>
        <v>-10.904428024935514</v>
      </c>
    </row>
    <row r="33" spans="1:26" x14ac:dyDescent="0.25">
      <c r="A33">
        <v>100</v>
      </c>
      <c r="B33">
        <f t="shared" si="0"/>
        <v>373.15</v>
      </c>
      <c r="C33">
        <f t="shared" si="1"/>
        <v>2.6798874447273215E-3</v>
      </c>
      <c r="D33" s="3">
        <v>-10.41</v>
      </c>
      <c r="I33" s="3">
        <f>D33</f>
        <v>-10.41</v>
      </c>
      <c r="J33" s="3">
        <v>0.1</v>
      </c>
      <c r="M33">
        <f t="shared" si="2"/>
        <v>3.5211996909943123E-2</v>
      </c>
      <c r="N33">
        <f t="shared" si="3"/>
        <v>1.2218528298288194</v>
      </c>
      <c r="P33">
        <v>40</v>
      </c>
      <c r="Q33">
        <f t="shared" si="4"/>
        <v>313.14999999999998</v>
      </c>
      <c r="R33">
        <f t="shared" si="5"/>
        <v>8.3917334484721641E-3</v>
      </c>
      <c r="S33">
        <f t="shared" si="6"/>
        <v>6.1908300521596696E-2</v>
      </c>
      <c r="T33" s="8">
        <f t="shared" si="7"/>
        <v>-10.405439606090562</v>
      </c>
      <c r="U33" s="8">
        <f t="shared" si="8"/>
        <v>-10.298566688030641</v>
      </c>
      <c r="V33" s="8">
        <f t="shared" si="9"/>
        <v>-10.512312524150484</v>
      </c>
      <c r="X33" s="8">
        <f t="shared" si="10"/>
        <v>-10.447849869306943</v>
      </c>
      <c r="Z33" s="8">
        <f t="shared" si="11"/>
        <v>-10.807849869306944</v>
      </c>
    </row>
    <row r="34" spans="1:26" x14ac:dyDescent="0.25">
      <c r="A34">
        <v>200</v>
      </c>
      <c r="B34">
        <f t="shared" si="0"/>
        <v>473.15</v>
      </c>
      <c r="C34">
        <f t="shared" si="1"/>
        <v>2.1134946634259748E-3</v>
      </c>
      <c r="D34" s="3">
        <v>-10.8</v>
      </c>
      <c r="I34" s="3">
        <f>D34</f>
        <v>-10.8</v>
      </c>
      <c r="J34" s="17">
        <v>0.15</v>
      </c>
      <c r="M34">
        <f t="shared" si="2"/>
        <v>6.4796573693062062E-2</v>
      </c>
      <c r="N34">
        <f t="shared" si="3"/>
        <v>4.8030724023735853</v>
      </c>
      <c r="P34">
        <v>50</v>
      </c>
      <c r="Q34">
        <f t="shared" si="4"/>
        <v>323.14999999999998</v>
      </c>
      <c r="R34">
        <f t="shared" si="5"/>
        <v>1.3553413427144556E-2</v>
      </c>
      <c r="S34">
        <f t="shared" si="6"/>
        <v>0.16487148598323309</v>
      </c>
      <c r="T34" s="8">
        <f t="shared" si="7"/>
        <v>-10.382655372308561</v>
      </c>
      <c r="U34" s="8">
        <f t="shared" si="8"/>
        <v>-10.264430814507239</v>
      </c>
      <c r="V34" s="8">
        <f t="shared" si="9"/>
        <v>-10.500879930109884</v>
      </c>
      <c r="X34" s="8">
        <f t="shared" si="10"/>
        <v>-10.368096368030152</v>
      </c>
      <c r="Z34" s="8">
        <f t="shared" si="11"/>
        <v>-10.728096368030153</v>
      </c>
    </row>
    <row r="35" spans="1:26" x14ac:dyDescent="0.25">
      <c r="A35">
        <v>260</v>
      </c>
      <c r="B35">
        <f t="shared" si="0"/>
        <v>533.15</v>
      </c>
      <c r="C35">
        <f t="shared" si="1"/>
        <v>1.8756447528838038E-3</v>
      </c>
      <c r="D35" s="3">
        <v>-11.22</v>
      </c>
      <c r="I35" s="3">
        <f>D35</f>
        <v>-11.22</v>
      </c>
      <c r="J35" s="3">
        <v>0.2</v>
      </c>
      <c r="M35">
        <f t="shared" si="2"/>
        <v>7.7220264766817079E-2</v>
      </c>
      <c r="N35">
        <f t="shared" si="3"/>
        <v>7.3351034284925323</v>
      </c>
      <c r="P35">
        <v>60</v>
      </c>
      <c r="Q35">
        <f t="shared" si="4"/>
        <v>333.15</v>
      </c>
      <c r="R35">
        <f t="shared" si="5"/>
        <v>1.8405222177921246E-2</v>
      </c>
      <c r="S35">
        <f t="shared" si="6"/>
        <v>0.3101793147589279</v>
      </c>
      <c r="T35" s="8">
        <f t="shared" si="7"/>
        <v>-10.369481004694512</v>
      </c>
      <c r="U35" s="8">
        <f t="shared" si="8"/>
        <v>-10.239858392835078</v>
      </c>
      <c r="V35" s="8">
        <f t="shared" si="9"/>
        <v>-10.499103616553946</v>
      </c>
      <c r="X35" s="8">
        <f t="shared" si="10"/>
        <v>-10.303326763437632</v>
      </c>
      <c r="Z35" s="8">
        <f t="shared" si="11"/>
        <v>-10.663326763437633</v>
      </c>
    </row>
    <row r="36" spans="1:26" x14ac:dyDescent="0.25">
      <c r="A36" s="3">
        <f t="shared" ref="A36:A41" si="12">F75</f>
        <v>76.5</v>
      </c>
      <c r="B36">
        <f t="shared" si="0"/>
        <v>349.65</v>
      </c>
      <c r="C36">
        <f t="shared" si="1"/>
        <v>2.8600028600028601E-3</v>
      </c>
      <c r="D36" s="8">
        <f t="shared" ref="D36:D41" si="13">J75</f>
        <v>-10.407356711371653</v>
      </c>
      <c r="K36" s="8">
        <f>D36</f>
        <v>-10.407356711371653</v>
      </c>
      <c r="L36">
        <v>0.1</v>
      </c>
      <c r="M36">
        <f t="shared" si="2"/>
        <v>2.5803970344351279E-2</v>
      </c>
      <c r="N36">
        <f t="shared" si="3"/>
        <v>0.62919170073422326</v>
      </c>
      <c r="P36">
        <v>80</v>
      </c>
      <c r="Q36">
        <f t="shared" si="4"/>
        <v>353.15</v>
      </c>
      <c r="R36">
        <f t="shared" si="5"/>
        <v>2.7284519914370298E-2</v>
      </c>
      <c r="S36">
        <f t="shared" si="6"/>
        <v>0.70802236316444289</v>
      </c>
      <c r="T36" s="8">
        <f t="shared" si="7"/>
        <v>-10.367776225600133</v>
      </c>
      <c r="U36" s="8">
        <f t="shared" si="8"/>
        <v>-10.215315302315362</v>
      </c>
      <c r="V36" s="8">
        <f t="shared" si="9"/>
        <v>-10.520237148884902</v>
      </c>
      <c r="X36" s="8">
        <f t="shared" si="10"/>
        <v>-10.212509350066355</v>
      </c>
      <c r="Z36" s="8">
        <f t="shared" si="11"/>
        <v>-10.572509350066357</v>
      </c>
    </row>
    <row r="37" spans="1:26" x14ac:dyDescent="0.25">
      <c r="A37" s="3">
        <f t="shared" si="12"/>
        <v>86.5</v>
      </c>
      <c r="B37">
        <f t="shared" si="0"/>
        <v>359.65</v>
      </c>
      <c r="C37">
        <f t="shared" si="1"/>
        <v>2.7804810232170169E-3</v>
      </c>
      <c r="D37" s="8">
        <f t="shared" si="13"/>
        <v>-10.398028150428724</v>
      </c>
      <c r="K37" s="8">
        <f t="shared" ref="K37:K43" si="14">D37</f>
        <v>-10.398028150428724</v>
      </c>
      <c r="L37">
        <v>0.1</v>
      </c>
      <c r="M37">
        <f t="shared" si="2"/>
        <v>2.9957660087571593E-2</v>
      </c>
      <c r="N37">
        <f t="shared" si="3"/>
        <v>0.86367996210549447</v>
      </c>
      <c r="P37">
        <v>100</v>
      </c>
      <c r="Q37">
        <f t="shared" si="4"/>
        <v>373.15</v>
      </c>
      <c r="R37">
        <f t="shared" si="5"/>
        <v>3.5211996909943123E-2</v>
      </c>
      <c r="S37">
        <f t="shared" si="6"/>
        <v>1.2218528298288194</v>
      </c>
      <c r="T37" s="8">
        <f t="shared" si="7"/>
        <v>-10.393198070805887</v>
      </c>
      <c r="U37" s="8">
        <f t="shared" si="8"/>
        <v>-10.217967484229561</v>
      </c>
      <c r="V37" s="8">
        <f t="shared" si="9"/>
        <v>-10.56842865738221</v>
      </c>
      <c r="X37" s="8">
        <f t="shared" si="10"/>
        <v>-10.164758777691517</v>
      </c>
      <c r="Z37" s="8">
        <f t="shared" si="11"/>
        <v>-10.524758777691519</v>
      </c>
    </row>
    <row r="38" spans="1:26" x14ac:dyDescent="0.25">
      <c r="A38" s="3">
        <f t="shared" si="12"/>
        <v>98.5</v>
      </c>
      <c r="B38">
        <f t="shared" si="0"/>
        <v>371.65</v>
      </c>
      <c r="C38">
        <f t="shared" si="1"/>
        <v>2.6907036189963676E-3</v>
      </c>
      <c r="D38" s="8">
        <f t="shared" si="13"/>
        <v>-10.401130255336358</v>
      </c>
      <c r="K38" s="8">
        <f t="shared" si="14"/>
        <v>-10.401130255336358</v>
      </c>
      <c r="L38">
        <v>0.1</v>
      </c>
      <c r="M38">
        <f t="shared" si="2"/>
        <v>3.4647032191595241E-2</v>
      </c>
      <c r="N38">
        <f t="shared" si="3"/>
        <v>1.1799047684010975</v>
      </c>
      <c r="P38">
        <v>125</v>
      </c>
      <c r="Q38">
        <f t="shared" si="4"/>
        <v>398.15</v>
      </c>
      <c r="R38">
        <f t="shared" si="5"/>
        <v>4.400136178808748E-2</v>
      </c>
      <c r="S38">
        <f t="shared" si="6"/>
        <v>1.9885476908591786</v>
      </c>
      <c r="T38" s="8">
        <f t="shared" si="7"/>
        <v>-10.454844042091853</v>
      </c>
      <c r="U38" s="8">
        <f t="shared" si="8"/>
        <v>-10.251413239331601</v>
      </c>
      <c r="V38" s="8">
        <f t="shared" si="9"/>
        <v>-10.658274844852109</v>
      </c>
      <c r="X38" s="8">
        <f t="shared" si="10"/>
        <v>-10.153209521164158</v>
      </c>
      <c r="Z38" s="8">
        <f t="shared" si="11"/>
        <v>-10.513209521164159</v>
      </c>
    </row>
    <row r="39" spans="1:26" x14ac:dyDescent="0.25">
      <c r="A39" s="3">
        <f t="shared" si="12"/>
        <v>150</v>
      </c>
      <c r="B39">
        <f t="shared" si="0"/>
        <v>423.15</v>
      </c>
      <c r="C39">
        <f t="shared" si="1"/>
        <v>2.3632281696797826E-3</v>
      </c>
      <c r="D39" s="8">
        <f t="shared" si="13"/>
        <v>-10.529975360980087</v>
      </c>
      <c r="K39" s="8">
        <f t="shared" si="14"/>
        <v>-10.529975360980087</v>
      </c>
      <c r="L39">
        <v>0.1</v>
      </c>
      <c r="M39">
        <f t="shared" si="2"/>
        <v>5.1752162932550617E-2</v>
      </c>
      <c r="N39">
        <f t="shared" si="3"/>
        <v>2.8585463644890767</v>
      </c>
      <c r="P39">
        <v>150</v>
      </c>
      <c r="Q39">
        <f t="shared" si="4"/>
        <v>423.15</v>
      </c>
      <c r="R39">
        <f t="shared" si="5"/>
        <v>5.1752162932550617E-2</v>
      </c>
      <c r="S39">
        <f t="shared" si="6"/>
        <v>2.8585463644890767</v>
      </c>
      <c r="T39" s="8">
        <f t="shared" si="7"/>
        <v>-10.542139126613295</v>
      </c>
      <c r="U39" s="8">
        <f t="shared" si="8"/>
        <v>-10.310931821574112</v>
      </c>
      <c r="V39" s="8">
        <f t="shared" si="9"/>
        <v>-10.773346431652477</v>
      </c>
      <c r="X39" s="8">
        <f t="shared" si="10"/>
        <v>-10.183765916746019</v>
      </c>
      <c r="Z39" s="8">
        <f t="shared" si="11"/>
        <v>-10.54376591674602</v>
      </c>
    </row>
    <row r="40" spans="1:26" x14ac:dyDescent="0.25">
      <c r="A40" s="3">
        <f t="shared" si="12"/>
        <v>200</v>
      </c>
      <c r="B40">
        <f t="shared" si="0"/>
        <v>473.15</v>
      </c>
      <c r="C40">
        <f t="shared" si="1"/>
        <v>2.1134946634259748E-3</v>
      </c>
      <c r="D40" s="8">
        <f t="shared" si="13"/>
        <v>-10.713784331196853</v>
      </c>
      <c r="K40" s="8">
        <f t="shared" si="14"/>
        <v>-10.713784331196853</v>
      </c>
      <c r="L40">
        <v>0.15</v>
      </c>
      <c r="M40">
        <f t="shared" si="2"/>
        <v>6.4796573693062062E-2</v>
      </c>
      <c r="N40">
        <f t="shared" si="3"/>
        <v>4.8030724023735853</v>
      </c>
      <c r="P40">
        <v>175</v>
      </c>
      <c r="Q40">
        <f t="shared" si="4"/>
        <v>448.15</v>
      </c>
      <c r="R40">
        <f t="shared" si="5"/>
        <v>5.8638208845008477E-2</v>
      </c>
      <c r="S40">
        <f t="shared" si="6"/>
        <v>3.8037309091810378</v>
      </c>
      <c r="T40" s="8">
        <f t="shared" si="7"/>
        <v>-10.648951435452526</v>
      </c>
      <c r="U40" s="8">
        <f t="shared" si="8"/>
        <v>-10.390482875009294</v>
      </c>
      <c r="V40" s="8">
        <f t="shared" si="9"/>
        <v>-10.907419995895758</v>
      </c>
      <c r="X40" s="8">
        <f t="shared" si="10"/>
        <v>-10.247105921800355</v>
      </c>
      <c r="Z40" s="8">
        <f t="shared" si="11"/>
        <v>-10.607105921800356</v>
      </c>
    </row>
    <row r="41" spans="1:26" x14ac:dyDescent="0.25">
      <c r="A41" s="3">
        <f t="shared" si="12"/>
        <v>250</v>
      </c>
      <c r="B41">
        <f t="shared" si="0"/>
        <v>523.15</v>
      </c>
      <c r="C41">
        <f t="shared" si="1"/>
        <v>1.9114976584153685E-3</v>
      </c>
      <c r="D41" s="8">
        <f t="shared" si="13"/>
        <v>-10.916270794364145</v>
      </c>
      <c r="K41" s="8">
        <f t="shared" si="14"/>
        <v>-10.916270794364145</v>
      </c>
      <c r="L41">
        <v>0.2</v>
      </c>
      <c r="M41">
        <f t="shared" si="2"/>
        <v>7.5347548391160896E-2</v>
      </c>
      <c r="N41">
        <f t="shared" si="3"/>
        <v>6.9044377598840709</v>
      </c>
      <c r="P41">
        <v>200</v>
      </c>
      <c r="Q41">
        <f t="shared" si="4"/>
        <v>473.15</v>
      </c>
      <c r="R41">
        <f t="shared" si="5"/>
        <v>6.4796573693062062E-2</v>
      </c>
      <c r="S41">
        <f t="shared" si="6"/>
        <v>4.8030724023735853</v>
      </c>
      <c r="T41" s="8">
        <f t="shared" si="7"/>
        <v>-10.770639750138852</v>
      </c>
      <c r="U41" s="8">
        <f t="shared" si="8"/>
        <v>-10.485480174086428</v>
      </c>
      <c r="V41" s="8">
        <f t="shared" si="9"/>
        <v>-11.055799326191273</v>
      </c>
      <c r="X41" s="8">
        <f t="shared" si="10"/>
        <v>-10.336118559855898</v>
      </c>
      <c r="Z41" s="8">
        <f t="shared" si="11"/>
        <v>-10.696118559855899</v>
      </c>
    </row>
    <row r="42" spans="1:26" x14ac:dyDescent="0.25">
      <c r="A42" s="3">
        <f>F82</f>
        <v>300</v>
      </c>
      <c r="B42">
        <f>273.15+$A42</f>
        <v>573.15</v>
      </c>
      <c r="C42">
        <f>1/B42</f>
        <v>1.7447439588240427E-3</v>
      </c>
      <c r="D42" s="8">
        <f>J82</f>
        <v>-11.390897154578646</v>
      </c>
      <c r="K42" s="8">
        <f t="shared" si="14"/>
        <v>-11.390897154578646</v>
      </c>
      <c r="L42">
        <v>0.2</v>
      </c>
      <c r="M42">
        <f t="shared" si="2"/>
        <v>8.4057648152838407E-2</v>
      </c>
      <c r="N42">
        <f t="shared" si="3"/>
        <v>9.0753391129748078</v>
      </c>
      <c r="P42">
        <v>225</v>
      </c>
      <c r="Q42">
        <f t="shared" si="4"/>
        <v>498.15</v>
      </c>
      <c r="R42">
        <f t="shared" si="5"/>
        <v>7.0336814999205188E-2</v>
      </c>
      <c r="S42">
        <f t="shared" si="6"/>
        <v>5.8406791680089691</v>
      </c>
      <c r="T42" s="8">
        <f t="shared" si="7"/>
        <v>-10.903650098049745</v>
      </c>
      <c r="U42" s="8">
        <f t="shared" si="8"/>
        <v>-10.59239996203112</v>
      </c>
      <c r="V42" s="8">
        <f t="shared" si="9"/>
        <v>-11.214900234068368</v>
      </c>
      <c r="X42" s="8">
        <f t="shared" si="10"/>
        <v>-10.445312764609454</v>
      </c>
      <c r="Z42" s="8">
        <f t="shared" si="11"/>
        <v>-10.805312764609456</v>
      </c>
    </row>
    <row r="43" spans="1:26" x14ac:dyDescent="0.25">
      <c r="A43" s="3">
        <f>F84</f>
        <v>350</v>
      </c>
      <c r="B43">
        <f>273.15+$A43</f>
        <v>623.15</v>
      </c>
      <c r="C43">
        <f>1/B43</f>
        <v>1.6047500601781273E-3</v>
      </c>
      <c r="D43" s="8">
        <f>J84</f>
        <v>-11.636766054885838</v>
      </c>
      <c r="K43" s="8">
        <f t="shared" si="14"/>
        <v>-11.636766054885838</v>
      </c>
      <c r="L43">
        <v>0.2</v>
      </c>
      <c r="M43">
        <f t="shared" si="2"/>
        <v>9.1369994602844992E-2</v>
      </c>
      <c r="N43">
        <f t="shared" si="3"/>
        <v>11.263947543014519</v>
      </c>
      <c r="P43">
        <v>250</v>
      </c>
      <c r="Q43">
        <f t="shared" si="4"/>
        <v>523.15</v>
      </c>
      <c r="R43">
        <f t="shared" si="5"/>
        <v>7.5347548391160896E-2</v>
      </c>
      <c r="S43">
        <f t="shared" si="6"/>
        <v>6.9044377598840709</v>
      </c>
      <c r="T43" s="8">
        <f t="shared" si="7"/>
        <v>-11.045233627454939</v>
      </c>
      <c r="U43" s="8">
        <f t="shared" si="8"/>
        <v>-10.708506719113473</v>
      </c>
      <c r="V43" s="8">
        <f t="shared" si="9"/>
        <v>-11.381960535796404</v>
      </c>
      <c r="X43" s="8">
        <f t="shared" si="10"/>
        <v>-10.57040268502174</v>
      </c>
      <c r="Z43" s="8">
        <f t="shared" si="11"/>
        <v>-10.930402685021742</v>
      </c>
    </row>
    <row r="44" spans="1:26" x14ac:dyDescent="0.25">
      <c r="P44">
        <v>275</v>
      </c>
      <c r="Q44">
        <f t="shared" si="4"/>
        <v>548.15</v>
      </c>
      <c r="R44">
        <f t="shared" si="5"/>
        <v>7.9901223186751039E-2</v>
      </c>
      <c r="S44">
        <f t="shared" si="6"/>
        <v>7.9850498843342965</v>
      </c>
      <c r="T44" s="8">
        <f t="shared" si="7"/>
        <v>-11.193245769857565</v>
      </c>
      <c r="U44" s="8">
        <f t="shared" si="8"/>
        <v>-10.831657697537723</v>
      </c>
      <c r="V44" s="8">
        <f t="shared" si="9"/>
        <v>-11.554833842177407</v>
      </c>
      <c r="X44" s="8">
        <f t="shared" si="10"/>
        <v>-10.708011523498357</v>
      </c>
      <c r="Z44" s="8">
        <f t="shared" si="11"/>
        <v>-11.068011523498358</v>
      </c>
    </row>
    <row r="45" spans="1:26" ht="16.8" x14ac:dyDescent="0.35">
      <c r="B45" s="14" t="s">
        <v>17</v>
      </c>
      <c r="C45" s="14" t="s">
        <v>18</v>
      </c>
      <c r="D45" s="15" t="s">
        <v>19</v>
      </c>
      <c r="P45">
        <v>300</v>
      </c>
      <c r="Q45">
        <f t="shared" si="4"/>
        <v>573.15</v>
      </c>
      <c r="R45">
        <f t="shared" si="5"/>
        <v>8.4057648152838407E-2</v>
      </c>
      <c r="S45">
        <f t="shared" si="6"/>
        <v>9.0753391129748078</v>
      </c>
      <c r="T45" s="8">
        <f t="shared" si="7"/>
        <v>-11.346000977263326</v>
      </c>
      <c r="U45" s="8">
        <f t="shared" si="8"/>
        <v>-10.96016135907831</v>
      </c>
      <c r="V45" s="8">
        <f t="shared" si="9"/>
        <v>-11.73184059544834</v>
      </c>
      <c r="X45" s="8">
        <f t="shared" si="10"/>
        <v>-10.855456610837393</v>
      </c>
      <c r="Z45" s="8">
        <f t="shared" si="11"/>
        <v>-11.215456610837395</v>
      </c>
    </row>
    <row r="46" spans="1:26" ht="15.6" x14ac:dyDescent="0.25">
      <c r="B46" s="13" t="s">
        <v>20</v>
      </c>
      <c r="C46" s="12" t="s">
        <v>21</v>
      </c>
      <c r="D46" s="13"/>
      <c r="E46" s="3"/>
      <c r="F46" s="3"/>
      <c r="G46" s="3"/>
      <c r="H46" s="3"/>
      <c r="I46" s="3"/>
      <c r="J46" s="3"/>
      <c r="P46">
        <v>325</v>
      </c>
      <c r="Q46">
        <f t="shared" si="4"/>
        <v>598.15</v>
      </c>
      <c r="R46">
        <f t="shared" si="5"/>
        <v>8.7866633098355101E-2</v>
      </c>
      <c r="S46">
        <f t="shared" si="6"/>
        <v>10.169744737773359</v>
      </c>
      <c r="T46" s="8">
        <f t="shared" si="7"/>
        <v>-11.502166143802194</v>
      </c>
      <c r="U46" s="8">
        <f t="shared" si="8"/>
        <v>-11.092673369848718</v>
      </c>
      <c r="V46" s="8">
        <f t="shared" si="9"/>
        <v>-11.91165891775567</v>
      </c>
      <c r="X46" s="8">
        <f t="shared" si="10"/>
        <v>-11.010591169900053</v>
      </c>
      <c r="Z46" s="8">
        <f t="shared" si="11"/>
        <v>-11.370591169900054</v>
      </c>
    </row>
    <row r="47" spans="1:26" ht="15.6" x14ac:dyDescent="0.35">
      <c r="A47" s="12" t="s">
        <v>22</v>
      </c>
      <c r="B47" s="1">
        <f t="array" ref="B47:D51">LINEST(D30:D43,M30:N43,TRUE,TRUE)</f>
        <v>-0.16984890627812393</v>
      </c>
      <c r="C47" s="1">
        <v>7.8021919967867879</v>
      </c>
      <c r="D47" s="1">
        <v>-10.46039846450827</v>
      </c>
      <c r="E47" s="16" t="s">
        <v>23</v>
      </c>
      <c r="F47" s="16"/>
      <c r="P47">
        <v>354</v>
      </c>
      <c r="Q47">
        <f t="shared" si="4"/>
        <v>627.15</v>
      </c>
      <c r="R47">
        <f t="shared" si="5"/>
        <v>9.1904612651837581E-2</v>
      </c>
      <c r="S47">
        <f t="shared" si="6"/>
        <v>11.438765364540746</v>
      </c>
      <c r="T47" s="8">
        <f t="shared" si="7"/>
        <v>-11.686202817547645</v>
      </c>
      <c r="U47" s="8">
        <f t="shared" si="8"/>
        <v>-11.250002573041042</v>
      </c>
      <c r="V47" s="8">
        <f t="shared" si="9"/>
        <v>-12.122403062054248</v>
      </c>
      <c r="X47" s="8">
        <f t="shared" si="10"/>
        <v>-11.197917131058666</v>
      </c>
      <c r="Z47" s="8">
        <f t="shared" si="11"/>
        <v>-11.557917131058668</v>
      </c>
    </row>
    <row r="48" spans="1:26" x14ac:dyDescent="0.25">
      <c r="A48" s="12"/>
      <c r="B48">
        <v>1.521986908241409E-2</v>
      </c>
      <c r="C48">
        <v>1.87560417636834</v>
      </c>
      <c r="D48">
        <v>4.3164480322047123E-2</v>
      </c>
      <c r="E48" s="16"/>
      <c r="F48" s="16"/>
    </row>
    <row r="49" spans="1:11" x14ac:dyDescent="0.25">
      <c r="A49" s="12" t="s">
        <v>24</v>
      </c>
      <c r="B49">
        <v>0.97868159852382552</v>
      </c>
      <c r="C49">
        <v>6.7304037145495946E-2</v>
      </c>
      <c r="D49" t="e">
        <v>#N/A</v>
      </c>
      <c r="E49" s="16" t="s">
        <v>25</v>
      </c>
      <c r="F49" s="16"/>
    </row>
    <row r="50" spans="1:11" x14ac:dyDescent="0.25">
      <c r="A50" s="12" t="s">
        <v>26</v>
      </c>
      <c r="B50">
        <v>252.49307730210572</v>
      </c>
      <c r="C50">
        <v>11</v>
      </c>
      <c r="D50" t="e">
        <v>#N/A</v>
      </c>
      <c r="E50" s="16" t="s">
        <v>27</v>
      </c>
      <c r="F50" s="16"/>
    </row>
    <row r="51" spans="1:11" x14ac:dyDescent="0.25">
      <c r="A51" s="11"/>
      <c r="B51">
        <v>2.2875031577850584</v>
      </c>
      <c r="C51">
        <v>4.9828167576905273E-2</v>
      </c>
      <c r="D51" t="e">
        <v>#N/A</v>
      </c>
      <c r="E51" s="16" t="s">
        <v>28</v>
      </c>
      <c r="F51" s="16"/>
    </row>
    <row r="53" spans="1:11" x14ac:dyDescent="0.25">
      <c r="B53">
        <f>B48*2</f>
        <v>3.043973816482818E-2</v>
      </c>
      <c r="C53">
        <f>C48*2</f>
        <v>3.75120835273668</v>
      </c>
      <c r="D53">
        <f>D48*2</f>
        <v>8.6328960644094246E-2</v>
      </c>
    </row>
    <row r="54" spans="1:11" ht="13.8" x14ac:dyDescent="0.3">
      <c r="A54" s="10" t="s">
        <v>29</v>
      </c>
      <c r="B54" s="9">
        <v>1.4999999999999999E-2</v>
      </c>
      <c r="C54" s="1">
        <v>1.9</v>
      </c>
      <c r="D54" s="1">
        <v>0.09</v>
      </c>
    </row>
    <row r="56" spans="1:11" x14ac:dyDescent="0.25">
      <c r="A56" s="18" t="s">
        <v>52</v>
      </c>
      <c r="C56" s="2" t="s">
        <v>30</v>
      </c>
    </row>
    <row r="58" spans="1:11" ht="15.6" x14ac:dyDescent="0.35">
      <c r="A58" s="4" t="s">
        <v>3</v>
      </c>
      <c r="B58" s="4" t="s">
        <v>10</v>
      </c>
      <c r="C58" s="7" t="s">
        <v>13</v>
      </c>
      <c r="D58" s="7" t="s">
        <v>14</v>
      </c>
    </row>
    <row r="59" spans="1:11" ht="13.8" x14ac:dyDescent="0.3">
      <c r="A59" s="4" t="s">
        <v>15</v>
      </c>
    </row>
    <row r="60" spans="1:11" x14ac:dyDescent="0.25">
      <c r="A60">
        <v>100</v>
      </c>
      <c r="B60" s="8">
        <f>LOG(0.0000000000388)</f>
        <v>-10.411168274405792</v>
      </c>
      <c r="C60" s="8">
        <f>-$B60+LOG((3.88+0.76)*10^-11)</f>
        <v>7.768625496067294E-2</v>
      </c>
      <c r="D60" s="8">
        <f>-$B60+LOG((3.88-0.64)*10^-11)</f>
        <v>-7.8286715387594796E-2</v>
      </c>
    </row>
    <row r="61" spans="1:11" ht="15.6" x14ac:dyDescent="0.35">
      <c r="A61">
        <v>200</v>
      </c>
      <c r="B61" s="8">
        <f>LOG(0.0000000000158)</f>
        <v>-10.801342913045577</v>
      </c>
      <c r="C61" s="8">
        <f>-$B61+LOG((1.58+0.25)*10^-11)</f>
        <v>6.3794002776006664E-2</v>
      </c>
      <c r="D61" s="8">
        <f>-$B61+LOG((1.58-0.19)*10^-11)</f>
        <v>-5.5642286700328114E-2</v>
      </c>
      <c r="G61" s="2" t="s">
        <v>61</v>
      </c>
      <c r="H61" t="s">
        <v>31</v>
      </c>
      <c r="J61">
        <f>40.08+2*18.998403</f>
        <v>78.076806000000005</v>
      </c>
      <c r="K61" t="s">
        <v>32</v>
      </c>
    </row>
    <row r="62" spans="1:11" ht="15.6" x14ac:dyDescent="0.35">
      <c r="A62">
        <v>260</v>
      </c>
      <c r="B62" s="8">
        <f>LOG(0.000000000006)</f>
        <v>-11.221848749616356</v>
      </c>
      <c r="C62" s="8">
        <f>-$B62+LOG((0.6+0.3)*10^-11)</f>
        <v>0.17609125905568135</v>
      </c>
      <c r="D62" s="8">
        <f>-$B62+LOG((0.6-0.2)*10^-11)</f>
        <v>-0.17609125905568135</v>
      </c>
      <c r="H62" s="2" t="s">
        <v>33</v>
      </c>
      <c r="J62" s="2" t="s">
        <v>34</v>
      </c>
      <c r="K62" s="2" t="s">
        <v>62</v>
      </c>
    </row>
    <row r="63" spans="1:11" ht="15.6" x14ac:dyDescent="0.35">
      <c r="J63" s="2" t="s">
        <v>35</v>
      </c>
      <c r="K63" s="2" t="s">
        <v>63</v>
      </c>
    </row>
    <row r="64" spans="1:11" ht="15.6" x14ac:dyDescent="0.35">
      <c r="H64" t="s">
        <v>36</v>
      </c>
      <c r="J64" s="2" t="s">
        <v>37</v>
      </c>
      <c r="K64" s="2" t="s">
        <v>64</v>
      </c>
    </row>
    <row r="65" spans="1:10" x14ac:dyDescent="0.25">
      <c r="A65" s="18" t="s">
        <v>54</v>
      </c>
      <c r="C65" s="2" t="s">
        <v>38</v>
      </c>
      <c r="H65" t="s">
        <v>39</v>
      </c>
    </row>
    <row r="67" spans="1:10" ht="15.6" x14ac:dyDescent="0.35">
      <c r="A67" s="4" t="s">
        <v>3</v>
      </c>
      <c r="B67" s="4" t="s">
        <v>10</v>
      </c>
      <c r="C67" s="7" t="s">
        <v>13</v>
      </c>
      <c r="D67" s="7" t="s">
        <v>14</v>
      </c>
      <c r="F67" s="4" t="s">
        <v>3</v>
      </c>
      <c r="G67" s="4" t="s">
        <v>34</v>
      </c>
      <c r="H67" s="11" t="s">
        <v>40</v>
      </c>
      <c r="I67" s="11" t="s">
        <v>41</v>
      </c>
      <c r="J67" s="4" t="s">
        <v>42</v>
      </c>
    </row>
    <row r="68" spans="1:10" ht="13.8" x14ac:dyDescent="0.3">
      <c r="A68" s="4" t="s">
        <v>15</v>
      </c>
      <c r="F68" s="4" t="s">
        <v>15</v>
      </c>
    </row>
    <row r="69" spans="1:10" x14ac:dyDescent="0.25">
      <c r="A69">
        <v>98.5</v>
      </c>
      <c r="B69" s="8">
        <f>LOG(0.0000000000397)</f>
        <v>-10.401209493236886</v>
      </c>
      <c r="C69" s="8">
        <f>-$B69+LOG((3.97+0.04)*10^-11)</f>
        <v>4.3538658570678734E-3</v>
      </c>
      <c r="D69" s="8">
        <f>-$B69+LOG((3.97-0.04)*10^-11)</f>
        <v>-4.39795638768814E-3</v>
      </c>
      <c r="F69">
        <v>23</v>
      </c>
      <c r="G69" s="3">
        <v>8.76</v>
      </c>
      <c r="H69">
        <f t="shared" ref="H69:H84" si="15">G69/1000/$J$61</f>
        <v>1.1219721257552467E-4</v>
      </c>
      <c r="I69">
        <f t="shared" ref="I69:I84" si="16">H69*(2*H69)^2</f>
        <v>5.6494503171723007E-12</v>
      </c>
      <c r="J69" s="8">
        <f t="shared" ref="J69:J84" si="17">LOG(I69)</f>
        <v>-11.247993806310161</v>
      </c>
    </row>
    <row r="70" spans="1:10" x14ac:dyDescent="0.25">
      <c r="A70">
        <v>86.5</v>
      </c>
      <c r="B70">
        <f>LOG(0.00000000004)</f>
        <v>-10.397940008672037</v>
      </c>
      <c r="C70" s="8">
        <f>-$B70+LOG((4+0.08)*10^-11)</f>
        <v>8.600171761917963E-3</v>
      </c>
      <c r="D70" s="8">
        <f>-$B70+LOG((4-0.08)*10^-11)</f>
        <v>-8.7739243075048989E-3</v>
      </c>
      <c r="F70">
        <v>25</v>
      </c>
      <c r="G70" s="3">
        <v>9.1300000000000008</v>
      </c>
      <c r="H70">
        <f>G70/1000/$J$61</f>
        <v>1.1693613593773291E-4</v>
      </c>
      <c r="I70">
        <f t="shared" si="16"/>
        <v>6.3959669035579034E-12</v>
      </c>
      <c r="J70" s="8">
        <f t="shared" si="17"/>
        <v>-11.194093792211508</v>
      </c>
    </row>
    <row r="71" spans="1:10" x14ac:dyDescent="0.25">
      <c r="A71">
        <v>76.099999999999994</v>
      </c>
      <c r="B71">
        <f>LOG(0.0000000000391)</f>
        <v>-10.407823242604133</v>
      </c>
      <c r="C71" s="8">
        <f>-$B71+LOG((3.91+0.09)*10^-11)</f>
        <v>9.8832339320953366E-3</v>
      </c>
      <c r="D71" s="8">
        <f>-$B71+LOG((3.91-0.09)*10^-11)</f>
        <v>-1.0113394484157823E-2</v>
      </c>
      <c r="F71">
        <v>26.5</v>
      </c>
      <c r="G71" s="3">
        <v>9.24</v>
      </c>
      <c r="H71">
        <f t="shared" si="15"/>
        <v>1.1834500504541643E-4</v>
      </c>
      <c r="I71">
        <f t="shared" si="16"/>
        <v>6.6299429116198568E-12</v>
      </c>
      <c r="J71" s="8">
        <f t="shared" si="17"/>
        <v>-11.178490211154083</v>
      </c>
    </row>
    <row r="72" spans="1:10" x14ac:dyDescent="0.25">
      <c r="F72">
        <v>39</v>
      </c>
      <c r="G72" s="3">
        <v>11.43</v>
      </c>
      <c r="H72">
        <f t="shared" si="15"/>
        <v>1.4639430818929759E-4</v>
      </c>
      <c r="I72">
        <f t="shared" si="16"/>
        <v>1.2549677524700454E-11</v>
      </c>
      <c r="J72" s="8">
        <f t="shared" si="17"/>
        <v>-10.901367433628559</v>
      </c>
    </row>
    <row r="73" spans="1:10" x14ac:dyDescent="0.25">
      <c r="F73">
        <v>50</v>
      </c>
      <c r="G73" s="3">
        <v>13.7</v>
      </c>
      <c r="H73">
        <f t="shared" si="15"/>
        <v>1.7546824341149403E-4</v>
      </c>
      <c r="I73">
        <f t="shared" si="16"/>
        <v>2.161004029335113E-11</v>
      </c>
      <c r="J73" s="8">
        <f t="shared" si="17"/>
        <v>-10.665344423345184</v>
      </c>
    </row>
    <row r="74" spans="1:10" x14ac:dyDescent="0.25">
      <c r="A74" s="18" t="s">
        <v>56</v>
      </c>
      <c r="C74" s="2" t="s">
        <v>43</v>
      </c>
      <c r="F74">
        <v>61</v>
      </c>
      <c r="G74" s="3">
        <v>15.43</v>
      </c>
      <c r="H74">
        <f t="shared" si="15"/>
        <v>1.9762591210506226E-4</v>
      </c>
      <c r="I74">
        <f t="shared" si="16"/>
        <v>3.0873911390205724E-11</v>
      </c>
      <c r="J74" s="8">
        <f t="shared" si="17"/>
        <v>-10.51040834662496</v>
      </c>
    </row>
    <row r="75" spans="1:10" x14ac:dyDescent="0.25">
      <c r="F75">
        <v>76.5</v>
      </c>
      <c r="G75" s="3">
        <v>16.7</v>
      </c>
      <c r="H75">
        <f t="shared" si="15"/>
        <v>2.1389194634831757E-4</v>
      </c>
      <c r="I75">
        <f t="shared" si="16"/>
        <v>3.914202487748359E-11</v>
      </c>
      <c r="J75" s="8">
        <f t="shared" si="17"/>
        <v>-10.407356711371653</v>
      </c>
    </row>
    <row r="76" spans="1:10" ht="15.6" x14ac:dyDescent="0.35">
      <c r="A76" s="4" t="s">
        <v>3</v>
      </c>
      <c r="B76" s="4" t="s">
        <v>10</v>
      </c>
      <c r="C76" s="7" t="s">
        <v>13</v>
      </c>
      <c r="D76" s="7" t="s">
        <v>14</v>
      </c>
      <c r="F76">
        <v>86.5</v>
      </c>
      <c r="G76" s="3">
        <v>16.82</v>
      </c>
      <c r="H76">
        <f t="shared" si="15"/>
        <v>2.1542889446579054E-4</v>
      </c>
      <c r="I76">
        <f t="shared" si="16"/>
        <v>3.9991882667949336E-11</v>
      </c>
      <c r="J76" s="8">
        <f t="shared" si="17"/>
        <v>-10.398028150428724</v>
      </c>
    </row>
    <row r="77" spans="1:10" ht="13.8" x14ac:dyDescent="0.3">
      <c r="A77" s="4" t="s">
        <v>15</v>
      </c>
      <c r="F77">
        <v>98.5</v>
      </c>
      <c r="G77" s="3">
        <v>16.78</v>
      </c>
      <c r="H77">
        <f t="shared" si="15"/>
        <v>2.1491657842663284E-4</v>
      </c>
      <c r="I77">
        <f t="shared" si="16"/>
        <v>3.9707244005561035E-11</v>
      </c>
      <c r="J77" s="8">
        <f t="shared" si="17"/>
        <v>-10.401130255336358</v>
      </c>
    </row>
    <row r="78" spans="1:10" x14ac:dyDescent="0.25">
      <c r="A78">
        <v>25</v>
      </c>
      <c r="B78" s="8">
        <f>LOG(0.0000000000308)</f>
        <v>-10.511449283499555</v>
      </c>
      <c r="C78" s="8">
        <f>-$B78+LOG((3.08+0.08)*10^-11)</f>
        <v>1.113636611795954E-2</v>
      </c>
      <c r="D78" s="8">
        <f>-$B78+LOG((3.08-0.08)*10^-11)</f>
        <v>-1.1429461780782191E-2</v>
      </c>
      <c r="F78">
        <v>150</v>
      </c>
      <c r="G78" s="3">
        <v>15.2</v>
      </c>
      <c r="H78">
        <f t="shared" si="15"/>
        <v>1.946800948799058E-4</v>
      </c>
      <c r="I78">
        <f t="shared" si="16"/>
        <v>2.9513766636674487E-11</v>
      </c>
      <c r="J78" s="8">
        <f t="shared" si="17"/>
        <v>-10.529975360980087</v>
      </c>
    </row>
    <row r="79" spans="1:10" x14ac:dyDescent="0.25">
      <c r="F79">
        <v>200</v>
      </c>
      <c r="G79" s="3">
        <v>13.2</v>
      </c>
      <c r="H79">
        <f t="shared" si="15"/>
        <v>1.6906429292202346E-4</v>
      </c>
      <c r="I79">
        <f t="shared" si="16"/>
        <v>1.9329279625713863E-11</v>
      </c>
      <c r="J79" s="8">
        <f t="shared" si="17"/>
        <v>-10.713784331196853</v>
      </c>
    </row>
    <row r="80" spans="1:10" x14ac:dyDescent="0.25">
      <c r="F80">
        <v>250</v>
      </c>
      <c r="G80" s="3">
        <v>11.3</v>
      </c>
      <c r="H80">
        <f t="shared" si="15"/>
        <v>1.4472928106203526E-4</v>
      </c>
      <c r="I80">
        <f t="shared" si="16"/>
        <v>1.2126325055002363E-11</v>
      </c>
      <c r="J80" s="8">
        <f t="shared" si="17"/>
        <v>-10.916270794364145</v>
      </c>
    </row>
    <row r="81" spans="1:10" x14ac:dyDescent="0.25">
      <c r="A81" s="18" t="s">
        <v>58</v>
      </c>
      <c r="C81" s="2" t="s">
        <v>44</v>
      </c>
      <c r="F81">
        <v>255</v>
      </c>
      <c r="G81" s="3">
        <v>13</v>
      </c>
      <c r="H81">
        <f t="shared" si="15"/>
        <v>1.6650271272623522E-4</v>
      </c>
      <c r="I81">
        <f t="shared" si="16"/>
        <v>1.8463920949201622E-11</v>
      </c>
      <c r="J81" s="8">
        <f t="shared" si="17"/>
        <v>-10.733676067893894</v>
      </c>
    </row>
    <row r="82" spans="1:10" x14ac:dyDescent="0.25">
      <c r="F82">
        <v>300</v>
      </c>
      <c r="G82" s="3">
        <v>7.85</v>
      </c>
      <c r="H82">
        <f t="shared" si="15"/>
        <v>1.0054202268468819E-4</v>
      </c>
      <c r="I82">
        <f t="shared" si="16"/>
        <v>4.0653959054317656E-12</v>
      </c>
      <c r="J82" s="8">
        <f t="shared" si="17"/>
        <v>-11.390897154578646</v>
      </c>
    </row>
    <row r="83" spans="1:10" ht="15.6" x14ac:dyDescent="0.35">
      <c r="A83" s="4" t="s">
        <v>3</v>
      </c>
      <c r="B83" s="4" t="s">
        <v>10</v>
      </c>
      <c r="F83">
        <v>310</v>
      </c>
      <c r="G83" s="3">
        <v>14.5</v>
      </c>
      <c r="H83">
        <f t="shared" si="15"/>
        <v>1.8571456419464699E-4</v>
      </c>
      <c r="I83">
        <f t="shared" si="16"/>
        <v>2.5621106510587075E-11</v>
      </c>
      <c r="J83" s="8">
        <f t="shared" si="17"/>
        <v>-10.591402118109478</v>
      </c>
    </row>
    <row r="84" spans="1:10" ht="13.8" x14ac:dyDescent="0.3">
      <c r="A84" s="4" t="s">
        <v>15</v>
      </c>
      <c r="F84">
        <v>350</v>
      </c>
      <c r="G84" s="3">
        <v>6.5</v>
      </c>
      <c r="H84">
        <f t="shared" si="15"/>
        <v>8.325135636311761E-5</v>
      </c>
      <c r="I84">
        <f t="shared" si="16"/>
        <v>2.3079901186502028E-12</v>
      </c>
      <c r="J84" s="8">
        <f t="shared" si="17"/>
        <v>-11.636766054885838</v>
      </c>
    </row>
    <row r="85" spans="1:10" x14ac:dyDescent="0.25">
      <c r="A85">
        <v>25</v>
      </c>
      <c r="B85" s="8">
        <f>-24/LN(10)</f>
        <v>-10.423067565678043</v>
      </c>
      <c r="C85" s="2" t="s">
        <v>45</v>
      </c>
    </row>
  </sheetData>
  <hyperlinks>
    <hyperlink ref="B10" r:id="rId1" xr:uid="{B8CF2924-E664-4BDF-86C6-C4D584AC5C84}"/>
    <hyperlink ref="B11" r:id="rId2" xr:uid="{C1A30D68-54B3-45FF-BDD6-9D1B94D43CC8}"/>
    <hyperlink ref="B12" r:id="rId3" xr:uid="{178D5A52-5331-4610-B203-2B7B568A4CDA}"/>
    <hyperlink ref="B13" r:id="rId4" xr:uid="{43B06E16-E38B-4C41-80D4-13152D781D7D}"/>
    <hyperlink ref="B14" r:id="rId5" xr:uid="{BB840108-8786-4A42-AFFE-56A2DCE025EF}"/>
  </hyperlinks>
  <pageMargins left="0.75" right="0.75" top="1" bottom="1" header="0.5" footer="0.5"/>
  <pageSetup paperSize="9" orientation="portrait" horizontalDpi="300" r:id="rId6"/>
  <headerFooter alignWithMargins="0">
    <oddHeader>&amp;A</oddHeader>
    <oddFooter>Page &amp;P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CaF2(s)</vt:lpstr>
    </vt:vector>
  </TitlesOfParts>
  <Company>Paul Scherrer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Hummel</dc:creator>
  <cp:lastModifiedBy>Josep Bonet</cp:lastModifiedBy>
  <cp:lastPrinted>2001-11-28T13:26:59Z</cp:lastPrinted>
  <dcterms:created xsi:type="dcterms:W3CDTF">2001-11-28T13:43:01Z</dcterms:created>
  <dcterms:modified xsi:type="dcterms:W3CDTF">2023-12-16T15:34:49Z</dcterms:modified>
</cp:coreProperties>
</file>