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ECEA9E7D-EDFD-4F95-9D7A-A3CC6E92C5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CO3" sheetId="1" r:id="rId1"/>
    <sheet name="CaHCO3+" sheetId="2" r:id="rId2"/>
  </sheets>
  <definedNames>
    <definedName name="_Regression_Out" hidden="1">CaCO3!$B$100:$B$100</definedName>
    <definedName name="_Regression_X" hidden="1">CaCO3!$E$95:$E$97</definedName>
    <definedName name="_Regression_Y" hidden="1">CaCO3!$G$95:$G$97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3" i="1" s="1"/>
  <c r="B27" i="1"/>
  <c r="E27" i="1"/>
  <c r="S27" i="1"/>
  <c r="B28" i="1"/>
  <c r="C28" i="1"/>
  <c r="E28" i="1"/>
  <c r="F28" i="1"/>
  <c r="S28" i="1"/>
  <c r="Z28" i="1" s="1"/>
  <c r="B29" i="1"/>
  <c r="C29" i="1" s="1"/>
  <c r="E29" i="1"/>
  <c r="F29" i="1"/>
  <c r="S29" i="1"/>
  <c r="B30" i="1"/>
  <c r="C30" i="1" s="1"/>
  <c r="E30" i="1"/>
  <c r="F30" i="1"/>
  <c r="S30" i="1"/>
  <c r="B31" i="1"/>
  <c r="C31" i="1" s="1"/>
  <c r="E31" i="1"/>
  <c r="F31" i="1"/>
  <c r="S31" i="1"/>
  <c r="B32" i="1"/>
  <c r="C32" i="1"/>
  <c r="G32" i="1"/>
  <c r="S32" i="1"/>
  <c r="Z32" i="1" s="1"/>
  <c r="B33" i="1"/>
  <c r="C33" i="1" s="1"/>
  <c r="G33" i="1"/>
  <c r="B34" i="1"/>
  <c r="G34" i="1"/>
  <c r="C53" i="1"/>
  <c r="C54" i="1"/>
  <c r="C55" i="1"/>
  <c r="B20" i="2"/>
  <c r="B22" i="2" s="1"/>
  <c r="B27" i="2"/>
  <c r="C27" i="2"/>
  <c r="E27" i="2"/>
  <c r="R27" i="2"/>
  <c r="B28" i="2"/>
  <c r="C28" i="2"/>
  <c r="E28" i="2"/>
  <c r="R28" i="2"/>
  <c r="B29" i="2"/>
  <c r="C29" i="2"/>
  <c r="E29" i="2"/>
  <c r="R29" i="2"/>
  <c r="B30" i="2"/>
  <c r="C30" i="2"/>
  <c r="E30" i="2"/>
  <c r="R30" i="2"/>
  <c r="B31" i="2"/>
  <c r="C31" i="2" s="1"/>
  <c r="E31" i="2"/>
  <c r="R31" i="2"/>
  <c r="B32" i="2"/>
  <c r="O32" i="2" s="1"/>
  <c r="C32" i="2"/>
  <c r="E32" i="2"/>
  <c r="R32" i="2"/>
  <c r="B33" i="2"/>
  <c r="C33" i="2" s="1"/>
  <c r="E33" i="2"/>
  <c r="R33" i="2"/>
  <c r="U33" i="2" s="1"/>
  <c r="B34" i="2"/>
  <c r="C34" i="2"/>
  <c r="E34" i="2"/>
  <c r="R34" i="2"/>
  <c r="U29" i="1" l="1"/>
  <c r="B22" i="1"/>
  <c r="O32" i="1" s="1"/>
  <c r="U31" i="1"/>
  <c r="C34" i="1"/>
  <c r="U27" i="1"/>
  <c r="T28" i="1"/>
  <c r="P33" i="1"/>
  <c r="C27" i="1"/>
  <c r="Z29" i="1"/>
  <c r="O34" i="2"/>
  <c r="O30" i="2"/>
  <c r="O29" i="2"/>
  <c r="O27" i="2"/>
  <c r="Z34" i="2"/>
  <c r="S34" i="2"/>
  <c r="T34" i="2"/>
  <c r="U34" i="2"/>
  <c r="P28" i="2"/>
  <c r="P33" i="2"/>
  <c r="T31" i="2"/>
  <c r="P32" i="2"/>
  <c r="P27" i="2"/>
  <c r="T28" i="2"/>
  <c r="P29" i="2"/>
  <c r="P30" i="2"/>
  <c r="U31" i="2"/>
  <c r="T33" i="2"/>
  <c r="P34" i="2"/>
  <c r="O28" i="2"/>
  <c r="U28" i="2"/>
  <c r="P31" i="2"/>
  <c r="T32" i="2"/>
  <c r="O33" i="2"/>
  <c r="O33" i="1"/>
  <c r="Z30" i="1"/>
  <c r="P31" i="1"/>
  <c r="P30" i="1"/>
  <c r="P27" i="1"/>
  <c r="Z27" i="1"/>
  <c r="Z31" i="1"/>
  <c r="Z30" i="2"/>
  <c r="S30" i="2"/>
  <c r="Z29" i="2"/>
  <c r="S29" i="2"/>
  <c r="Z27" i="2"/>
  <c r="S27" i="2"/>
  <c r="Z32" i="2"/>
  <c r="S32" i="2"/>
  <c r="O31" i="2"/>
  <c r="Z33" i="2"/>
  <c r="S33" i="2"/>
  <c r="U30" i="2"/>
  <c r="U29" i="2"/>
  <c r="Z28" i="2"/>
  <c r="S28" i="2"/>
  <c r="B23" i="2"/>
  <c r="Z31" i="2"/>
  <c r="S31" i="2"/>
  <c r="T30" i="2"/>
  <c r="T29" i="2"/>
  <c r="P32" i="1"/>
  <c r="O31" i="1"/>
  <c r="U28" i="1"/>
  <c r="U27" i="2"/>
  <c r="U32" i="2"/>
  <c r="T27" i="2"/>
  <c r="T29" i="1" l="1"/>
  <c r="T31" i="1"/>
  <c r="O29" i="1"/>
  <c r="P34" i="1"/>
  <c r="T27" i="1"/>
  <c r="P28" i="1"/>
  <c r="T30" i="1"/>
  <c r="O34" i="1"/>
  <c r="O30" i="1"/>
  <c r="P29" i="1"/>
  <c r="T32" i="1"/>
  <c r="U30" i="1"/>
  <c r="U32" i="1"/>
  <c r="O28" i="1"/>
  <c r="O27" i="1"/>
  <c r="B39" i="1" a="1"/>
  <c r="D39" i="1" s="1"/>
  <c r="D43" i="1"/>
  <c r="C39" i="1"/>
  <c r="B39" i="1"/>
  <c r="C39" i="2" a="1"/>
  <c r="D42" i="1" l="1"/>
  <c r="C43" i="1"/>
  <c r="B43" i="1"/>
  <c r="C42" i="1"/>
  <c r="C41" i="1"/>
  <c r="B42" i="1"/>
  <c r="D41" i="1"/>
  <c r="B41" i="1"/>
  <c r="B40" i="1"/>
  <c r="B45" i="1" s="1"/>
  <c r="D40" i="1"/>
  <c r="D45" i="1" s="1"/>
  <c r="C40" i="1"/>
  <c r="C45" i="1" s="1"/>
  <c r="C41" i="2"/>
  <c r="C43" i="2"/>
  <c r="D39" i="2"/>
  <c r="D41" i="2"/>
  <c r="D43" i="2"/>
  <c r="C40" i="2"/>
  <c r="C45" i="2" s="1"/>
  <c r="C42" i="2"/>
  <c r="D42" i="2"/>
  <c r="C39" i="2"/>
  <c r="D40" i="2"/>
  <c r="D45" i="2" s="1"/>
  <c r="V32" i="1"/>
  <c r="X27" i="1"/>
  <c r="X28" i="1"/>
  <c r="X29" i="1"/>
  <c r="X30" i="1"/>
  <c r="X31" i="1"/>
  <c r="V27" i="1"/>
  <c r="V28" i="1"/>
  <c r="V29" i="1"/>
  <c r="V30" i="1"/>
  <c r="V31" i="1"/>
  <c r="W32" i="1"/>
  <c r="W27" i="1"/>
  <c r="W28" i="1"/>
  <c r="W29" i="1"/>
  <c r="W30" i="1"/>
  <c r="W31" i="1"/>
  <c r="X32" i="1"/>
  <c r="W28" i="2" l="1"/>
  <c r="W31" i="2"/>
  <c r="W33" i="2"/>
  <c r="X28" i="2"/>
  <c r="X33" i="2"/>
  <c r="W30" i="2"/>
  <c r="V34" i="2"/>
  <c r="V31" i="2"/>
  <c r="X32" i="2"/>
  <c r="X30" i="2"/>
  <c r="X34" i="2"/>
  <c r="V33" i="2"/>
  <c r="W32" i="2"/>
  <c r="X29" i="2"/>
  <c r="W29" i="2"/>
  <c r="V30" i="2"/>
  <c r="X31" i="2"/>
  <c r="V27" i="2"/>
  <c r="V28" i="2"/>
  <c r="X27" i="2"/>
  <c r="V29" i="2"/>
  <c r="W27" i="2"/>
  <c r="V32" i="2"/>
  <c r="W34" i="2"/>
</calcChain>
</file>

<file path=xl/sharedStrings.xml><?xml version="1.0" encoding="utf-8"?>
<sst xmlns="http://schemas.openxmlformats.org/spreadsheetml/2006/main" count="103" uniqueCount="45">
  <si>
    <r>
      <t>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2-</t>
    </r>
    <r>
      <rPr>
        <b/>
        <sz val="10"/>
        <rFont val="Arial"/>
        <family val="2"/>
      </rPr>
      <t xml:space="preserve"> = CaCO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(aq)</t>
    </r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</si>
  <si>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</si>
  <si>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</si>
  <si>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</si>
  <si>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</si>
  <si>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</si>
  <si>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</si>
  <si>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</si>
  <si>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</si>
  <si>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</si>
  <si>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</si>
  <si>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</si>
  <si>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</si>
  <si>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</si>
  <si>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</si>
  <si>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</si>
  <si>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</si>
  <si>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t>Cl-apatite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</si>
  <si>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</si>
  <si>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</si>
  <si>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</si>
  <si>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</si>
  <si>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</si>
  <si>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</si>
  <si>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</si>
  <si>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</si>
  <si>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</si>
  <si>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</si>
  <si>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</si>
  <si>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</si>
  <si>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</si>
  <si>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t>Larson et al. (1976)</t>
  </si>
  <si>
    <r>
      <t>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HCO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 xml:space="preserve"> = CaHCO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+</t>
    </r>
  </si>
  <si>
    <t>Hummel W. &amp; Thoenen T. (2023): The PSI Chemical Thermodynamic Database 2020 (TDB 2020), Nagra Technical Report NTB 21-03</t>
  </si>
  <si>
    <t>Least squares regression analysis of experimental data using the three-term temperature equation as described in NTB 21-03 Chapter 1.6.2 Constant heat capacity of reaction</t>
  </si>
  <si>
    <t>References</t>
  </si>
  <si>
    <t>Chapter 4.2.6.1 Calcium(II) carbonate complexes</t>
  </si>
  <si>
    <r>
      <t>1)  Ca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(aq)</t>
    </r>
  </si>
  <si>
    <r>
      <t>2) Ca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CaHCO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+</t>
    </r>
  </si>
  <si>
    <t>Larson, T.E., Sollo, F.W., Jr. &amp; McGurk, F.F. (1976): Complexes affecting the solubility of calcium carbonate in water – Phase II. UILU-WRC-76-0108.</t>
  </si>
  <si>
    <t>1976LAR/SOL</t>
  </si>
  <si>
    <r>
      <t>Plummer, L.N. &amp; Busenberg, E. (1982): The solubilities of calcite, aragonite and vaterite in CO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-H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 solutions between 0 and 90°C, and an evaluation of the aqueous model for the system 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-CO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-H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O. Geochim. Cosmochim. Acta, 46, 1011–1040.</t>
    </r>
  </si>
  <si>
    <t>1982PLU/BUS</t>
  </si>
  <si>
    <t>Least squares regression analysis of experimental data using the two-term integrated van't Hoff equation as described in NTB 21-03 Chapter 1.6.3 Constant enthalpy of reaction</t>
  </si>
  <si>
    <t>doi:10.1016/0016-7037(82)90056-4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</si>
</sst>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Symbol"/>
      <family val="1"/>
      <charset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4" fillId="0" borderId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0" fontId="5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2" applyFont="1" applyAlignment="1">
      <alignment horizontal="right"/>
    </xf>
    <xf numFmtId="0" fontId="3" fillId="0" borderId="0" xfId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right"/>
    </xf>
    <xf numFmtId="0" fontId="6" fillId="0" borderId="0" xfId="2" applyFont="1"/>
    <xf numFmtId="165" fontId="4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3"/>
  </cellXfs>
  <cellStyles count="4">
    <cellStyle name="Enllaç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6656394453005"/>
          <c:y val="3.7694013303769404E-2"/>
          <c:w val="0.84283513097072416"/>
          <c:h val="0.82483370288248337"/>
        </c:manualLayout>
      </c:layout>
      <c:scatterChart>
        <c:scatterStyle val="smoothMarker"/>
        <c:varyColors val="0"/>
        <c:ser>
          <c:idx val="0"/>
          <c:order val="0"/>
          <c:tx>
            <c:v>Plummer &amp; Busenberg (1982)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CaCO3!$F$27:$F$32</c:f>
                <c:numCache>
                  <c:formatCode>General</c:formatCode>
                  <c:ptCount val="6"/>
                  <c:pt idx="0">
                    <c:v>0.08</c:v>
                  </c:pt>
                  <c:pt idx="1">
                    <c:v>0.14000000000000001</c:v>
                  </c:pt>
                  <c:pt idx="2">
                    <c:v>0.22</c:v>
                  </c:pt>
                  <c:pt idx="3">
                    <c:v>0.32</c:v>
                  </c:pt>
                  <c:pt idx="4">
                    <c:v>0.36</c:v>
                  </c:pt>
                </c:numCache>
              </c:numRef>
            </c:plus>
            <c:minus>
              <c:numRef>
                <c:f>CaCO3!$F$27:$F$32</c:f>
                <c:numCache>
                  <c:formatCode>General</c:formatCode>
                  <c:ptCount val="6"/>
                  <c:pt idx="0">
                    <c:v>0.08</c:v>
                  </c:pt>
                  <c:pt idx="1">
                    <c:v>0.14000000000000001</c:v>
                  </c:pt>
                  <c:pt idx="2">
                    <c:v>0.22</c:v>
                  </c:pt>
                  <c:pt idx="3">
                    <c:v>0.32</c:v>
                  </c:pt>
                  <c:pt idx="4">
                    <c:v>0.36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CaCO3!$A$27:$A$32</c:f>
              <c:numCache>
                <c:formatCode>General</c:formatCode>
                <c:ptCount val="6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</c:numCache>
            </c:numRef>
          </c:xVal>
          <c:yVal>
            <c:numRef>
              <c:f>CaCO3!$E$27:$E$32</c:f>
              <c:numCache>
                <c:formatCode>0.00</c:formatCode>
                <c:ptCount val="6"/>
                <c:pt idx="0">
                  <c:v>3.13</c:v>
                </c:pt>
                <c:pt idx="1">
                  <c:v>3.2</c:v>
                </c:pt>
                <c:pt idx="2">
                  <c:v>3.42</c:v>
                </c:pt>
                <c:pt idx="3">
                  <c:v>3.63</c:v>
                </c:pt>
                <c:pt idx="4">
                  <c:v>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F-4139-9C5C-F8527864184E}"/>
            </c:ext>
          </c:extLst>
        </c:ser>
        <c:ser>
          <c:idx val="1"/>
          <c:order val="1"/>
          <c:tx>
            <c:v>Larson et al. (1976)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CaCO3!$H$27:$H$34</c:f>
                <c:numCache>
                  <c:formatCode>General</c:formatCode>
                  <c:ptCount val="8"/>
                  <c:pt idx="5">
                    <c:v>0.1</c:v>
                  </c:pt>
                  <c:pt idx="6">
                    <c:v>0.1</c:v>
                  </c:pt>
                  <c:pt idx="7">
                    <c:v>0.1</c:v>
                  </c:pt>
                </c:numCache>
              </c:numRef>
            </c:plus>
            <c:minus>
              <c:numRef>
                <c:f>CaCO3!$H$27:$H$34</c:f>
                <c:numCache>
                  <c:formatCode>General</c:formatCode>
                  <c:ptCount val="8"/>
                  <c:pt idx="5">
                    <c:v>0.1</c:v>
                  </c:pt>
                  <c:pt idx="6">
                    <c:v>0.1</c:v>
                  </c:pt>
                  <c:pt idx="7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CaCO3!$A$27:$A$34</c:f>
              <c:numCache>
                <c:formatCode>General</c:formatCode>
                <c:ptCount val="8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  <c:pt idx="6">
                  <c:v>15</c:v>
                </c:pt>
                <c:pt idx="7">
                  <c:v>25</c:v>
                </c:pt>
              </c:numCache>
            </c:numRef>
          </c:xVal>
          <c:yVal>
            <c:numRef>
              <c:f>CaCO3!$G$27:$G$34</c:f>
              <c:numCache>
                <c:formatCode>General</c:formatCode>
                <c:ptCount val="8"/>
                <c:pt idx="5" formatCode="0.000">
                  <c:v>3.1269999999999998</c:v>
                </c:pt>
                <c:pt idx="6" formatCode="0.000">
                  <c:v>3.1469999999999998</c:v>
                </c:pt>
                <c:pt idx="7" formatCode="0.000">
                  <c:v>3.2229999999999999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CF-4139-9C5C-F8527864184E}"/>
            </c:ext>
          </c:extLst>
        </c:ser>
        <c:ser>
          <c:idx val="3"/>
          <c:order val="2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CaCO3!$R$27:$R$34</c:f>
              <c:numCache>
                <c:formatCode>General</c:formatCode>
                <c:ptCount val="8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</c:numCache>
            </c:numRef>
          </c:xVal>
          <c:yVal>
            <c:numRef>
              <c:f>CaCO3!$V$27:$V$34</c:f>
              <c:numCache>
                <c:formatCode>0.000</c:formatCode>
                <c:ptCount val="8"/>
                <c:pt idx="0">
                  <c:v>3.1180808576866208</c:v>
                </c:pt>
                <c:pt idx="1">
                  <c:v>3.2333944599514579</c:v>
                </c:pt>
                <c:pt idx="2">
                  <c:v>3.3774144259970602</c:v>
                </c:pt>
                <c:pt idx="3">
                  <c:v>3.6272459362653735</c:v>
                </c:pt>
                <c:pt idx="4">
                  <c:v>3.9282316805367148</c:v>
                </c:pt>
                <c:pt idx="5">
                  <c:v>4.0099350934511087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CF-4139-9C5C-F8527864184E}"/>
            </c:ext>
          </c:extLst>
        </c:ser>
        <c:ser>
          <c:idx val="4"/>
          <c:order val="3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CaCO3!$R$27:$R$34</c:f>
              <c:numCache>
                <c:formatCode>General</c:formatCode>
                <c:ptCount val="8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</c:numCache>
            </c:numRef>
          </c:xVal>
          <c:yVal>
            <c:numRef>
              <c:f>CaCO3!$W$27:$W$34</c:f>
              <c:numCache>
                <c:formatCode>0.000</c:formatCode>
                <c:ptCount val="8"/>
                <c:pt idx="0">
                  <c:v>3.2691629422281325</c:v>
                </c:pt>
                <c:pt idx="1">
                  <c:v>3.373394459951458</c:v>
                </c:pt>
                <c:pt idx="2">
                  <c:v>3.5439243186515066</c:v>
                </c:pt>
                <c:pt idx="3">
                  <c:v>3.8480607359754608</c:v>
                </c:pt>
                <c:pt idx="4">
                  <c:v>4.2203005315597073</c:v>
                </c:pt>
                <c:pt idx="5">
                  <c:v>4.3219784524731732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CF-4139-9C5C-F8527864184E}"/>
            </c:ext>
          </c:extLst>
        </c:ser>
        <c:ser>
          <c:idx val="5"/>
          <c:order val="4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CaCO3!$R$27:$R$34</c:f>
              <c:numCache>
                <c:formatCode>General</c:formatCode>
                <c:ptCount val="8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</c:numCache>
            </c:numRef>
          </c:xVal>
          <c:yVal>
            <c:numRef>
              <c:f>CaCO3!$X$27:$X$34</c:f>
              <c:numCache>
                <c:formatCode>0.000</c:formatCode>
                <c:ptCount val="8"/>
                <c:pt idx="0">
                  <c:v>2.9669987731451086</c:v>
                </c:pt>
                <c:pt idx="1">
                  <c:v>3.0933944599514578</c:v>
                </c:pt>
                <c:pt idx="2">
                  <c:v>3.2109045333426138</c:v>
                </c:pt>
                <c:pt idx="3">
                  <c:v>3.4064311365552862</c:v>
                </c:pt>
                <c:pt idx="4">
                  <c:v>3.6361628295137223</c:v>
                </c:pt>
                <c:pt idx="5">
                  <c:v>3.6978917344290436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CF-4139-9C5C-F8527864184E}"/>
            </c:ext>
          </c:extLst>
        </c:ser>
        <c:ser>
          <c:idx val="8"/>
          <c:order val="5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CaCO3!$R$27:$R$32</c:f>
              <c:numCache>
                <c:formatCode>General</c:formatCode>
                <c:ptCount val="6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</c:numCache>
            </c:numRef>
          </c:xVal>
          <c:yVal>
            <c:numRef>
              <c:f>CaCO3!$Z$27:$Z$32</c:f>
              <c:numCache>
                <c:formatCode>General</c:formatCode>
                <c:ptCount val="6"/>
                <c:pt idx="0">
                  <c:v>3.1224560057237341</c:v>
                </c:pt>
                <c:pt idx="1">
                  <c:v>3.2191419843179574</c:v>
                </c:pt>
                <c:pt idx="2">
                  <c:v>3.3784849206260787</c:v>
                </c:pt>
                <c:pt idx="3">
                  <c:v>3.6438953122360545</c:v>
                </c:pt>
                <c:pt idx="4">
                  <c:v>3.9186636074132366</c:v>
                </c:pt>
                <c:pt idx="5">
                  <c:v>3.9838316733937518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6CF-4139-9C5C-F85278641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69440"/>
        <c:axId val="142275712"/>
      </c:scatterChart>
      <c:valAx>
        <c:axId val="14226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1001540832049308"/>
              <c:y val="0.92091648189209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2275712"/>
        <c:crossesAt val="0"/>
        <c:crossBetween val="midCat"/>
      </c:valAx>
      <c:valAx>
        <c:axId val="142275712"/>
        <c:scaling>
          <c:orientation val="minMax"/>
          <c:max val="4.5"/>
          <c:min val="2.7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7.7041602465331279E-3"/>
              <c:y val="0.401330376940133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2269440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326567422523648"/>
          <c:y val="7.317631859210505E-2"/>
          <c:w val="0.43934354892849486"/>
          <c:h val="0.11677008223196046"/>
        </c:manualLayout>
      </c:layout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4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62360244018732"/>
          <c:y val="2.843601895734597E-2"/>
          <c:w val="0.83130141839231042"/>
          <c:h val="0.8444216114176396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CaCO3!$C$27:$C$32</c:f>
              <c:numCache>
                <c:formatCode>General</c:formatCode>
                <c:ptCount val="6"/>
                <c:pt idx="0">
                  <c:v>3.5887313834559488E-3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3.0016509079993999E-3</c:v>
                </c:pt>
                <c:pt idx="4">
                  <c:v>2.831657935721365E-3</c:v>
                </c:pt>
                <c:pt idx="5">
                  <c:v>3.5951824555096176E-3</c:v>
                </c:pt>
              </c:numCache>
            </c:numRef>
          </c:xVal>
          <c:yVal>
            <c:numRef>
              <c:f>CaCO3!$E$27:$E$32</c:f>
              <c:numCache>
                <c:formatCode>0.00</c:formatCode>
                <c:ptCount val="6"/>
                <c:pt idx="0">
                  <c:v>3.13</c:v>
                </c:pt>
                <c:pt idx="1">
                  <c:v>3.2</c:v>
                </c:pt>
                <c:pt idx="2">
                  <c:v>3.42</c:v>
                </c:pt>
                <c:pt idx="3">
                  <c:v>3.63</c:v>
                </c:pt>
                <c:pt idx="4">
                  <c:v>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3-4F30-8658-99EDEC77FA9F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CaCO3!$C$27:$C$34</c:f>
              <c:numCache>
                <c:formatCode>General</c:formatCode>
                <c:ptCount val="8"/>
                <c:pt idx="0">
                  <c:v>3.5887313834559488E-3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3.0016509079993999E-3</c:v>
                </c:pt>
                <c:pt idx="4">
                  <c:v>2.831657935721365E-3</c:v>
                </c:pt>
                <c:pt idx="5">
                  <c:v>3.5951824555096176E-3</c:v>
                </c:pt>
                <c:pt idx="6">
                  <c:v>3.4704147145583901E-3</c:v>
                </c:pt>
                <c:pt idx="7">
                  <c:v>3.3540164346805303E-3</c:v>
                </c:pt>
              </c:numCache>
            </c:numRef>
          </c:xVal>
          <c:yVal>
            <c:numRef>
              <c:f>CaCO3!$G$27:$G$34</c:f>
              <c:numCache>
                <c:formatCode>General</c:formatCode>
                <c:ptCount val="8"/>
                <c:pt idx="5" formatCode="0.000">
                  <c:v>3.1269999999999998</c:v>
                </c:pt>
                <c:pt idx="6" formatCode="0.000">
                  <c:v>3.1469999999999998</c:v>
                </c:pt>
                <c:pt idx="7" formatCode="0.000">
                  <c:v>3.2229999999999999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3-4F30-8658-99EDEC77FA9F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CaCO3!$C$27:$C$32</c:f>
              <c:numCache>
                <c:formatCode>General</c:formatCode>
                <c:ptCount val="6"/>
                <c:pt idx="0">
                  <c:v>3.5887313834559488E-3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3.0016509079993999E-3</c:v>
                </c:pt>
                <c:pt idx="4">
                  <c:v>2.831657935721365E-3</c:v>
                </c:pt>
                <c:pt idx="5">
                  <c:v>3.5951824555096176E-3</c:v>
                </c:pt>
              </c:numCache>
            </c:numRef>
          </c:xVal>
          <c:yVal>
            <c:numRef>
              <c:f>CaCO3!$K$27:$K$32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3-4F30-8658-99EDEC77FA9F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CaCO3!$C$27:$C$32</c:f>
              <c:numCache>
                <c:formatCode>General</c:formatCode>
                <c:ptCount val="6"/>
                <c:pt idx="0">
                  <c:v>3.5887313834559488E-3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3.0016509079993999E-3</c:v>
                </c:pt>
                <c:pt idx="4">
                  <c:v>2.831657935721365E-3</c:v>
                </c:pt>
                <c:pt idx="5">
                  <c:v>3.5951824555096176E-3</c:v>
                </c:pt>
              </c:numCache>
            </c:numRef>
          </c:xVal>
          <c:yVal>
            <c:numRef>
              <c:f>CaCO3!$I$27:$I$32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3-4F30-8658-99EDEC77FA9F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CaCO3!$C$27:$C$33</c:f>
              <c:numCache>
                <c:formatCode>General</c:formatCode>
                <c:ptCount val="7"/>
                <c:pt idx="0">
                  <c:v>3.5887313834559488E-3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3.0016509079993999E-3</c:v>
                </c:pt>
                <c:pt idx="4">
                  <c:v>2.831657935721365E-3</c:v>
                </c:pt>
                <c:pt idx="5">
                  <c:v>3.5951824555096176E-3</c:v>
                </c:pt>
                <c:pt idx="6">
                  <c:v>3.4704147145583901E-3</c:v>
                </c:pt>
              </c:numCache>
            </c:numRef>
          </c:xVal>
          <c:yVal>
            <c:numRef>
              <c:f>CaCO3!$M$27:$M$33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33-4F30-8658-99EDEC77F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39072"/>
        <c:axId val="145540992"/>
      </c:scatterChart>
      <c:valAx>
        <c:axId val="145539072"/>
        <c:scaling>
          <c:orientation val="minMax"/>
          <c:max val="3.700000000000001E-3"/>
          <c:min val="2.5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5540992"/>
        <c:crosses val="autoZero"/>
        <c:crossBetween val="midCat"/>
      </c:valAx>
      <c:valAx>
        <c:axId val="145540992"/>
        <c:scaling>
          <c:orientation val="minMax"/>
          <c:max val="4"/>
          <c:min val="3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  <a:r>
                  <a:rPr lang="en-US" baseline="-25000"/>
                  <a:t>1</a:t>
                </a:r>
                <a:r>
                  <a:rPr lang="en-US"/>
                  <a:t>°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55390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56123535676251"/>
          <c:y val="3.5476718403547672E-2"/>
          <c:w val="0.85569755058572949"/>
          <c:h val="0.82705099778270508"/>
        </c:manualLayout>
      </c:layout>
      <c:scatterChart>
        <c:scatterStyle val="smoothMarker"/>
        <c:varyColors val="0"/>
        <c:ser>
          <c:idx val="0"/>
          <c:order val="0"/>
          <c:tx>
            <c:v>Majer &amp; Stulik (1982)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'CaHCO3+'!$F$27:$F$34</c:f>
                <c:numCache>
                  <c:formatCode>General</c:formatCode>
                  <c:ptCount val="8"/>
                  <c:pt idx="0">
                    <c:v>0.06</c:v>
                  </c:pt>
                  <c:pt idx="1">
                    <c:v>0.06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0.1</c:v>
                  </c:pt>
                  <c:pt idx="5">
                    <c:v>0.06</c:v>
                  </c:pt>
                  <c:pt idx="6">
                    <c:v>0.08</c:v>
                  </c:pt>
                  <c:pt idx="7">
                    <c:v>0.1</c:v>
                  </c:pt>
                </c:numCache>
              </c:numRef>
            </c:plus>
            <c:minus>
              <c:numRef>
                <c:f>'CaHCO3+'!$F$27:$F$34</c:f>
                <c:numCache>
                  <c:formatCode>General</c:formatCode>
                  <c:ptCount val="8"/>
                  <c:pt idx="0">
                    <c:v>0.06</c:v>
                  </c:pt>
                  <c:pt idx="1">
                    <c:v>0.06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0.1</c:v>
                  </c:pt>
                  <c:pt idx="5">
                    <c:v>0.06</c:v>
                  </c:pt>
                  <c:pt idx="6">
                    <c:v>0.08</c:v>
                  </c:pt>
                  <c:pt idx="7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'CaHCO3+'!$A$27:$A$34</c:f>
              <c:numCache>
                <c:formatCode>General</c:formatCode>
                <c:ptCount val="8"/>
                <c:pt idx="0">
                  <c:v>4.4000000000000004</c:v>
                </c:pt>
                <c:pt idx="1">
                  <c:v>15.1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65</c:v>
                </c:pt>
                <c:pt idx="6">
                  <c:v>80</c:v>
                </c:pt>
                <c:pt idx="7">
                  <c:v>90</c:v>
                </c:pt>
              </c:numCache>
            </c:numRef>
          </c:xVal>
          <c:yVal>
            <c:numRef>
              <c:f>'CaHCO3+'!$E$27:$E$34</c:f>
              <c:numCache>
                <c:formatCode>0.00</c:formatCode>
                <c:ptCount val="8"/>
                <c:pt idx="0">
                  <c:v>0.91</c:v>
                </c:pt>
                <c:pt idx="1">
                  <c:v>0.97</c:v>
                </c:pt>
                <c:pt idx="2">
                  <c:v>1.1399999999999999</c:v>
                </c:pt>
                <c:pt idx="3">
                  <c:v>1.17</c:v>
                </c:pt>
                <c:pt idx="4">
                  <c:v>1.21</c:v>
                </c:pt>
                <c:pt idx="5">
                  <c:v>1.21</c:v>
                </c:pt>
                <c:pt idx="6">
                  <c:v>1.27</c:v>
                </c:pt>
                <c:pt idx="7">
                  <c:v>1.35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8-4C02-85F5-2EC20BE34C83}"/>
            </c:ext>
          </c:extLst>
        </c:ser>
        <c:ser>
          <c:idx val="7"/>
          <c:order val="1"/>
          <c:tx>
            <c:v>Richardson &amp; Holland (1979)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CaCO3!$N$27:$N$33</c:f>
                <c:numCache>
                  <c:formatCode>General</c:formatCode>
                  <c:ptCount val="7"/>
                </c:numCache>
              </c:numRef>
            </c:plus>
            <c:minus>
              <c:numRef>
                <c:f>CaCO3!$N$27:$N$33</c:f>
                <c:numCache>
                  <c:formatCode>General</c:formatCode>
                  <c:ptCount val="7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CaCO3!$A$27:$A$33</c:f>
              <c:numCache>
                <c:formatCode>General</c:formatCode>
                <c:ptCount val="7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  <c:pt idx="6">
                  <c:v>15</c:v>
                </c:pt>
              </c:numCache>
            </c:numRef>
          </c:xVal>
          <c:yVal>
            <c:numRef>
              <c:f>CaCO3!$M$27:$M$33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C8-4C02-85F5-2EC20BE34C83}"/>
            </c:ext>
          </c:extLst>
        </c:ser>
        <c:ser>
          <c:idx val="1"/>
          <c:order val="2"/>
          <c:tx>
            <c:v>Bond &amp; Hefter (1971)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CaCO3!$H$27:$H$32</c:f>
                <c:numCache>
                  <c:formatCode>General</c:formatCode>
                  <c:ptCount val="6"/>
                  <c:pt idx="5">
                    <c:v>0.1</c:v>
                  </c:pt>
                </c:numCache>
              </c:numRef>
            </c:plus>
            <c:minus>
              <c:numRef>
                <c:f>CaCO3!$H$27:$H$32</c:f>
                <c:numCache>
                  <c:formatCode>General</c:formatCode>
                  <c:ptCount val="6"/>
                  <c:pt idx="5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CaCO3!$A$27:$A$32</c:f>
              <c:numCache>
                <c:formatCode>General</c:formatCode>
                <c:ptCount val="6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</c:numCache>
            </c:numRef>
          </c:xVal>
          <c:yVal>
            <c:numRef>
              <c:f>CaCO3!$G$27:$G$32</c:f>
              <c:numCache>
                <c:formatCode>General</c:formatCode>
                <c:ptCount val="6"/>
                <c:pt idx="5" formatCode="0.000">
                  <c:v>3.1269999999999998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C8-4C02-85F5-2EC20BE34C83}"/>
            </c:ext>
          </c:extLst>
        </c:ser>
        <c:ser>
          <c:idx val="6"/>
          <c:order val="3"/>
          <c:tx>
            <c:v>Elgquist (1970)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CaCO3!$A$27:$A$32</c:f>
              <c:numCache>
                <c:formatCode>General</c:formatCode>
                <c:ptCount val="6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</c:numCache>
            </c:numRef>
          </c:xVal>
          <c:yVal>
            <c:numRef>
              <c:f>CaCO3!$I$27:$I$32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C8-4C02-85F5-2EC20BE34C83}"/>
            </c:ext>
          </c:extLst>
        </c:ser>
        <c:ser>
          <c:idx val="2"/>
          <c:order val="4"/>
          <c:tx>
            <c:v>Tanner et al. (1968)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CaCO3!$L$27:$L$32</c:f>
                <c:numCache>
                  <c:formatCode>General</c:formatCode>
                  <c:ptCount val="6"/>
                </c:numCache>
              </c:numRef>
            </c:plus>
            <c:minus>
              <c:numRef>
                <c:f>CaCO3!$L$27:$L$32</c:f>
                <c:numCache>
                  <c:formatCode>General</c:formatCode>
                  <c:ptCount val="6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CaCO3!$A$27:$A$32</c:f>
              <c:numCache>
                <c:formatCode>General</c:formatCode>
                <c:ptCount val="6"/>
                <c:pt idx="0">
                  <c:v>5.5</c:v>
                </c:pt>
                <c:pt idx="1">
                  <c:v>25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5</c:v>
                </c:pt>
              </c:numCache>
            </c:numRef>
          </c:xVal>
          <c:yVal>
            <c:numRef>
              <c:f>CaCO3!$K$27:$K$32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C8-4C02-85F5-2EC20BE34C83}"/>
            </c:ext>
          </c:extLst>
        </c:ser>
        <c:ser>
          <c:idx val="3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'CaHCO3+'!$Q$27:$Q$34</c:f>
              <c:numCache>
                <c:formatCode>General</c:formatCode>
                <c:ptCount val="8"/>
                <c:pt idx="0">
                  <c:v>2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65</c:v>
                </c:pt>
                <c:pt idx="6">
                  <c:v>80</c:v>
                </c:pt>
                <c:pt idx="7">
                  <c:v>95</c:v>
                </c:pt>
              </c:numCache>
            </c:numRef>
          </c:xVal>
          <c:yVal>
            <c:numRef>
              <c:f>'CaHCO3+'!$V$27:$V$34</c:f>
              <c:numCache>
                <c:formatCode>0.000</c:formatCode>
                <c:ptCount val="8"/>
                <c:pt idx="0">
                  <c:v>0.94196236840620573</c:v>
                </c:pt>
                <c:pt idx="1">
                  <c:v>1.0166839855576961</c:v>
                </c:pt>
                <c:pt idx="2">
                  <c:v>1.0697281501089224</c:v>
                </c:pt>
                <c:pt idx="3">
                  <c:v>1.1193295650543578</c:v>
                </c:pt>
                <c:pt idx="4">
                  <c:v>1.1658128649631476</c:v>
                </c:pt>
                <c:pt idx="5">
                  <c:v>1.2505316516962166</c:v>
                </c:pt>
                <c:pt idx="6">
                  <c:v>1.3077735078461372</c:v>
                </c:pt>
                <c:pt idx="7">
                  <c:v>1.3603508096445769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C8-4C02-85F5-2EC20BE34C83}"/>
            </c:ext>
          </c:extLst>
        </c:ser>
        <c:ser>
          <c:idx val="4"/>
          <c:order val="6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'CaHCO3+'!$Q$27:$Q$34</c:f>
              <c:numCache>
                <c:formatCode>General</c:formatCode>
                <c:ptCount val="8"/>
                <c:pt idx="0">
                  <c:v>2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65</c:v>
                </c:pt>
                <c:pt idx="6">
                  <c:v>80</c:v>
                </c:pt>
                <c:pt idx="7">
                  <c:v>95</c:v>
                </c:pt>
              </c:numCache>
            </c:numRef>
          </c:xVal>
          <c:yVal>
            <c:numRef>
              <c:f>'CaHCO3+'!$W$27:$W$34</c:f>
              <c:numCache>
                <c:formatCode>0.000</c:formatCode>
                <c:ptCount val="8"/>
                <c:pt idx="0">
                  <c:v>1.0485733324718356</c:v>
                </c:pt>
                <c:pt idx="1">
                  <c:v>1.1018836577734925</c:v>
                </c:pt>
                <c:pt idx="2">
                  <c:v>1.1397281501089225</c:v>
                </c:pt>
                <c:pt idx="3">
                  <c:v>1.2035427260116245</c:v>
                </c:pt>
                <c:pt idx="4">
                  <c:v>1.263345698840135</c:v>
                </c:pt>
                <c:pt idx="5">
                  <c:v>1.3723404412745903</c:v>
                </c:pt>
                <c:pt idx="6">
                  <c:v>1.4459848076320629</c:v>
                </c:pt>
                <c:pt idx="7">
                  <c:v>1.5136280032962741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C8-4C02-85F5-2EC20BE34C83}"/>
            </c:ext>
          </c:extLst>
        </c:ser>
        <c:ser>
          <c:idx val="5"/>
          <c:order val="7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'CaHCO3+'!$Q$27:$Q$34</c:f>
              <c:numCache>
                <c:formatCode>General</c:formatCode>
                <c:ptCount val="8"/>
                <c:pt idx="0">
                  <c:v>2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65</c:v>
                </c:pt>
                <c:pt idx="6">
                  <c:v>80</c:v>
                </c:pt>
                <c:pt idx="7">
                  <c:v>95</c:v>
                </c:pt>
              </c:numCache>
            </c:numRef>
          </c:xVal>
          <c:yVal>
            <c:numRef>
              <c:f>'CaHCO3+'!$X$27:$X$34</c:f>
              <c:numCache>
                <c:formatCode>0.000</c:formatCode>
                <c:ptCount val="8"/>
                <c:pt idx="0">
                  <c:v>0.83535140434057586</c:v>
                </c:pt>
                <c:pt idx="1">
                  <c:v>0.93148431334189952</c:v>
                </c:pt>
                <c:pt idx="2">
                  <c:v>0.99972815010892235</c:v>
                </c:pt>
                <c:pt idx="3">
                  <c:v>1.0351164040970908</c:v>
                </c:pt>
                <c:pt idx="4">
                  <c:v>1.0682800310861604</c:v>
                </c:pt>
                <c:pt idx="5">
                  <c:v>1.1287228621178429</c:v>
                </c:pt>
                <c:pt idx="6">
                  <c:v>1.1695622080602113</c:v>
                </c:pt>
                <c:pt idx="7">
                  <c:v>1.2070736159928797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0C8-4C02-85F5-2EC20BE34C83}"/>
            </c:ext>
          </c:extLst>
        </c:ser>
        <c:ser>
          <c:idx val="8"/>
          <c:order val="8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'CaHCO3+'!$Q$27:$Q$34</c:f>
              <c:numCache>
                <c:formatCode>General</c:formatCode>
                <c:ptCount val="8"/>
                <c:pt idx="0">
                  <c:v>2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65</c:v>
                </c:pt>
                <c:pt idx="6">
                  <c:v>80</c:v>
                </c:pt>
                <c:pt idx="7">
                  <c:v>95</c:v>
                </c:pt>
              </c:numCache>
            </c:numRef>
          </c:xVal>
          <c:yVal>
            <c:numRef>
              <c:f>'CaHCO3+'!$Z$27:$Z$34</c:f>
              <c:numCache>
                <c:formatCode>General</c:formatCode>
                <c:ptCount val="8"/>
                <c:pt idx="0">
                  <c:v>0.85402268438087958</c:v>
                </c:pt>
                <c:pt idx="1">
                  <c:v>1.0233959312331535</c:v>
                </c:pt>
                <c:pt idx="2">
                  <c:v>1.1056629833301486</c:v>
                </c:pt>
                <c:pt idx="3">
                  <c:v>1.159335893388743</c:v>
                </c:pt>
                <c:pt idx="4">
                  <c:v>1.1942284875237874</c:v>
                </c:pt>
                <c:pt idx="5">
                  <c:v>1.2390562197356303</c:v>
                </c:pt>
                <c:pt idx="6">
                  <c:v>1.2750245183956395</c:v>
                </c:pt>
                <c:pt idx="7">
                  <c:v>1.3306195407544692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0C8-4C02-85F5-2EC20BE34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15136"/>
        <c:axId val="146329600"/>
      </c:scatterChart>
      <c:valAx>
        <c:axId val="14631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4850905218317359"/>
              <c:y val="0.917960088691796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6329600"/>
        <c:crossesAt val="0"/>
        <c:crossBetween val="midCat"/>
      </c:valAx>
      <c:valAx>
        <c:axId val="146329600"/>
        <c:scaling>
          <c:orientation val="minMax"/>
          <c:max val="1.7"/>
          <c:min val="0.70000000000000007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K°</a:t>
                </a:r>
              </a:p>
            </c:rich>
          </c:tx>
          <c:layout>
            <c:manualLayout>
              <c:xMode val="edge"/>
              <c:yMode val="edge"/>
              <c:x val="3.7273695420660278E-3"/>
              <c:y val="0.399113082039911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6315136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10260981528252"/>
          <c:y val="2.843601895734597E-2"/>
          <c:w val="0.8176100628930818"/>
          <c:h val="0.8104265402843602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'CaHCO3+'!$F$27:$F$34</c:f>
                <c:numCache>
                  <c:formatCode>General</c:formatCode>
                  <c:ptCount val="8"/>
                  <c:pt idx="0">
                    <c:v>0.06</c:v>
                  </c:pt>
                  <c:pt idx="1">
                    <c:v>0.06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0.1</c:v>
                  </c:pt>
                  <c:pt idx="5">
                    <c:v>0.06</c:v>
                  </c:pt>
                  <c:pt idx="6">
                    <c:v>0.08</c:v>
                  </c:pt>
                  <c:pt idx="7">
                    <c:v>0.1</c:v>
                  </c:pt>
                </c:numCache>
              </c:numRef>
            </c:plus>
            <c:minus>
              <c:numRef>
                <c:f>'CaHCO3+'!$F$27:$F$34</c:f>
                <c:numCache>
                  <c:formatCode>General</c:formatCode>
                  <c:ptCount val="8"/>
                  <c:pt idx="0">
                    <c:v>0.06</c:v>
                  </c:pt>
                  <c:pt idx="1">
                    <c:v>0.06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0.1</c:v>
                  </c:pt>
                  <c:pt idx="5">
                    <c:v>0.06</c:v>
                  </c:pt>
                  <c:pt idx="6">
                    <c:v>0.08</c:v>
                  </c:pt>
                  <c:pt idx="7">
                    <c:v>0.1</c:v>
                  </c:pt>
                </c:numCache>
              </c:numRef>
            </c:minus>
          </c:errBars>
          <c:xVal>
            <c:numRef>
              <c:f>'CaHCO3+'!$C$27:$C$34</c:f>
              <c:numCache>
                <c:formatCode>General</c:formatCode>
                <c:ptCount val="8"/>
                <c:pt idx="0">
                  <c:v>3.6029544226265542E-3</c:v>
                </c:pt>
                <c:pt idx="1">
                  <c:v>3.469210754553339E-3</c:v>
                </c:pt>
                <c:pt idx="2">
                  <c:v>3.3540164346805303E-3</c:v>
                </c:pt>
                <c:pt idx="3">
                  <c:v>3.2451728054518907E-3</c:v>
                </c:pt>
                <c:pt idx="4">
                  <c:v>3.1431714600031434E-3</c:v>
                </c:pt>
                <c:pt idx="5">
                  <c:v>2.9572674848440043E-3</c:v>
                </c:pt>
                <c:pt idx="6">
                  <c:v>2.831657935721365E-3</c:v>
                </c:pt>
                <c:pt idx="7">
                  <c:v>2.7536830510808208E-3</c:v>
                </c:pt>
              </c:numCache>
            </c:numRef>
          </c:xVal>
          <c:yVal>
            <c:numRef>
              <c:f>'CaHCO3+'!$E$27:$E$34</c:f>
              <c:numCache>
                <c:formatCode>0.00</c:formatCode>
                <c:ptCount val="8"/>
                <c:pt idx="0">
                  <c:v>0.91</c:v>
                </c:pt>
                <c:pt idx="1">
                  <c:v>0.97</c:v>
                </c:pt>
                <c:pt idx="2">
                  <c:v>1.1399999999999999</c:v>
                </c:pt>
                <c:pt idx="3">
                  <c:v>1.17</c:v>
                </c:pt>
                <c:pt idx="4">
                  <c:v>1.21</c:v>
                </c:pt>
                <c:pt idx="5">
                  <c:v>1.21</c:v>
                </c:pt>
                <c:pt idx="6">
                  <c:v>1.27</c:v>
                </c:pt>
                <c:pt idx="7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1-48A5-BBB5-E0DA9949ECF4}"/>
            </c:ext>
          </c:extLst>
        </c:ser>
        <c:ser>
          <c:idx val="1"/>
          <c:order val="1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'CaHCO3+'!$S$27:$S$34</c:f>
              <c:numCache>
                <c:formatCode>General</c:formatCode>
                <c:ptCount val="8"/>
                <c:pt idx="0">
                  <c:v>3.6343812465927678E-3</c:v>
                </c:pt>
                <c:pt idx="1">
                  <c:v>3.4704147145583901E-3</c:v>
                </c:pt>
                <c:pt idx="2">
                  <c:v>3.3540164346805303E-3</c:v>
                </c:pt>
                <c:pt idx="3">
                  <c:v>3.2451728054518907E-3</c:v>
                </c:pt>
                <c:pt idx="4">
                  <c:v>3.1431714600031434E-3</c:v>
                </c:pt>
                <c:pt idx="5">
                  <c:v>2.9572674848440043E-3</c:v>
                </c:pt>
                <c:pt idx="6">
                  <c:v>2.831657935721365E-3</c:v>
                </c:pt>
                <c:pt idx="7">
                  <c:v>2.7162841233192994E-3</c:v>
                </c:pt>
              </c:numCache>
            </c:numRef>
          </c:xVal>
          <c:yVal>
            <c:numRef>
              <c:f>'CaHCO3+'!$Z$27:$Z$34</c:f>
              <c:numCache>
                <c:formatCode>General</c:formatCode>
                <c:ptCount val="8"/>
                <c:pt idx="0">
                  <c:v>0.85402268438087958</c:v>
                </c:pt>
                <c:pt idx="1">
                  <c:v>1.0233959312331535</c:v>
                </c:pt>
                <c:pt idx="2">
                  <c:v>1.1056629833301486</c:v>
                </c:pt>
                <c:pt idx="3">
                  <c:v>1.159335893388743</c:v>
                </c:pt>
                <c:pt idx="4">
                  <c:v>1.1942284875237874</c:v>
                </c:pt>
                <c:pt idx="5">
                  <c:v>1.2390562197356303</c:v>
                </c:pt>
                <c:pt idx="6">
                  <c:v>1.2750245183956395</c:v>
                </c:pt>
                <c:pt idx="7">
                  <c:v>1.3306195407544692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41-48A5-BBB5-E0DA9949ECF4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'CaHCO3+'!$S$27:$S$34</c:f>
              <c:numCache>
                <c:formatCode>General</c:formatCode>
                <c:ptCount val="8"/>
                <c:pt idx="0">
                  <c:v>3.6343812465927678E-3</c:v>
                </c:pt>
                <c:pt idx="1">
                  <c:v>3.4704147145583901E-3</c:v>
                </c:pt>
                <c:pt idx="2">
                  <c:v>3.3540164346805303E-3</c:v>
                </c:pt>
                <c:pt idx="3">
                  <c:v>3.2451728054518907E-3</c:v>
                </c:pt>
                <c:pt idx="4">
                  <c:v>3.1431714600031434E-3</c:v>
                </c:pt>
                <c:pt idx="5">
                  <c:v>2.9572674848440043E-3</c:v>
                </c:pt>
                <c:pt idx="6">
                  <c:v>2.831657935721365E-3</c:v>
                </c:pt>
                <c:pt idx="7">
                  <c:v>2.7162841233192994E-3</c:v>
                </c:pt>
              </c:numCache>
            </c:numRef>
          </c:xVal>
          <c:yVal>
            <c:numRef>
              <c:f>'CaHCO3+'!$V$27:$V$34</c:f>
              <c:numCache>
                <c:formatCode>0.000</c:formatCode>
                <c:ptCount val="8"/>
                <c:pt idx="0">
                  <c:v>0.94196236840620573</c:v>
                </c:pt>
                <c:pt idx="1">
                  <c:v>1.0166839855576961</c:v>
                </c:pt>
                <c:pt idx="2">
                  <c:v>1.0697281501089224</c:v>
                </c:pt>
                <c:pt idx="3">
                  <c:v>1.1193295650543578</c:v>
                </c:pt>
                <c:pt idx="4">
                  <c:v>1.1658128649631476</c:v>
                </c:pt>
                <c:pt idx="5">
                  <c:v>1.2505316516962166</c:v>
                </c:pt>
                <c:pt idx="6">
                  <c:v>1.3077735078461372</c:v>
                </c:pt>
                <c:pt idx="7">
                  <c:v>1.3603508096445769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41-48A5-BBB5-E0DA9949ECF4}"/>
            </c:ext>
          </c:extLst>
        </c:ser>
        <c:ser>
          <c:idx val="3"/>
          <c:order val="3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'CaHCO3+'!$S$27:$S$34</c:f>
              <c:numCache>
                <c:formatCode>General</c:formatCode>
                <c:ptCount val="8"/>
                <c:pt idx="0">
                  <c:v>3.6343812465927678E-3</c:v>
                </c:pt>
                <c:pt idx="1">
                  <c:v>3.4704147145583901E-3</c:v>
                </c:pt>
                <c:pt idx="2">
                  <c:v>3.3540164346805303E-3</c:v>
                </c:pt>
                <c:pt idx="3">
                  <c:v>3.2451728054518907E-3</c:v>
                </c:pt>
                <c:pt idx="4">
                  <c:v>3.1431714600031434E-3</c:v>
                </c:pt>
                <c:pt idx="5">
                  <c:v>2.9572674848440043E-3</c:v>
                </c:pt>
                <c:pt idx="6">
                  <c:v>2.831657935721365E-3</c:v>
                </c:pt>
                <c:pt idx="7">
                  <c:v>2.7162841233192994E-3</c:v>
                </c:pt>
              </c:numCache>
            </c:numRef>
          </c:xVal>
          <c:yVal>
            <c:numRef>
              <c:f>'CaHCO3+'!$W$27:$W$34</c:f>
              <c:numCache>
                <c:formatCode>0.000</c:formatCode>
                <c:ptCount val="8"/>
                <c:pt idx="0">
                  <c:v>1.0485733324718356</c:v>
                </c:pt>
                <c:pt idx="1">
                  <c:v>1.1018836577734925</c:v>
                </c:pt>
                <c:pt idx="2">
                  <c:v>1.1397281501089225</c:v>
                </c:pt>
                <c:pt idx="3">
                  <c:v>1.2035427260116245</c:v>
                </c:pt>
                <c:pt idx="4">
                  <c:v>1.263345698840135</c:v>
                </c:pt>
                <c:pt idx="5">
                  <c:v>1.3723404412745903</c:v>
                </c:pt>
                <c:pt idx="6">
                  <c:v>1.4459848076320629</c:v>
                </c:pt>
                <c:pt idx="7">
                  <c:v>1.5136280032962741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41-48A5-BBB5-E0DA9949ECF4}"/>
            </c:ext>
          </c:extLst>
        </c:ser>
        <c:ser>
          <c:idx val="4"/>
          <c:order val="4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'CaHCO3+'!$S$27:$S$34</c:f>
              <c:numCache>
                <c:formatCode>General</c:formatCode>
                <c:ptCount val="8"/>
                <c:pt idx="0">
                  <c:v>3.6343812465927678E-3</c:v>
                </c:pt>
                <c:pt idx="1">
                  <c:v>3.4704147145583901E-3</c:v>
                </c:pt>
                <c:pt idx="2">
                  <c:v>3.3540164346805303E-3</c:v>
                </c:pt>
                <c:pt idx="3">
                  <c:v>3.2451728054518907E-3</c:v>
                </c:pt>
                <c:pt idx="4">
                  <c:v>3.1431714600031434E-3</c:v>
                </c:pt>
                <c:pt idx="5">
                  <c:v>2.9572674848440043E-3</c:v>
                </c:pt>
                <c:pt idx="6">
                  <c:v>2.831657935721365E-3</c:v>
                </c:pt>
                <c:pt idx="7">
                  <c:v>2.7162841233192994E-3</c:v>
                </c:pt>
              </c:numCache>
            </c:numRef>
          </c:xVal>
          <c:yVal>
            <c:numRef>
              <c:f>'CaHCO3+'!$X$27:$X$34</c:f>
              <c:numCache>
                <c:formatCode>0.000</c:formatCode>
                <c:ptCount val="8"/>
                <c:pt idx="0">
                  <c:v>0.83535140434057586</c:v>
                </c:pt>
                <c:pt idx="1">
                  <c:v>0.93148431334189952</c:v>
                </c:pt>
                <c:pt idx="2">
                  <c:v>0.99972815010892235</c:v>
                </c:pt>
                <c:pt idx="3">
                  <c:v>1.0351164040970908</c:v>
                </c:pt>
                <c:pt idx="4">
                  <c:v>1.0682800310861604</c:v>
                </c:pt>
                <c:pt idx="5">
                  <c:v>1.1287228621178429</c:v>
                </c:pt>
                <c:pt idx="6">
                  <c:v>1.1695622080602113</c:v>
                </c:pt>
                <c:pt idx="7">
                  <c:v>1.2070736159928797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41-48A5-BBB5-E0DA9949E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36352"/>
        <c:axId val="145650816"/>
      </c:scatterChart>
      <c:valAx>
        <c:axId val="145636352"/>
        <c:scaling>
          <c:orientation val="minMax"/>
          <c:max val="3.700000000000001E-3"/>
          <c:min val="2.7000000000000006E-3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layout>
            <c:manualLayout>
              <c:xMode val="edge"/>
              <c:yMode val="edge"/>
              <c:x val="0.47700400228702117"/>
              <c:y val="0.917598736176935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defRPr>
            </a:pPr>
            <a:endParaRPr lang="en-US"/>
          </a:p>
        </c:txPr>
        <c:crossAx val="145650816"/>
        <c:crosses val="autoZero"/>
        <c:crossBetween val="midCat"/>
      </c:valAx>
      <c:valAx>
        <c:axId val="145650816"/>
        <c:scaling>
          <c:orientation val="minMax"/>
          <c:max val="1.6"/>
          <c:min val="0.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4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1.120640365923385E-2"/>
              <c:y val="0.39153238546603475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defRPr>
            </a:pPr>
            <a:endParaRPr lang="en-US"/>
          </a:p>
        </c:txPr>
        <c:crossAx val="145636352"/>
        <c:crosses val="autoZero"/>
        <c:crossBetween val="midCat"/>
      </c:valAx>
      <c:spPr>
        <a:solidFill>
          <a:srgbClr val="FFFFFF"/>
        </a:solidFill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39</xdr:row>
      <xdr:rowOff>142875</xdr:rowOff>
    </xdr:from>
    <xdr:to>
      <xdr:col>16</xdr:col>
      <xdr:colOff>561975</xdr:colOff>
      <xdr:row>66</xdr:row>
      <xdr:rowOff>66675</xdr:rowOff>
    </xdr:to>
    <xdr:graphicFrame macro="">
      <xdr:nvGraphicFramePr>
        <xdr:cNvPr id="1223" name="Chart 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41</xdr:row>
      <xdr:rowOff>38100</xdr:rowOff>
    </xdr:from>
    <xdr:to>
      <xdr:col>26</xdr:col>
      <xdr:colOff>342900</xdr:colOff>
      <xdr:row>66</xdr:row>
      <xdr:rowOff>9525</xdr:rowOff>
    </xdr:to>
    <xdr:graphicFrame macro="">
      <xdr:nvGraphicFramePr>
        <xdr:cNvPr id="1224" name="Chart 2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39</xdr:row>
      <xdr:rowOff>142875</xdr:rowOff>
    </xdr:from>
    <xdr:to>
      <xdr:col>16</xdr:col>
      <xdr:colOff>561975</xdr:colOff>
      <xdr:row>66</xdr:row>
      <xdr:rowOff>66675</xdr:rowOff>
    </xdr:to>
    <xdr:graphicFrame macro="">
      <xdr:nvGraphicFramePr>
        <xdr:cNvPr id="2073" name="Chart 1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41</xdr:row>
      <xdr:rowOff>38100</xdr:rowOff>
    </xdr:from>
    <xdr:to>
      <xdr:col>26</xdr:col>
      <xdr:colOff>342900</xdr:colOff>
      <xdr:row>66</xdr:row>
      <xdr:rowOff>9525</xdr:rowOff>
    </xdr:to>
    <xdr:graphicFrame macro="">
      <xdr:nvGraphicFramePr>
        <xdr:cNvPr id="2074" name="Chart 2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0016-7037(82)90056-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workbookViewId="0">
      <selection activeCell="B12" sqref="B12"/>
    </sheetView>
  </sheetViews>
  <sheetFormatPr defaultColWidth="8.77734375" defaultRowHeight="13.2" x14ac:dyDescent="0.25"/>
  <cols>
    <col min="2" max="4" width="10.77734375" customWidth="1"/>
    <col min="13" max="13" width="12.44140625" customWidth="1"/>
    <col min="21" max="21" width="9.5546875" customWidth="1"/>
  </cols>
  <sheetData>
    <row r="1" spans="1:4" x14ac:dyDescent="0.25">
      <c r="A1" s="2" t="s">
        <v>33</v>
      </c>
    </row>
    <row r="3" spans="1:4" x14ac:dyDescent="0.25">
      <c r="A3" t="s">
        <v>36</v>
      </c>
    </row>
    <row r="6" spans="1:4" ht="16.8" x14ac:dyDescent="0.35">
      <c r="A6" s="2" t="s">
        <v>37</v>
      </c>
      <c r="D6" s="2" t="s">
        <v>34</v>
      </c>
    </row>
    <row r="7" spans="1:4" ht="16.8" x14ac:dyDescent="0.35">
      <c r="A7" s="2" t="s">
        <v>38</v>
      </c>
      <c r="D7" t="s">
        <v>43</v>
      </c>
    </row>
    <row r="8" spans="1:4" x14ac:dyDescent="0.25">
      <c r="A8" s="2"/>
    </row>
    <row r="10" spans="1:4" x14ac:dyDescent="0.25">
      <c r="A10" t="s">
        <v>35</v>
      </c>
    </row>
    <row r="11" spans="1:4" x14ac:dyDescent="0.25">
      <c r="A11" s="18" t="s">
        <v>40</v>
      </c>
      <c r="C11" t="s">
        <v>39</v>
      </c>
    </row>
    <row r="12" spans="1:4" ht="15.6" x14ac:dyDescent="0.35">
      <c r="A12" s="18" t="s">
        <v>42</v>
      </c>
      <c r="B12" s="20" t="s">
        <v>44</v>
      </c>
      <c r="C12" s="2" t="s">
        <v>41</v>
      </c>
    </row>
    <row r="16" spans="1:4" ht="16.8" x14ac:dyDescent="0.35">
      <c r="A16" s="1" t="s">
        <v>0</v>
      </c>
    </row>
    <row r="18" spans="1:26" ht="15.6" x14ac:dyDescent="0.25">
      <c r="A18" t="s">
        <v>1</v>
      </c>
      <c r="B18">
        <v>8.3145100000000007E-3</v>
      </c>
      <c r="C18" s="2" t="s">
        <v>2</v>
      </c>
    </row>
    <row r="19" spans="1:26" x14ac:dyDescent="0.25">
      <c r="A19" t="s">
        <v>3</v>
      </c>
      <c r="B19">
        <v>298.14999999999998</v>
      </c>
      <c r="C19" s="2" t="s">
        <v>4</v>
      </c>
    </row>
    <row r="20" spans="1:26" x14ac:dyDescent="0.25">
      <c r="A20" t="s">
        <v>5</v>
      </c>
      <c r="B20">
        <f>LN(10)</f>
        <v>2.3025850929940459</v>
      </c>
    </row>
    <row r="22" spans="1:26" x14ac:dyDescent="0.25">
      <c r="A22" s="2" t="s">
        <v>6</v>
      </c>
      <c r="B22">
        <f>B18*B20</f>
        <v>1.9144866781549925E-2</v>
      </c>
    </row>
    <row r="23" spans="1:26" x14ac:dyDescent="0.25">
      <c r="A23" t="s">
        <v>7</v>
      </c>
      <c r="B23">
        <f>B18*B19*B20</f>
        <v>5.7080420309191107</v>
      </c>
      <c r="E23" s="2"/>
      <c r="F23" s="2"/>
    </row>
    <row r="24" spans="1:26" x14ac:dyDescent="0.25">
      <c r="V24" s="4" t="s">
        <v>8</v>
      </c>
    </row>
    <row r="25" spans="1:26" ht="15.6" x14ac:dyDescent="0.35">
      <c r="A25" s="4" t="s">
        <v>3</v>
      </c>
      <c r="B25" s="4" t="s">
        <v>3</v>
      </c>
      <c r="C25" s="5" t="s">
        <v>9</v>
      </c>
      <c r="D25" s="4" t="s">
        <v>10</v>
      </c>
      <c r="E25" s="18" t="s">
        <v>42</v>
      </c>
      <c r="G25" s="18" t="s">
        <v>40</v>
      </c>
      <c r="O25" s="4" t="s">
        <v>11</v>
      </c>
      <c r="P25" s="4" t="s">
        <v>12</v>
      </c>
      <c r="R25" s="4" t="s">
        <v>3</v>
      </c>
      <c r="S25" s="4" t="s">
        <v>3</v>
      </c>
      <c r="T25" s="4" t="s">
        <v>11</v>
      </c>
      <c r="U25" s="4" t="s">
        <v>12</v>
      </c>
      <c r="V25" s="4" t="s">
        <v>10</v>
      </c>
      <c r="W25" s="6" t="s">
        <v>13</v>
      </c>
      <c r="X25" s="6" t="s">
        <v>14</v>
      </c>
      <c r="Z25" s="18" t="s">
        <v>42</v>
      </c>
    </row>
    <row r="26" spans="1:26" ht="13.8" x14ac:dyDescent="0.3">
      <c r="A26" s="4" t="s">
        <v>15</v>
      </c>
      <c r="B26" s="4" t="s">
        <v>16</v>
      </c>
      <c r="C26" s="4" t="s">
        <v>16</v>
      </c>
      <c r="F26" s="19" t="s">
        <v>30</v>
      </c>
      <c r="H26" s="19" t="s">
        <v>30</v>
      </c>
      <c r="R26" s="4" t="s">
        <v>15</v>
      </c>
      <c r="S26" s="4" t="s">
        <v>16</v>
      </c>
      <c r="V26" s="4" t="s">
        <v>17</v>
      </c>
    </row>
    <row r="27" spans="1:26" x14ac:dyDescent="0.25">
      <c r="A27">
        <v>5.5</v>
      </c>
      <c r="B27">
        <f>273.15+$A27</f>
        <v>278.64999999999998</v>
      </c>
      <c r="C27">
        <f>1/B27</f>
        <v>3.5887313834559488E-3</v>
      </c>
      <c r="D27" s="3">
        <v>3.13</v>
      </c>
      <c r="E27" s="3">
        <f t="shared" ref="E27:E31" si="0">D27</f>
        <v>3.13</v>
      </c>
      <c r="F27" s="16">
        <v>0.08</v>
      </c>
      <c r="O27">
        <f t="shared" ref="O27:O34" si="1">(1/$B$19-1/$B27)/$B$22</f>
        <v>-1.2259941604901389E-2</v>
      </c>
      <c r="P27">
        <f t="shared" ref="P27:P34" si="2">($B$19/$B27-1+LN($B27/$B$19))/$B$22</f>
        <v>0.1222291306867013</v>
      </c>
      <c r="R27">
        <v>5.5</v>
      </c>
      <c r="S27">
        <f t="shared" ref="S27:S32" si="3">273.15+$R27</f>
        <v>278.64999999999998</v>
      </c>
      <c r="T27">
        <f t="shared" ref="T27:T32" si="4">(1/$B$19-1/$S27)/$B$22</f>
        <v>-1.2259941604901389E-2</v>
      </c>
      <c r="U27">
        <f t="shared" ref="U27:U32" si="5">($B$19/$S27-1+LN($S27/$B$19))/$B$22</f>
        <v>0.1222291306867013</v>
      </c>
      <c r="V27" s="7">
        <f t="shared" ref="V27:V32" si="6">$D$39+$C$39*$T27+$B$39*$U27</f>
        <v>3.1180808576866208</v>
      </c>
      <c r="W27" s="7">
        <f>($D$39+$D$46+($C$39-$C$46)*$T27+($B$39-$B$46)*$U27)</f>
        <v>3.2691629422281325</v>
      </c>
      <c r="X27" s="7">
        <f>($D$39-$D$46+($C$39+$C$46)*$T27+($B$39+$B$46)*$U27)</f>
        <v>2.9669987731451086</v>
      </c>
      <c r="Z27">
        <f>-1228.732-0.299444*$S27+35512.75/$S27+485.816*LOG($S27)</f>
        <v>3.1224560057237341</v>
      </c>
    </row>
    <row r="28" spans="1:26" x14ac:dyDescent="0.25">
      <c r="A28">
        <v>25</v>
      </c>
      <c r="B28">
        <f t="shared" ref="B28:B34" si="7">273.15+$A28</f>
        <v>298.14999999999998</v>
      </c>
      <c r="C28">
        <f t="shared" ref="C28:C34" si="8">1/B28</f>
        <v>3.3540164346805303E-3</v>
      </c>
      <c r="D28" s="3">
        <v>3.2</v>
      </c>
      <c r="E28" s="3">
        <f t="shared" si="0"/>
        <v>3.2</v>
      </c>
      <c r="F28" s="3">
        <f>0.07*2</f>
        <v>0.14000000000000001</v>
      </c>
      <c r="O28">
        <f t="shared" si="1"/>
        <v>0</v>
      </c>
      <c r="P28">
        <f t="shared" si="2"/>
        <v>0</v>
      </c>
      <c r="R28">
        <v>25</v>
      </c>
      <c r="S28">
        <f t="shared" si="3"/>
        <v>298.14999999999998</v>
      </c>
      <c r="T28">
        <f t="shared" si="4"/>
        <v>0</v>
      </c>
      <c r="U28">
        <f t="shared" si="5"/>
        <v>0</v>
      </c>
      <c r="V28" s="7">
        <f t="shared" si="6"/>
        <v>3.2333944599514579</v>
      </c>
      <c r="W28" s="7">
        <f>($D$39+$D$46+($C$39+$C$46)*$T28+($B$39+$B$46)*$U28)</f>
        <v>3.373394459951458</v>
      </c>
      <c r="X28" s="7">
        <f>($D$39-$D$46+($C$39-$C$46)*$T28+($B$39-$B$46)*$U28)</f>
        <v>3.0933944599514578</v>
      </c>
      <c r="Z28">
        <f t="shared" ref="Z28:Z32" si="9">-1228.732-0.299444*$S28+35512.75/$S28+485.816*LOG($S28)</f>
        <v>3.2191419843179574</v>
      </c>
    </row>
    <row r="29" spans="1:26" x14ac:dyDescent="0.25">
      <c r="A29">
        <v>40</v>
      </c>
      <c r="B29">
        <f t="shared" si="7"/>
        <v>313.14999999999998</v>
      </c>
      <c r="C29">
        <f t="shared" si="8"/>
        <v>3.1933578157432542E-3</v>
      </c>
      <c r="D29" s="3">
        <v>3.42</v>
      </c>
      <c r="E29" s="3">
        <f t="shared" si="0"/>
        <v>3.42</v>
      </c>
      <c r="F29" s="3">
        <f>0.11*2</f>
        <v>0.22</v>
      </c>
      <c r="O29">
        <f t="shared" si="1"/>
        <v>8.3917334484721641E-3</v>
      </c>
      <c r="P29">
        <f t="shared" si="2"/>
        <v>6.1908300521596696E-2</v>
      </c>
      <c r="R29">
        <v>40</v>
      </c>
      <c r="S29">
        <f t="shared" si="3"/>
        <v>313.14999999999998</v>
      </c>
      <c r="T29">
        <f t="shared" si="4"/>
        <v>8.3917334484721641E-3</v>
      </c>
      <c r="U29">
        <f t="shared" si="5"/>
        <v>6.1908300521596696E-2</v>
      </c>
      <c r="V29" s="7">
        <f t="shared" si="6"/>
        <v>3.3774144259970602</v>
      </c>
      <c r="W29" s="7">
        <f>($D$39+$D$46+($C$39+$C$46)*$T29+($B$39+$B$46)*$U29)</f>
        <v>3.5439243186515066</v>
      </c>
      <c r="X29" s="7">
        <f>($D$39-$D$46+($C$39-$C$46)*$T29+($B$39-$B$46)*$U29)</f>
        <v>3.2109045333426138</v>
      </c>
      <c r="Z29">
        <f t="shared" si="9"/>
        <v>3.3784849206260787</v>
      </c>
    </row>
    <row r="30" spans="1:26" x14ac:dyDescent="0.25">
      <c r="A30">
        <v>60</v>
      </c>
      <c r="B30">
        <f t="shared" si="7"/>
        <v>333.15</v>
      </c>
      <c r="C30">
        <f t="shared" si="8"/>
        <v>3.0016509079993999E-3</v>
      </c>
      <c r="D30" s="3">
        <v>3.63</v>
      </c>
      <c r="E30" s="3">
        <f t="shared" si="0"/>
        <v>3.63</v>
      </c>
      <c r="F30" s="3">
        <f>0.16*2</f>
        <v>0.32</v>
      </c>
      <c r="O30">
        <f t="shared" si="1"/>
        <v>1.8405222177921246E-2</v>
      </c>
      <c r="P30">
        <f t="shared" si="2"/>
        <v>0.3101793147589279</v>
      </c>
      <c r="R30">
        <v>60</v>
      </c>
      <c r="S30">
        <f t="shared" si="3"/>
        <v>333.15</v>
      </c>
      <c r="T30">
        <f t="shared" si="4"/>
        <v>1.8405222177921246E-2</v>
      </c>
      <c r="U30">
        <f t="shared" si="5"/>
        <v>0.3101793147589279</v>
      </c>
      <c r="V30" s="7">
        <f t="shared" si="6"/>
        <v>3.6272459362653735</v>
      </c>
      <c r="W30" s="7">
        <f>($D$39+$D$46+($C$39+$C$46)*$T30+($B$39+$B$46)*$U30)</f>
        <v>3.8480607359754608</v>
      </c>
      <c r="X30" s="7">
        <f>($D$39-$D$46+($C$39-$C$46)*$T30+($B$39-$B$46)*$U30)</f>
        <v>3.4064311365552862</v>
      </c>
      <c r="Z30">
        <f t="shared" si="9"/>
        <v>3.6438953122360545</v>
      </c>
    </row>
    <row r="31" spans="1:26" x14ac:dyDescent="0.25">
      <c r="A31">
        <v>80</v>
      </c>
      <c r="B31">
        <f t="shared" si="7"/>
        <v>353.15</v>
      </c>
      <c r="C31">
        <f t="shared" si="8"/>
        <v>2.831657935721365E-3</v>
      </c>
      <c r="D31" s="3">
        <v>3.92</v>
      </c>
      <c r="E31" s="3">
        <f t="shared" si="0"/>
        <v>3.92</v>
      </c>
      <c r="F31" s="3">
        <f>0.18*2</f>
        <v>0.36</v>
      </c>
      <c r="O31">
        <f t="shared" si="1"/>
        <v>2.7284519914370298E-2</v>
      </c>
      <c r="P31">
        <f t="shared" si="2"/>
        <v>0.70802236316444289</v>
      </c>
      <c r="R31">
        <v>80</v>
      </c>
      <c r="S31">
        <f t="shared" si="3"/>
        <v>353.15</v>
      </c>
      <c r="T31">
        <f t="shared" si="4"/>
        <v>2.7284519914370298E-2</v>
      </c>
      <c r="U31">
        <f t="shared" si="5"/>
        <v>0.70802236316444289</v>
      </c>
      <c r="V31" s="7">
        <f t="shared" si="6"/>
        <v>3.9282316805367148</v>
      </c>
      <c r="W31" s="7">
        <f>($D$39+$D$46+($C$39+$C$46)*$T31+($B$39+$B$46)*$U31)</f>
        <v>4.2203005315597073</v>
      </c>
      <c r="X31" s="7">
        <f>($D$39-$D$46+($C$39-$C$46)*$T31+($B$39-$B$46)*$U31)</f>
        <v>3.6361628295137223</v>
      </c>
      <c r="Z31">
        <f t="shared" si="9"/>
        <v>3.9186636074132366</v>
      </c>
    </row>
    <row r="32" spans="1:26" x14ac:dyDescent="0.25">
      <c r="A32">
        <v>5</v>
      </c>
      <c r="B32">
        <f t="shared" si="7"/>
        <v>278.14999999999998</v>
      </c>
      <c r="C32">
        <f t="shared" si="8"/>
        <v>3.5951824555096176E-3</v>
      </c>
      <c r="D32" s="7">
        <v>3.1269999999999998</v>
      </c>
      <c r="G32" s="7">
        <f>D32</f>
        <v>3.1269999999999998</v>
      </c>
      <c r="H32">
        <v>0.1</v>
      </c>
      <c r="O32">
        <f t="shared" si="1"/>
        <v>-1.2596902531675022E-2</v>
      </c>
      <c r="P32">
        <f t="shared" si="2"/>
        <v>0.12888415942165576</v>
      </c>
      <c r="R32">
        <v>85</v>
      </c>
      <c r="S32">
        <f t="shared" si="3"/>
        <v>358.15</v>
      </c>
      <c r="T32">
        <f t="shared" si="4"/>
        <v>2.9349393599207643E-2</v>
      </c>
      <c r="U32">
        <f t="shared" si="5"/>
        <v>0.82672840849082851</v>
      </c>
      <c r="V32" s="7">
        <f t="shared" si="6"/>
        <v>4.0099350934511087</v>
      </c>
      <c r="W32" s="7">
        <f>($D$39+$D$46+($C$39+$C$46)*$T32+($B$39+$B$46)*$U32)</f>
        <v>4.3219784524731732</v>
      </c>
      <c r="X32" s="7">
        <f>($D$39-$D$46+($C$39-$C$46)*$T32+($B$39-$B$46)*$U32)</f>
        <v>3.6978917344290436</v>
      </c>
      <c r="Z32">
        <f t="shared" si="9"/>
        <v>3.9838316733937518</v>
      </c>
    </row>
    <row r="33" spans="1:16" x14ac:dyDescent="0.25">
      <c r="A33">
        <v>15</v>
      </c>
      <c r="B33">
        <f t="shared" si="7"/>
        <v>288.14999999999998</v>
      </c>
      <c r="C33">
        <f t="shared" si="8"/>
        <v>3.4704147145583901E-3</v>
      </c>
      <c r="D33" s="7">
        <v>3.1469999999999998</v>
      </c>
      <c r="G33" s="7">
        <f>D33</f>
        <v>3.1469999999999998</v>
      </c>
      <c r="H33">
        <v>0.1</v>
      </c>
      <c r="O33">
        <f t="shared" si="1"/>
        <v>-6.0798688863185945E-3</v>
      </c>
      <c r="P33">
        <f t="shared" si="2"/>
        <v>3.0745027680825151E-2</v>
      </c>
    </row>
    <row r="34" spans="1:16" x14ac:dyDescent="0.25">
      <c r="A34">
        <v>25</v>
      </c>
      <c r="B34">
        <f t="shared" si="7"/>
        <v>298.14999999999998</v>
      </c>
      <c r="C34">
        <f t="shared" si="8"/>
        <v>3.3540164346805303E-3</v>
      </c>
      <c r="D34" s="7">
        <v>3.2229999999999999</v>
      </c>
      <c r="G34" s="7">
        <f>D34</f>
        <v>3.2229999999999999</v>
      </c>
      <c r="H34">
        <v>0.1</v>
      </c>
      <c r="O34">
        <f t="shared" si="1"/>
        <v>0</v>
      </c>
      <c r="P34">
        <f t="shared" si="2"/>
        <v>0</v>
      </c>
    </row>
    <row r="37" spans="1:16" ht="15.6" x14ac:dyDescent="0.35">
      <c r="B37" s="12" t="s">
        <v>18</v>
      </c>
      <c r="C37" s="12" t="s">
        <v>19</v>
      </c>
      <c r="D37" s="13" t="s">
        <v>20</v>
      </c>
    </row>
    <row r="38" spans="1:16" ht="15.6" x14ac:dyDescent="0.25">
      <c r="B38" s="11" t="s">
        <v>21</v>
      </c>
      <c r="C38" s="10" t="s">
        <v>22</v>
      </c>
      <c r="D38" s="11"/>
      <c r="E38" s="3"/>
      <c r="F38" s="3"/>
      <c r="G38" s="3"/>
    </row>
    <row r="39" spans="1:16" ht="15.6" x14ac:dyDescent="0.35">
      <c r="A39" s="10" t="s">
        <v>23</v>
      </c>
      <c r="B39">
        <f t="array" ref="B39:D43">LINEST(D27:D34,O27:P34,TRUE,TRUE)</f>
        <v>0.44712976063691512</v>
      </c>
      <c r="C39">
        <v>13.863514989638269</v>
      </c>
      <c r="D39">
        <v>3.2333944599514579</v>
      </c>
      <c r="E39" s="14" t="s">
        <v>24</v>
      </c>
      <c r="F39" s="14"/>
    </row>
    <row r="40" spans="1:16" x14ac:dyDescent="0.25">
      <c r="A40" s="10"/>
      <c r="B40">
        <v>6.5576598601616728E-2</v>
      </c>
      <c r="C40">
        <v>1.0984478291996944</v>
      </c>
      <c r="D40">
        <v>1.3080085195777927E-2</v>
      </c>
      <c r="E40" s="14"/>
      <c r="F40" s="14"/>
    </row>
    <row r="41" spans="1:16" x14ac:dyDescent="0.25">
      <c r="A41" s="10" t="s">
        <v>25</v>
      </c>
      <c r="B41">
        <v>0.99382738580042096</v>
      </c>
      <c r="C41">
        <v>2.6900467666320045E-2</v>
      </c>
      <c r="D41" t="e">
        <v>#N/A</v>
      </c>
      <c r="E41" s="14" t="s">
        <v>26</v>
      </c>
      <c r="F41" s="14"/>
    </row>
    <row r="42" spans="1:16" x14ac:dyDescent="0.25">
      <c r="A42" s="10" t="s">
        <v>27</v>
      </c>
      <c r="B42">
        <v>402.51478290519276</v>
      </c>
      <c r="C42">
        <v>5</v>
      </c>
      <c r="D42" t="e">
        <v>#N/A</v>
      </c>
      <c r="E42" s="14" t="s">
        <v>28</v>
      </c>
      <c r="F42" s="14"/>
    </row>
    <row r="43" spans="1:16" x14ac:dyDescent="0.25">
      <c r="A43" s="9"/>
      <c r="B43">
        <v>0.58254769919666638</v>
      </c>
      <c r="C43">
        <v>3.6181758033336509E-3</v>
      </c>
      <c r="D43" t="e">
        <v>#N/A</v>
      </c>
      <c r="E43" s="14" t="s">
        <v>29</v>
      </c>
      <c r="F43" s="14"/>
    </row>
    <row r="45" spans="1:16" x14ac:dyDescent="0.25">
      <c r="B45">
        <f>B40*2</f>
        <v>0.13115319720323346</v>
      </c>
      <c r="C45">
        <f>C40*2</f>
        <v>2.1968956583993888</v>
      </c>
      <c r="D45">
        <f>D40*2</f>
        <v>2.6160170391555854E-2</v>
      </c>
    </row>
    <row r="46" spans="1:16" ht="13.8" x14ac:dyDescent="0.3">
      <c r="A46" s="8" t="s">
        <v>30</v>
      </c>
      <c r="B46" s="1">
        <v>0.13</v>
      </c>
      <c r="C46" s="15">
        <v>2.2000000000000002</v>
      </c>
      <c r="D46" s="1">
        <v>0.14000000000000001</v>
      </c>
    </row>
    <row r="51" spans="1:3" x14ac:dyDescent="0.25">
      <c r="A51" s="18" t="s">
        <v>40</v>
      </c>
      <c r="C51" s="2" t="s">
        <v>31</v>
      </c>
    </row>
    <row r="53" spans="1:3" x14ac:dyDescent="0.25">
      <c r="B53">
        <v>5</v>
      </c>
      <c r="C53" s="7">
        <f>-LOG(0.000746)</f>
        <v>3.1272611725273314</v>
      </c>
    </row>
    <row r="54" spans="1:3" x14ac:dyDescent="0.25">
      <c r="B54">
        <v>15</v>
      </c>
      <c r="C54" s="7">
        <f>-LOG(0.000713)</f>
        <v>3.1469104701481343</v>
      </c>
    </row>
    <row r="55" spans="1:3" x14ac:dyDescent="0.25">
      <c r="B55">
        <v>25</v>
      </c>
      <c r="C55" s="7">
        <f>-LOG(0.000598)</f>
        <v>3.2232988160115892</v>
      </c>
    </row>
  </sheetData>
  <hyperlinks>
    <hyperlink ref="B12" r:id="rId1" xr:uid="{06C46A33-4EDF-4603-A180-1C26F1B7EF06}"/>
  </hyperlinks>
  <pageMargins left="0.75" right="0.75" top="1" bottom="1" header="0.5" footer="0.5"/>
  <pageSetup paperSize="9" orientation="portrait" horizontalDpi="3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Z46"/>
  <sheetViews>
    <sheetView workbookViewId="0">
      <selection activeCell="Z25" sqref="Z25"/>
    </sheetView>
  </sheetViews>
  <sheetFormatPr defaultColWidth="8.77734375" defaultRowHeight="13.2" x14ac:dyDescent="0.25"/>
  <sheetData>
    <row r="16" spans="1:1" ht="16.8" x14ac:dyDescent="0.35">
      <c r="A16" s="1" t="s">
        <v>32</v>
      </c>
    </row>
    <row r="18" spans="1:26" ht="15.6" x14ac:dyDescent="0.25">
      <c r="A18" t="s">
        <v>1</v>
      </c>
      <c r="B18">
        <v>8.3145100000000007E-3</v>
      </c>
      <c r="C18" s="2" t="s">
        <v>2</v>
      </c>
    </row>
    <row r="19" spans="1:26" x14ac:dyDescent="0.25">
      <c r="A19" t="s">
        <v>3</v>
      </c>
      <c r="B19">
        <v>298.14999999999998</v>
      </c>
      <c r="C19" s="2" t="s">
        <v>4</v>
      </c>
    </row>
    <row r="20" spans="1:26" x14ac:dyDescent="0.25">
      <c r="A20" t="s">
        <v>5</v>
      </c>
      <c r="B20">
        <f>LN(10)</f>
        <v>2.3025850929940459</v>
      </c>
    </row>
    <row r="22" spans="1:26" x14ac:dyDescent="0.25">
      <c r="A22" s="2" t="s">
        <v>6</v>
      </c>
      <c r="B22">
        <f>B18*B20</f>
        <v>1.9144866781549925E-2</v>
      </c>
    </row>
    <row r="23" spans="1:26" x14ac:dyDescent="0.25">
      <c r="A23" t="s">
        <v>7</v>
      </c>
      <c r="B23">
        <f>B18*B19*B20</f>
        <v>5.7080420309191107</v>
      </c>
      <c r="E23" s="2"/>
      <c r="F23" s="2"/>
    </row>
    <row r="24" spans="1:26" x14ac:dyDescent="0.25">
      <c r="V24" s="4" t="s">
        <v>8</v>
      </c>
    </row>
    <row r="25" spans="1:26" ht="15.6" x14ac:dyDescent="0.35">
      <c r="A25" s="4" t="s">
        <v>3</v>
      </c>
      <c r="B25" s="4" t="s">
        <v>3</v>
      </c>
      <c r="C25" s="5" t="s">
        <v>9</v>
      </c>
      <c r="D25" s="4" t="s">
        <v>10</v>
      </c>
      <c r="O25" s="4" t="s">
        <v>11</v>
      </c>
      <c r="P25" s="4" t="s">
        <v>12</v>
      </c>
      <c r="Q25" s="4" t="s">
        <v>3</v>
      </c>
      <c r="R25" s="4" t="s">
        <v>3</v>
      </c>
      <c r="S25" s="5" t="s">
        <v>9</v>
      </c>
      <c r="T25" s="4" t="s">
        <v>11</v>
      </c>
      <c r="U25" s="4" t="s">
        <v>12</v>
      </c>
      <c r="V25" s="4" t="s">
        <v>10</v>
      </c>
      <c r="W25" s="6" t="s">
        <v>13</v>
      </c>
      <c r="X25" s="6" t="s">
        <v>14</v>
      </c>
      <c r="Z25" s="18" t="s">
        <v>42</v>
      </c>
    </row>
    <row r="26" spans="1:26" ht="13.8" x14ac:dyDescent="0.3">
      <c r="A26" s="4" t="s">
        <v>15</v>
      </c>
      <c r="B26" s="4" t="s">
        <v>16</v>
      </c>
      <c r="C26" s="4" t="s">
        <v>16</v>
      </c>
      <c r="Q26" s="4" t="s">
        <v>15</v>
      </c>
      <c r="R26" s="4" t="s">
        <v>16</v>
      </c>
      <c r="S26" s="4" t="s">
        <v>16</v>
      </c>
    </row>
    <row r="27" spans="1:26" x14ac:dyDescent="0.25">
      <c r="A27">
        <v>4.4000000000000004</v>
      </c>
      <c r="B27">
        <f>273.15+$A27</f>
        <v>277.54999999999995</v>
      </c>
      <c r="C27">
        <f>1/B27</f>
        <v>3.6029544226265542E-3</v>
      </c>
      <c r="D27" s="3">
        <v>0.91</v>
      </c>
      <c r="E27" s="3">
        <f t="shared" ref="E27:E34" si="0">D27</f>
        <v>0.91</v>
      </c>
      <c r="F27" s="16">
        <v>0.06</v>
      </c>
      <c r="O27">
        <f t="shared" ref="O27:O34" si="1">(1/$B$19-1/$B27)/$B$22</f>
        <v>-1.3002858196220388E-2</v>
      </c>
      <c r="P27">
        <f t="shared" ref="P27:P34" si="2">($B$19/$B27-1+LN($B27/$B$19))/$B$22</f>
        <v>0.13712514707557613</v>
      </c>
      <c r="Q27">
        <v>2</v>
      </c>
      <c r="R27">
        <f t="shared" ref="R27:R34" si="3">273.15+$Q27</f>
        <v>275.14999999999998</v>
      </c>
      <c r="S27">
        <f>1/R27</f>
        <v>3.6343812465927678E-3</v>
      </c>
      <c r="T27">
        <f t="shared" ref="T27:T34" si="4">(1/$B$19-1/$R27)/$B$22</f>
        <v>-1.4644385626251914E-2</v>
      </c>
      <c r="U27">
        <f t="shared" ref="U27:U34" si="5">($B$19/$R27-1+LN($R27/$B$19))/$B$22</f>
        <v>0.17291614750105794</v>
      </c>
      <c r="V27" s="7">
        <f t="shared" ref="V27:V34" si="6">$D$39+$C$39*$T27+$B$39*$U27</f>
        <v>0.94196236840620573</v>
      </c>
      <c r="W27" s="7">
        <f>($D$39+$D$46+($C$39-$C$46)*$T27+($B$39-$B$46)*$U27)</f>
        <v>1.0485733324718356</v>
      </c>
      <c r="X27" s="7">
        <f>($D$39-$D$46+($C$39+$C$46)*$T27+($B$39+$B$46)*$U27)</f>
        <v>0.83535140434057586</v>
      </c>
      <c r="Z27">
        <f t="shared" ref="Z27:Z34" si="7">1209.12+0.31294*$R27-34765.05/$R27-478.782*LOG($R27)</f>
        <v>0.85402268438087958</v>
      </c>
    </row>
    <row r="28" spans="1:26" x14ac:dyDescent="0.25">
      <c r="A28">
        <v>15.1</v>
      </c>
      <c r="B28">
        <f t="shared" ref="B28:B34" si="8">273.15+$A28</f>
        <v>288.25</v>
      </c>
      <c r="C28">
        <f t="shared" ref="C28:C34" si="9">1/B28</f>
        <v>3.469210754553339E-3</v>
      </c>
      <c r="D28" s="3">
        <v>0.97</v>
      </c>
      <c r="E28" s="3">
        <f t="shared" si="0"/>
        <v>0.97</v>
      </c>
      <c r="F28" s="3">
        <v>0.06</v>
      </c>
      <c r="O28">
        <f t="shared" si="1"/>
        <v>-6.0169820551492399E-3</v>
      </c>
      <c r="P28">
        <f t="shared" si="2"/>
        <v>3.0119303347003717E-2</v>
      </c>
      <c r="Q28">
        <v>15</v>
      </c>
      <c r="R28">
        <f t="shared" si="3"/>
        <v>288.14999999999998</v>
      </c>
      <c r="S28">
        <f t="shared" ref="S28:S34" si="10">1/R28</f>
        <v>3.4704147145583901E-3</v>
      </c>
      <c r="T28">
        <f t="shared" si="4"/>
        <v>-6.0798688863185945E-3</v>
      </c>
      <c r="U28">
        <f t="shared" si="5"/>
        <v>3.0745027680825151E-2</v>
      </c>
      <c r="V28" s="7">
        <f t="shared" si="6"/>
        <v>1.0166839855576961</v>
      </c>
      <c r="W28" s="7">
        <f>($D$39+$D$46+($C$39-$C$46)*$T28+($B$39-$B$46)*$U28)</f>
        <v>1.1018836577734925</v>
      </c>
      <c r="X28" s="7">
        <f>($D$39-$D$46+($C$39+$C$46)*$T28+($B$39+$B$46)*$U28)</f>
        <v>0.93148431334189952</v>
      </c>
      <c r="Z28">
        <f t="shared" si="7"/>
        <v>1.0233959312331535</v>
      </c>
    </row>
    <row r="29" spans="1:26" x14ac:dyDescent="0.25">
      <c r="A29">
        <v>25</v>
      </c>
      <c r="B29">
        <f t="shared" si="8"/>
        <v>298.14999999999998</v>
      </c>
      <c r="C29">
        <f t="shared" si="9"/>
        <v>3.3540164346805303E-3</v>
      </c>
      <c r="D29" s="3">
        <v>1.1399999999999999</v>
      </c>
      <c r="E29" s="3">
        <f t="shared" si="0"/>
        <v>1.1399999999999999</v>
      </c>
      <c r="F29" s="3">
        <v>7.0000000000000007E-2</v>
      </c>
      <c r="O29">
        <f t="shared" si="1"/>
        <v>0</v>
      </c>
      <c r="P29">
        <f t="shared" si="2"/>
        <v>0</v>
      </c>
      <c r="Q29">
        <v>25</v>
      </c>
      <c r="R29">
        <f t="shared" si="3"/>
        <v>298.14999999999998</v>
      </c>
      <c r="S29">
        <f t="shared" si="10"/>
        <v>3.3540164346805303E-3</v>
      </c>
      <c r="T29">
        <f t="shared" si="4"/>
        <v>0</v>
      </c>
      <c r="U29">
        <f t="shared" si="5"/>
        <v>0</v>
      </c>
      <c r="V29" s="7">
        <f t="shared" si="6"/>
        <v>1.0697281501089224</v>
      </c>
      <c r="W29" s="7">
        <f t="shared" ref="W29:W34" si="11">($D$39+$D$46+($C$39+$C$46)*$T29+($B$39+$B$46)*$U29)</f>
        <v>1.1397281501089225</v>
      </c>
      <c r="X29" s="7">
        <f t="shared" ref="X29:X34" si="12">($D$39-$D$46+($C$39-$C$46)*$T29+($B$39-$B$46)*$U29)</f>
        <v>0.99972815010892235</v>
      </c>
      <c r="Z29">
        <f t="shared" si="7"/>
        <v>1.1056629833301486</v>
      </c>
    </row>
    <row r="30" spans="1:26" x14ac:dyDescent="0.25">
      <c r="A30">
        <v>35</v>
      </c>
      <c r="B30">
        <f t="shared" si="8"/>
        <v>308.14999999999998</v>
      </c>
      <c r="C30">
        <f t="shared" si="9"/>
        <v>3.2451728054518907E-3</v>
      </c>
      <c r="D30" s="3">
        <v>1.17</v>
      </c>
      <c r="E30" s="3">
        <f t="shared" si="0"/>
        <v>1.17</v>
      </c>
      <c r="F30" s="3">
        <v>7.0000000000000007E-2</v>
      </c>
      <c r="O30">
        <f t="shared" si="1"/>
        <v>5.6852643829067113E-3</v>
      </c>
      <c r="P30">
        <f t="shared" si="2"/>
        <v>2.8113738829310959E-2</v>
      </c>
      <c r="Q30">
        <v>35</v>
      </c>
      <c r="R30">
        <f t="shared" si="3"/>
        <v>308.14999999999998</v>
      </c>
      <c r="S30">
        <f t="shared" si="10"/>
        <v>3.2451728054518907E-3</v>
      </c>
      <c r="T30">
        <f t="shared" si="4"/>
        <v>5.6852643829067113E-3</v>
      </c>
      <c r="U30">
        <f t="shared" si="5"/>
        <v>2.8113738829310959E-2</v>
      </c>
      <c r="V30" s="7">
        <f t="shared" si="6"/>
        <v>1.1193295650543578</v>
      </c>
      <c r="W30" s="7">
        <f t="shared" si="11"/>
        <v>1.2035427260116245</v>
      </c>
      <c r="X30" s="7">
        <f t="shared" si="12"/>
        <v>1.0351164040970908</v>
      </c>
      <c r="Z30">
        <f t="shared" si="7"/>
        <v>1.159335893388743</v>
      </c>
    </row>
    <row r="31" spans="1:26" x14ac:dyDescent="0.25">
      <c r="A31">
        <v>45</v>
      </c>
      <c r="B31">
        <f t="shared" si="8"/>
        <v>318.14999999999998</v>
      </c>
      <c r="C31">
        <f t="shared" si="9"/>
        <v>3.1431714600031434E-3</v>
      </c>
      <c r="D31" s="3">
        <v>1.21</v>
      </c>
      <c r="E31" s="3">
        <f t="shared" si="0"/>
        <v>1.21</v>
      </c>
      <c r="F31" s="3">
        <v>0.1</v>
      </c>
      <c r="O31">
        <f t="shared" si="1"/>
        <v>1.1013133550794935E-2</v>
      </c>
      <c r="P31">
        <f t="shared" si="2"/>
        <v>0.10774819867701339</v>
      </c>
      <c r="Q31">
        <v>45</v>
      </c>
      <c r="R31">
        <f t="shared" si="3"/>
        <v>318.14999999999998</v>
      </c>
      <c r="S31">
        <f t="shared" si="10"/>
        <v>3.1431714600031434E-3</v>
      </c>
      <c r="T31">
        <f t="shared" si="4"/>
        <v>1.1013133550794935E-2</v>
      </c>
      <c r="U31">
        <f t="shared" si="5"/>
        <v>0.10774819867701339</v>
      </c>
      <c r="V31" s="7">
        <f t="shared" si="6"/>
        <v>1.1658128649631476</v>
      </c>
      <c r="W31" s="7">
        <f t="shared" si="11"/>
        <v>1.263345698840135</v>
      </c>
      <c r="X31" s="7">
        <f t="shared" si="12"/>
        <v>1.0682800310861604</v>
      </c>
      <c r="Z31">
        <f t="shared" si="7"/>
        <v>1.1942284875237874</v>
      </c>
    </row>
    <row r="32" spans="1:26" x14ac:dyDescent="0.25">
      <c r="A32">
        <v>65</v>
      </c>
      <c r="B32">
        <f t="shared" si="8"/>
        <v>338.15</v>
      </c>
      <c r="C32">
        <f t="shared" si="9"/>
        <v>2.9572674848440043E-3</v>
      </c>
      <c r="D32" s="3">
        <v>1.21</v>
      </c>
      <c r="E32" s="3">
        <f t="shared" si="0"/>
        <v>1.21</v>
      </c>
      <c r="F32" s="3">
        <v>0.06</v>
      </c>
      <c r="I32" s="3"/>
      <c r="J32" s="3"/>
      <c r="O32">
        <f t="shared" si="1"/>
        <v>2.0723515831349446E-2</v>
      </c>
      <c r="P32">
        <f t="shared" si="2"/>
        <v>0.39708654778419117</v>
      </c>
      <c r="Q32">
        <v>65</v>
      </c>
      <c r="R32">
        <f t="shared" si="3"/>
        <v>338.15</v>
      </c>
      <c r="S32">
        <f t="shared" si="10"/>
        <v>2.9572674848440043E-3</v>
      </c>
      <c r="T32">
        <f t="shared" si="4"/>
        <v>2.0723515831349446E-2</v>
      </c>
      <c r="U32">
        <f t="shared" si="5"/>
        <v>0.39708654778419117</v>
      </c>
      <c r="V32" s="7">
        <f t="shared" si="6"/>
        <v>1.2505316516962166</v>
      </c>
      <c r="W32" s="7">
        <f t="shared" si="11"/>
        <v>1.3723404412745903</v>
      </c>
      <c r="X32" s="7">
        <f t="shared" si="12"/>
        <v>1.1287228621178429</v>
      </c>
      <c r="Z32">
        <f t="shared" si="7"/>
        <v>1.2390562197356303</v>
      </c>
    </row>
    <row r="33" spans="1:26" x14ac:dyDescent="0.25">
      <c r="A33">
        <v>80</v>
      </c>
      <c r="B33">
        <f t="shared" si="8"/>
        <v>353.15</v>
      </c>
      <c r="C33">
        <f t="shared" si="9"/>
        <v>2.831657935721365E-3</v>
      </c>
      <c r="D33" s="3">
        <v>1.27</v>
      </c>
      <c r="E33" s="3">
        <f t="shared" si="0"/>
        <v>1.27</v>
      </c>
      <c r="F33" s="3">
        <v>0.08</v>
      </c>
      <c r="O33">
        <f t="shared" si="1"/>
        <v>2.7284519914370298E-2</v>
      </c>
      <c r="P33">
        <f t="shared" si="2"/>
        <v>0.70802236316444289</v>
      </c>
      <c r="Q33">
        <v>80</v>
      </c>
      <c r="R33">
        <f t="shared" si="3"/>
        <v>353.15</v>
      </c>
      <c r="S33">
        <f t="shared" si="10"/>
        <v>2.831657935721365E-3</v>
      </c>
      <c r="T33">
        <f t="shared" si="4"/>
        <v>2.7284519914370298E-2</v>
      </c>
      <c r="U33">
        <f t="shared" si="5"/>
        <v>0.70802236316444289</v>
      </c>
      <c r="V33" s="7">
        <f t="shared" si="6"/>
        <v>1.3077735078461372</v>
      </c>
      <c r="W33" s="7">
        <f t="shared" si="11"/>
        <v>1.4459848076320629</v>
      </c>
      <c r="X33" s="7">
        <f t="shared" si="12"/>
        <v>1.1695622080602113</v>
      </c>
      <c r="Z33">
        <f t="shared" si="7"/>
        <v>1.2750245183956395</v>
      </c>
    </row>
    <row r="34" spans="1:26" x14ac:dyDescent="0.25">
      <c r="A34">
        <v>90</v>
      </c>
      <c r="B34">
        <f t="shared" si="8"/>
        <v>363.15</v>
      </c>
      <c r="C34">
        <f t="shared" si="9"/>
        <v>2.7536830510808208E-3</v>
      </c>
      <c r="D34" s="3">
        <v>1.35</v>
      </c>
      <c r="E34" s="3">
        <f t="shared" si="0"/>
        <v>1.35</v>
      </c>
      <c r="F34" s="3">
        <v>0.1</v>
      </c>
      <c r="O34">
        <f t="shared" si="1"/>
        <v>3.1357407207359418E-2</v>
      </c>
      <c r="P34">
        <f t="shared" si="2"/>
        <v>0.95220605976622086</v>
      </c>
      <c r="Q34">
        <v>95</v>
      </c>
      <c r="R34">
        <f t="shared" si="3"/>
        <v>368.15</v>
      </c>
      <c r="S34">
        <f t="shared" si="10"/>
        <v>2.7162841233192994E-3</v>
      </c>
      <c r="T34">
        <f t="shared" si="4"/>
        <v>3.3310877460678859E-2</v>
      </c>
      <c r="U34">
        <f t="shared" si="5"/>
        <v>1.0840430414099647</v>
      </c>
      <c r="V34" s="7">
        <f t="shared" si="6"/>
        <v>1.3603508096445769</v>
      </c>
      <c r="W34" s="7">
        <f t="shared" si="11"/>
        <v>1.5136280032962741</v>
      </c>
      <c r="X34" s="7">
        <f t="shared" si="12"/>
        <v>1.2070736159928797</v>
      </c>
      <c r="Z34">
        <f t="shared" si="7"/>
        <v>1.3306195407544692</v>
      </c>
    </row>
    <row r="37" spans="1:26" ht="15.6" x14ac:dyDescent="0.35">
      <c r="B37" s="12" t="s">
        <v>18</v>
      </c>
      <c r="C37" s="12" t="s">
        <v>19</v>
      </c>
      <c r="D37" s="13" t="s">
        <v>20</v>
      </c>
    </row>
    <row r="38" spans="1:26" ht="15.6" x14ac:dyDescent="0.25">
      <c r="B38" s="11" t="s">
        <v>21</v>
      </c>
      <c r="C38" s="10" t="s">
        <v>22</v>
      </c>
      <c r="D38" s="11"/>
      <c r="E38" s="3"/>
      <c r="F38" s="3"/>
      <c r="G38" s="3"/>
    </row>
    <row r="39" spans="1:26" ht="15.6" x14ac:dyDescent="0.35">
      <c r="A39" s="10" t="s">
        <v>23</v>
      </c>
      <c r="C39">
        <f t="array" ref="C39:D43">LINEST(D27:D34,O27:O34,TRUE,TRUE)</f>
        <v>8.7245573125089226</v>
      </c>
      <c r="D39">
        <v>1.0697281501089224</v>
      </c>
      <c r="E39" s="14" t="s">
        <v>24</v>
      </c>
      <c r="F39" s="14"/>
    </row>
    <row r="40" spans="1:26" x14ac:dyDescent="0.25">
      <c r="A40" s="10"/>
      <c r="C40">
        <v>1.2617211626926554</v>
      </c>
      <c r="D40">
        <v>2.2375931423988325E-2</v>
      </c>
      <c r="E40" s="14"/>
      <c r="F40" s="14"/>
    </row>
    <row r="41" spans="1:26" x14ac:dyDescent="0.25">
      <c r="A41" s="10" t="s">
        <v>25</v>
      </c>
      <c r="C41">
        <v>0.88850597860852243</v>
      </c>
      <c r="D41">
        <v>5.3143983002526887E-2</v>
      </c>
      <c r="E41" s="14" t="s">
        <v>26</v>
      </c>
      <c r="F41" s="14"/>
    </row>
    <row r="42" spans="1:26" x14ac:dyDescent="0.25">
      <c r="A42" s="10" t="s">
        <v>27</v>
      </c>
      <c r="C42">
        <v>47.814544718346944</v>
      </c>
      <c r="D42">
        <v>6</v>
      </c>
      <c r="E42" s="14" t="s">
        <v>28</v>
      </c>
      <c r="F42" s="14"/>
    </row>
    <row r="43" spans="1:26" x14ac:dyDescent="0.25">
      <c r="A43" s="9"/>
      <c r="C43">
        <v>0.13504180242376282</v>
      </c>
      <c r="D43">
        <v>1.6945697576237199E-2</v>
      </c>
      <c r="E43" s="14" t="s">
        <v>29</v>
      </c>
      <c r="F43" s="14"/>
    </row>
    <row r="45" spans="1:26" x14ac:dyDescent="0.25">
      <c r="C45">
        <f>C40*2</f>
        <v>2.5234423253853109</v>
      </c>
      <c r="D45">
        <f>D40*2</f>
        <v>4.4751862847976651E-2</v>
      </c>
    </row>
    <row r="46" spans="1:26" ht="13.8" x14ac:dyDescent="0.3">
      <c r="A46" s="8" t="s">
        <v>30</v>
      </c>
      <c r="C46" s="17">
        <v>2.5</v>
      </c>
      <c r="D46" s="1">
        <v>7.0000000000000007E-2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CaCO3</vt:lpstr>
      <vt:lpstr>CaHCO3+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2023-11-30T14:48:38Z</dcterms:modified>
</cp:coreProperties>
</file>