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FAC07144-D0D9-40FE-BF50-47A8245EE1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lcite" sheetId="2" r:id="rId1"/>
    <sheet name="Aragonite" sheetId="1" r:id="rId2"/>
    <sheet name="Vaterite" sheetId="3" r:id="rId3"/>
  </sheets>
  <definedNames>
    <definedName name="_Regression_Out" hidden="1">Aragonite!$B$88:$B$88</definedName>
    <definedName name="_Regression_X" hidden="1">Aragonite!$E$83:$E$85</definedName>
    <definedName name="_Regression_Y" hidden="1">Aragonite!$G$83:$G$85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C74" i="2"/>
  <c r="B5" i="3"/>
  <c r="B7" i="3" s="1"/>
  <c r="B8" i="3"/>
  <c r="B12" i="3"/>
  <c r="C12" i="3"/>
  <c r="E12" i="3"/>
  <c r="O12" i="3"/>
  <c r="S12" i="3"/>
  <c r="U12" i="3"/>
  <c r="B13" i="3"/>
  <c r="E13" i="3"/>
  <c r="S13" i="3"/>
  <c r="U13" i="3" s="1"/>
  <c r="B14" i="3"/>
  <c r="C14" i="3"/>
  <c r="E14" i="3"/>
  <c r="S14" i="3"/>
  <c r="B15" i="3"/>
  <c r="C15" i="3" s="1"/>
  <c r="E15" i="3"/>
  <c r="S15" i="3"/>
  <c r="AA15" i="3" s="1"/>
  <c r="T15" i="3"/>
  <c r="B16" i="3"/>
  <c r="C16" i="3"/>
  <c r="E16" i="3"/>
  <c r="O16" i="3"/>
  <c r="S16" i="3"/>
  <c r="T16" i="3" s="1"/>
  <c r="U16" i="3"/>
  <c r="B17" i="3"/>
  <c r="E17" i="3"/>
  <c r="S17" i="3"/>
  <c r="AA17" i="3" s="1"/>
  <c r="B18" i="3"/>
  <c r="C18" i="3"/>
  <c r="E18" i="3"/>
  <c r="S18" i="3"/>
  <c r="B19" i="3"/>
  <c r="C19" i="3" s="1"/>
  <c r="E19" i="3"/>
  <c r="S19" i="3"/>
  <c r="AA19" i="3" s="1"/>
  <c r="T19" i="3"/>
  <c r="B20" i="3"/>
  <c r="C20" i="3"/>
  <c r="E20" i="3"/>
  <c r="O20" i="3"/>
  <c r="S20" i="3"/>
  <c r="T20" i="3" s="1"/>
  <c r="U20" i="3"/>
  <c r="B21" i="3"/>
  <c r="E21" i="3"/>
  <c r="P21" i="3"/>
  <c r="S21" i="3"/>
  <c r="AA21" i="3" s="1"/>
  <c r="B22" i="3"/>
  <c r="C22" i="3"/>
  <c r="E22" i="3"/>
  <c r="B19" i="2"/>
  <c r="B22" i="2" s="1"/>
  <c r="B26" i="2"/>
  <c r="C26" i="2"/>
  <c r="E26" i="2"/>
  <c r="S26" i="2"/>
  <c r="AC26" i="2" s="1"/>
  <c r="B27" i="2"/>
  <c r="E27" i="2"/>
  <c r="S27" i="2"/>
  <c r="B28" i="2"/>
  <c r="C28" i="2" s="1"/>
  <c r="E28" i="2"/>
  <c r="S28" i="2"/>
  <c r="B29" i="2"/>
  <c r="C29" i="2" s="1"/>
  <c r="E29" i="2"/>
  <c r="S29" i="2"/>
  <c r="AC29" i="2" s="1"/>
  <c r="B30" i="2"/>
  <c r="C30" i="2" s="1"/>
  <c r="E30" i="2"/>
  <c r="S30" i="2"/>
  <c r="AC30" i="2" s="1"/>
  <c r="B31" i="2"/>
  <c r="C31" i="2" s="1"/>
  <c r="E31" i="2"/>
  <c r="S31" i="2"/>
  <c r="B32" i="2"/>
  <c r="E32" i="2"/>
  <c r="S32" i="2"/>
  <c r="B33" i="2"/>
  <c r="C33" i="2" s="1"/>
  <c r="E33" i="2"/>
  <c r="S33" i="2"/>
  <c r="AC33" i="2" s="1"/>
  <c r="B34" i="2"/>
  <c r="C34" i="2" s="1"/>
  <c r="E34" i="2"/>
  <c r="S34" i="2"/>
  <c r="AC34" i="2" s="1"/>
  <c r="B35" i="2"/>
  <c r="E35" i="2"/>
  <c r="S35" i="2"/>
  <c r="B36" i="2"/>
  <c r="E36" i="2"/>
  <c r="B37" i="2"/>
  <c r="E37" i="2"/>
  <c r="B38" i="2"/>
  <c r="C38" i="2" s="1"/>
  <c r="E38" i="2"/>
  <c r="B39" i="2"/>
  <c r="C39" i="2" s="1"/>
  <c r="E39" i="2"/>
  <c r="B40" i="2"/>
  <c r="C40" i="2" s="1"/>
  <c r="E40" i="2"/>
  <c r="B41" i="2"/>
  <c r="C41" i="2" s="1"/>
  <c r="E41" i="2"/>
  <c r="B42" i="2"/>
  <c r="C42" i="2" s="1"/>
  <c r="E42" i="2"/>
  <c r="B43" i="2"/>
  <c r="E43" i="2"/>
  <c r="B44" i="2"/>
  <c r="C44" i="2" s="1"/>
  <c r="E44" i="2"/>
  <c r="B45" i="2"/>
  <c r="C45" i="2" s="1"/>
  <c r="E45" i="2"/>
  <c r="B46" i="2"/>
  <c r="C46" i="2" s="1"/>
  <c r="E46" i="2"/>
  <c r="B47" i="2"/>
  <c r="C47" i="2" s="1"/>
  <c r="E47" i="2"/>
  <c r="B48" i="2"/>
  <c r="C48" i="2" s="1"/>
  <c r="E48" i="2"/>
  <c r="B49" i="2"/>
  <c r="E49" i="2"/>
  <c r="B50" i="2"/>
  <c r="C50" i="2" s="1"/>
  <c r="E50" i="2"/>
  <c r="B51" i="2"/>
  <c r="C51" i="2" s="1"/>
  <c r="E51" i="2"/>
  <c r="B52" i="2"/>
  <c r="C52" i="2" s="1"/>
  <c r="E52" i="2"/>
  <c r="B53" i="2"/>
  <c r="E53" i="2"/>
  <c r="B54" i="2"/>
  <c r="C54" i="2" s="1"/>
  <c r="E54" i="2"/>
  <c r="B55" i="2"/>
  <c r="C55" i="2" s="1"/>
  <c r="E55" i="2"/>
  <c r="B56" i="2"/>
  <c r="C56" i="2" s="1"/>
  <c r="E56" i="2"/>
  <c r="B57" i="2"/>
  <c r="E57" i="2"/>
  <c r="B58" i="2"/>
  <c r="C58" i="2" s="1"/>
  <c r="E58" i="2"/>
  <c r="B59" i="2"/>
  <c r="C59" i="2" s="1"/>
  <c r="E59" i="2"/>
  <c r="B5" i="1"/>
  <c r="B7" i="1"/>
  <c r="P15" i="1" s="1"/>
  <c r="B8" i="1"/>
  <c r="B12" i="1"/>
  <c r="C12" i="1" s="1"/>
  <c r="E12" i="1"/>
  <c r="P12" i="1"/>
  <c r="S12" i="1"/>
  <c r="Z12" i="1" s="1"/>
  <c r="T12" i="1"/>
  <c r="U12" i="1"/>
  <c r="B13" i="1"/>
  <c r="O13" i="1" s="1"/>
  <c r="C13" i="1"/>
  <c r="E13" i="1"/>
  <c r="P13" i="1"/>
  <c r="S13" i="1"/>
  <c r="Z13" i="1" s="1"/>
  <c r="B14" i="1"/>
  <c r="O14" i="1" s="1"/>
  <c r="C14" i="1"/>
  <c r="E14" i="1"/>
  <c r="P14" i="1"/>
  <c r="S14" i="1"/>
  <c r="U14" i="1" s="1"/>
  <c r="T14" i="1"/>
  <c r="B15" i="1"/>
  <c r="C15" i="1"/>
  <c r="E15" i="1"/>
  <c r="O15" i="1"/>
  <c r="S15" i="1"/>
  <c r="Z15" i="1" s="1"/>
  <c r="T15" i="1"/>
  <c r="U15" i="1"/>
  <c r="B16" i="1"/>
  <c r="C16" i="1" s="1"/>
  <c r="E16" i="1"/>
  <c r="P16" i="1"/>
  <c r="S16" i="1"/>
  <c r="Z16" i="1" s="1"/>
  <c r="T16" i="1"/>
  <c r="U16" i="1"/>
  <c r="B17" i="1"/>
  <c r="O17" i="1" s="1"/>
  <c r="C17" i="1"/>
  <c r="E17" i="1"/>
  <c r="P17" i="1"/>
  <c r="S17" i="1"/>
  <c r="Z17" i="1" s="1"/>
  <c r="B18" i="1"/>
  <c r="O18" i="1" s="1"/>
  <c r="C18" i="1"/>
  <c r="E18" i="1"/>
  <c r="P18" i="1"/>
  <c r="S18" i="1"/>
  <c r="U18" i="1" s="1"/>
  <c r="T18" i="1"/>
  <c r="B19" i="1"/>
  <c r="C19" i="1"/>
  <c r="E19" i="1"/>
  <c r="O19" i="1"/>
  <c r="P19" i="1"/>
  <c r="S19" i="1"/>
  <c r="Z19" i="1" s="1"/>
  <c r="T19" i="1"/>
  <c r="U19" i="1"/>
  <c r="B20" i="1"/>
  <c r="C20" i="1" s="1"/>
  <c r="E20" i="1"/>
  <c r="P20" i="1"/>
  <c r="S20" i="1"/>
  <c r="Z20" i="1" s="1"/>
  <c r="T20" i="1"/>
  <c r="U20" i="1"/>
  <c r="B21" i="1"/>
  <c r="O21" i="1" s="1"/>
  <c r="C21" i="1"/>
  <c r="E21" i="1"/>
  <c r="P21" i="1"/>
  <c r="S21" i="1"/>
  <c r="Z21" i="1" s="1"/>
  <c r="B22" i="1"/>
  <c r="O22" i="1" s="1"/>
  <c r="C22" i="1"/>
  <c r="E22" i="1"/>
  <c r="P22" i="1"/>
  <c r="C43" i="2" l="1"/>
  <c r="B21" i="2"/>
  <c r="U30" i="2" s="1"/>
  <c r="U33" i="2"/>
  <c r="O47" i="2"/>
  <c r="T28" i="2"/>
  <c r="C53" i="2"/>
  <c r="C36" i="2"/>
  <c r="C35" i="2"/>
  <c r="C32" i="2"/>
  <c r="T18" i="3"/>
  <c r="U18" i="3"/>
  <c r="O17" i="3"/>
  <c r="C17" i="3"/>
  <c r="O20" i="1"/>
  <c r="O16" i="1"/>
  <c r="O12" i="1"/>
  <c r="B27" i="1" s="1" a="1"/>
  <c r="P57" i="2"/>
  <c r="P37" i="2"/>
  <c r="P32" i="2"/>
  <c r="P26" i="2"/>
  <c r="P43" i="2"/>
  <c r="O52" i="2"/>
  <c r="T14" i="3"/>
  <c r="U14" i="3"/>
  <c r="O13" i="3"/>
  <c r="C13" i="3"/>
  <c r="P14" i="3"/>
  <c r="U17" i="3"/>
  <c r="P18" i="3"/>
  <c r="U21" i="3"/>
  <c r="P22" i="3"/>
  <c r="P12" i="3"/>
  <c r="P16" i="3"/>
  <c r="P20" i="3"/>
  <c r="T13" i="3"/>
  <c r="O14" i="3"/>
  <c r="B27" i="3" s="1" a="1"/>
  <c r="P15" i="3"/>
  <c r="T17" i="3"/>
  <c r="O18" i="3"/>
  <c r="P19" i="3"/>
  <c r="T21" i="3"/>
  <c r="O22" i="3"/>
  <c r="Z14" i="1"/>
  <c r="AC27" i="2"/>
  <c r="AA18" i="3"/>
  <c r="U21" i="1"/>
  <c r="U17" i="1"/>
  <c r="U13" i="1"/>
  <c r="O58" i="2"/>
  <c r="O38" i="2"/>
  <c r="AC35" i="2"/>
  <c r="P34" i="2"/>
  <c r="P17" i="3"/>
  <c r="Z18" i="1"/>
  <c r="AC28" i="2"/>
  <c r="T21" i="1"/>
  <c r="T17" i="1"/>
  <c r="T13" i="1"/>
  <c r="C57" i="2"/>
  <c r="C49" i="2"/>
  <c r="C37" i="2"/>
  <c r="AC31" i="2"/>
  <c r="O29" i="2"/>
  <c r="C27" i="2"/>
  <c r="O21" i="3"/>
  <c r="C21" i="3"/>
  <c r="P13" i="3"/>
  <c r="T12" i="3"/>
  <c r="AC32" i="2"/>
  <c r="AA14" i="3"/>
  <c r="AA12" i="3"/>
  <c r="AA16" i="3"/>
  <c r="AA20" i="3"/>
  <c r="U19" i="3"/>
  <c r="O19" i="3"/>
  <c r="U15" i="3"/>
  <c r="O15" i="3"/>
  <c r="AA13" i="3"/>
  <c r="P44" i="2" l="1"/>
  <c r="O26" i="2"/>
  <c r="T29" i="2"/>
  <c r="O30" i="2"/>
  <c r="O33" i="2"/>
  <c r="T32" i="2"/>
  <c r="O55" i="2"/>
  <c r="O51" i="2"/>
  <c r="U31" i="2"/>
  <c r="O42" i="2"/>
  <c r="T35" i="2"/>
  <c r="P59" i="2"/>
  <c r="P39" i="2"/>
  <c r="P56" i="2"/>
  <c r="T30" i="2"/>
  <c r="Z30" i="2" s="1"/>
  <c r="P58" i="2"/>
  <c r="T33" i="2"/>
  <c r="Z33" i="2" s="1"/>
  <c r="U34" i="2"/>
  <c r="O53" i="2"/>
  <c r="O31" i="2"/>
  <c r="O34" i="2"/>
  <c r="P45" i="2"/>
  <c r="P54" i="2"/>
  <c r="T26" i="2"/>
  <c r="Z26" i="2" s="1"/>
  <c r="P42" i="2"/>
  <c r="O56" i="2"/>
  <c r="O48" i="2"/>
  <c r="P33" i="2"/>
  <c r="P52" i="2"/>
  <c r="P36" i="2"/>
  <c r="P28" i="2"/>
  <c r="P49" i="2"/>
  <c r="O54" i="2"/>
  <c r="O37" i="2"/>
  <c r="O41" i="2"/>
  <c r="O59" i="2"/>
  <c r="O40" i="2"/>
  <c r="O32" i="2"/>
  <c r="O57" i="2"/>
  <c r="O36" i="2"/>
  <c r="P30" i="2"/>
  <c r="P53" i="2"/>
  <c r="P41" i="2"/>
  <c r="T27" i="2"/>
  <c r="Z27" i="2" s="1"/>
  <c r="P51" i="2"/>
  <c r="P40" i="2"/>
  <c r="P38" i="2"/>
  <c r="U29" i="2"/>
  <c r="Z29" i="2" s="1"/>
  <c r="U32" i="2"/>
  <c r="Z32" i="2" s="1"/>
  <c r="O49" i="2"/>
  <c r="P31" i="2"/>
  <c r="O43" i="2"/>
  <c r="T31" i="2"/>
  <c r="Z31" i="2" s="1"/>
  <c r="P35" i="2"/>
  <c r="P46" i="2"/>
  <c r="U28" i="2"/>
  <c r="Z28" i="2" s="1"/>
  <c r="U35" i="2"/>
  <c r="O50" i="2"/>
  <c r="U27" i="2"/>
  <c r="P55" i="2"/>
  <c r="P47" i="2"/>
  <c r="P29" i="2"/>
  <c r="P48" i="2"/>
  <c r="T34" i="2"/>
  <c r="Z34" i="2" s="1"/>
  <c r="P27" i="2"/>
  <c r="P50" i="2"/>
  <c r="U26" i="2"/>
  <c r="O44" i="2"/>
  <c r="O45" i="2"/>
  <c r="O28" i="2"/>
  <c r="O46" i="2"/>
  <c r="O39" i="2"/>
  <c r="O27" i="2"/>
  <c r="O35" i="2"/>
  <c r="D27" i="3"/>
  <c r="B29" i="3"/>
  <c r="C30" i="3"/>
  <c r="D31" i="3"/>
  <c r="C27" i="3"/>
  <c r="D28" i="3"/>
  <c r="D33" i="3" s="1"/>
  <c r="B30" i="3"/>
  <c r="C31" i="3"/>
  <c r="B27" i="3"/>
  <c r="D29" i="3"/>
  <c r="B28" i="3"/>
  <c r="B33" i="3" s="1"/>
  <c r="D30" i="3"/>
  <c r="C29" i="3"/>
  <c r="C28" i="3"/>
  <c r="C33" i="3" s="1"/>
  <c r="B31" i="3"/>
  <c r="C27" i="1"/>
  <c r="D28" i="1"/>
  <c r="D33" i="1" s="1"/>
  <c r="B30" i="1"/>
  <c r="C31" i="1"/>
  <c r="D27" i="1"/>
  <c r="B29" i="1"/>
  <c r="C30" i="1"/>
  <c r="D31" i="1"/>
  <c r="B31" i="1"/>
  <c r="B27" i="1"/>
  <c r="B28" i="1"/>
  <c r="B33" i="1" s="1"/>
  <c r="C29" i="1"/>
  <c r="D30" i="1"/>
  <c r="C28" i="1"/>
  <c r="C33" i="1" s="1"/>
  <c r="D29" i="1"/>
  <c r="B64" i="2" l="1" a="1"/>
  <c r="D67" i="2" s="1"/>
  <c r="Z35" i="2"/>
  <c r="W12" i="1"/>
  <c r="X13" i="1"/>
  <c r="V15" i="1"/>
  <c r="AA15" i="1" s="1"/>
  <c r="W16" i="1"/>
  <c r="X17" i="1"/>
  <c r="V19" i="1"/>
  <c r="AA19" i="1" s="1"/>
  <c r="W20" i="1"/>
  <c r="X21" i="1"/>
  <c r="V12" i="1"/>
  <c r="AA12" i="1" s="1"/>
  <c r="V16" i="1"/>
  <c r="AA16" i="1" s="1"/>
  <c r="X12" i="1"/>
  <c r="V14" i="1"/>
  <c r="AA14" i="1" s="1"/>
  <c r="W15" i="1"/>
  <c r="X16" i="1"/>
  <c r="V18" i="1"/>
  <c r="AA18" i="1" s="1"/>
  <c r="W19" i="1"/>
  <c r="X20" i="1"/>
  <c r="X14" i="1"/>
  <c r="V20" i="1"/>
  <c r="AA20" i="1" s="1"/>
  <c r="V13" i="1"/>
  <c r="AA13" i="1" s="1"/>
  <c r="W14" i="1"/>
  <c r="X15" i="1"/>
  <c r="V17" i="1"/>
  <c r="AA17" i="1" s="1"/>
  <c r="W18" i="1"/>
  <c r="X19" i="1"/>
  <c r="V21" i="1"/>
  <c r="AA21" i="1" s="1"/>
  <c r="W13" i="1"/>
  <c r="W17" i="1"/>
  <c r="X18" i="1"/>
  <c r="W21" i="1"/>
  <c r="X12" i="3"/>
  <c r="V14" i="3"/>
  <c r="AB14" i="3" s="1"/>
  <c r="W15" i="3"/>
  <c r="X16" i="3"/>
  <c r="V18" i="3"/>
  <c r="AB18" i="3" s="1"/>
  <c r="W19" i="3"/>
  <c r="X20" i="3"/>
  <c r="V12" i="3"/>
  <c r="AB12" i="3" s="1"/>
  <c r="W13" i="3"/>
  <c r="X14" i="3"/>
  <c r="V16" i="3"/>
  <c r="AB16" i="3" s="1"/>
  <c r="W17" i="3"/>
  <c r="X18" i="3"/>
  <c r="V20" i="3"/>
  <c r="AB20" i="3" s="1"/>
  <c r="W21" i="3"/>
  <c r="W12" i="3"/>
  <c r="X13" i="3"/>
  <c r="V15" i="3"/>
  <c r="AB15" i="3" s="1"/>
  <c r="W16" i="3"/>
  <c r="X17" i="3"/>
  <c r="V19" i="3"/>
  <c r="AB19" i="3" s="1"/>
  <c r="W20" i="3"/>
  <c r="X21" i="3"/>
  <c r="X15" i="3"/>
  <c r="W18" i="3"/>
  <c r="V21" i="3"/>
  <c r="AB21" i="3" s="1"/>
  <c r="X19" i="3"/>
  <c r="V13" i="3"/>
  <c r="AB13" i="3" s="1"/>
  <c r="W14" i="3"/>
  <c r="V17" i="3"/>
  <c r="AB17" i="3" s="1"/>
  <c r="D64" i="2" l="1"/>
  <c r="B66" i="2"/>
  <c r="C67" i="2"/>
  <c r="D68" i="2"/>
  <c r="C65" i="2"/>
  <c r="C70" i="2" s="1"/>
  <c r="B68" i="2"/>
  <c r="D65" i="2"/>
  <c r="D70" i="2" s="1"/>
  <c r="C68" i="2"/>
  <c r="C64" i="2"/>
  <c r="B67" i="2"/>
  <c r="D66" i="2"/>
  <c r="B64" i="2"/>
  <c r="X26" i="2" s="1"/>
  <c r="B65" i="2"/>
  <c r="B70" i="2" s="1"/>
  <c r="C66" i="2"/>
  <c r="X28" i="2"/>
  <c r="V33" i="2"/>
  <c r="AD33" i="2" s="1"/>
  <c r="X31" i="2"/>
  <c r="X33" i="2"/>
  <c r="X32" i="2"/>
  <c r="X30" i="2"/>
  <c r="W34" i="2"/>
  <c r="W30" i="2" l="1"/>
  <c r="W31" i="2"/>
  <c r="V35" i="2"/>
  <c r="X34" i="2"/>
  <c r="V31" i="2"/>
  <c r="AA31" i="2" s="1"/>
  <c r="X35" i="2"/>
  <c r="W26" i="2"/>
  <c r="V26" i="2"/>
  <c r="X27" i="2"/>
  <c r="W29" i="2"/>
  <c r="X29" i="2"/>
  <c r="W35" i="2"/>
  <c r="V34" i="2"/>
  <c r="W33" i="2"/>
  <c r="AA33" i="2"/>
  <c r="V29" i="2"/>
  <c r="AA29" i="2" s="1"/>
  <c r="V30" i="2"/>
  <c r="AA30" i="2" s="1"/>
  <c r="W32" i="2"/>
  <c r="V27" i="2"/>
  <c r="AA27" i="2" s="1"/>
  <c r="V32" i="2"/>
  <c r="W28" i="2"/>
  <c r="V28" i="2"/>
  <c r="W27" i="2"/>
  <c r="AD31" i="2"/>
  <c r="AD30" i="2"/>
  <c r="AA32" i="2" l="1"/>
  <c r="AD32" i="2"/>
  <c r="AD29" i="2"/>
  <c r="AD27" i="2"/>
  <c r="AA26" i="2"/>
  <c r="AD26" i="2"/>
  <c r="AA35" i="2"/>
  <c r="AD35" i="2"/>
  <c r="AA28" i="2"/>
  <c r="AD28" i="2"/>
  <c r="AA34" i="2"/>
  <c r="AD34" i="2"/>
</calcChain>
</file>

<file path=xl/sharedStrings.xml><?xml version="1.0" encoding="utf-8"?>
<sst xmlns="http://schemas.openxmlformats.org/spreadsheetml/2006/main" count="160" uniqueCount="51">
  <si>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</si>
  <si>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</si>
  <si>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</si>
  <si>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K</t>
  </si>
  <si>
    <t>ln(10)</t>
  </si>
  <si>
    <t>R ln(10)</t>
  </si>
  <si>
    <t>R T ln(10)</t>
  </si>
  <si>
    <t>calc</t>
  </si>
  <si>
    <t>1 / T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</si>
  <si>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</si>
  <si>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X1</t>
  </si>
  <si>
    <t>X2</t>
  </si>
  <si>
    <t>+</t>
  </si>
  <si>
    <t>-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</si>
  <si>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</si>
  <si>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</si>
  <si>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C</t>
    </r>
    <r>
      <rPr>
        <b/>
        <i/>
        <vertAlign val="subscript"/>
        <sz val="10"/>
        <rFont val="Arial"/>
        <family val="2"/>
      </rPr>
      <t>p</t>
    </r>
    <r>
      <rPr>
        <b/>
        <vertAlign val="subscript"/>
        <sz val="10"/>
        <rFont val="Arial"/>
        <family val="2"/>
      </rPr>
      <t>m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</si>
  <si>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</si>
  <si>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</si>
  <si>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</si>
  <si>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</si>
  <si>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</si>
  <si>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</si>
  <si>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</si>
  <si>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</si>
  <si>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</si>
  <si>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</si>
  <si>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</si>
  <si>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±</t>
  </si>
  <si>
    <t>Aragonite</t>
  </si>
  <si>
    <t>Calcite</t>
  </si>
  <si>
    <t>Vaterite</t>
  </si>
  <si>
    <t>Nordstrom et al. (1990)</t>
  </si>
  <si>
    <t>Hummel W. &amp; Thoenen T. (2023): The PSI Chemical Thermodynamic Database 2020 (TDB 2020), Nagra Technical Report NTB 21-03</t>
  </si>
  <si>
    <t>Least squares regression analysis of experimental data using the three-term temperature equation as described in NTB 21-03 Chapter 1.6.2 Constant heat capacity of reaction</t>
  </si>
  <si>
    <t>References</t>
  </si>
  <si>
    <t>Chapter 4.2.6.2 Calcium(II) carbonate compounds</t>
  </si>
  <si>
    <t>1982PLU/BUS</t>
  </si>
  <si>
    <r>
      <t>Plummer, L.N. &amp; Busenberg, E. (1982): The solubilities of calcite, aragonite and vaterite in CO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-H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 solutions between 0 and 90°C, and an evaluation of the aqueous model for the system 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>-CO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-H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O. Geochim. Cosmochim. Acta, 46, 1011–1040.</t>
    </r>
  </si>
  <si>
    <t>1990NOR/PLU</t>
  </si>
  <si>
    <t>Nordstrom, D.K., Plummer, L.N., Langmuir, D., Busenberg, E., May, H.M., Jones, B.F. &amp; Parkhurst, D.L. (1990): Revised Chemical Equilibrium Data for Major Water-Mineral Reactions and Their Limitations. In: Melchior, D.C., and Bassett, R.L. (eds.): Chemical Modeling of Aqueous Systems II. Washington, D.C., American Chemical Society, ACS Symposium Series 416, p. 398–413.</t>
  </si>
  <si>
    <t>Difference</t>
  </si>
  <si>
    <t>Brown, P.L., Ekberg, C. &amp; Matyskin, A.V. (2019): On the solubility of radium and other alkaline earth sulfate and carbonate phases at elevated temperature. Geochim. Cosmochim. Acta, 255, 88–104.</t>
  </si>
  <si>
    <t>2019BRO/EKB</t>
  </si>
  <si>
    <r>
      <t>CaCO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(calcite) = Ca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2-</t>
    </r>
  </si>
  <si>
    <r>
      <t>CaCO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(aragonite) = Ca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2-</t>
    </r>
  </si>
  <si>
    <r>
      <t>CaCO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(vaterite) = Ca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2-</t>
    </r>
  </si>
  <si>
    <t>2019BRO/EKB:</t>
  </si>
  <si>
    <t>doi:10.1016/0016-7037(82)90056-4</t>
  </si>
  <si>
    <t>doi:10.1021/bk-1990-0416.ch031</t>
  </si>
  <si>
    <t>doi:10.1016/j.gca.2019.04.009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</si>
</sst>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0"/>
      <name val="Arial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Symbol"/>
      <family val="1"/>
      <charset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4" fillId="0" borderId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quotePrefix="1" applyFont="1" applyAlignment="1">
      <alignment horizontal="center"/>
    </xf>
    <xf numFmtId="164" fontId="0" fillId="0" borderId="0" xfId="0" applyNumberFormat="1"/>
    <xf numFmtId="0" fontId="5" fillId="0" borderId="0" xfId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2" applyFont="1" applyAlignment="1">
      <alignment horizontal="right"/>
    </xf>
    <xf numFmtId="0" fontId="3" fillId="0" borderId="0" xfId="1"/>
    <xf numFmtId="0" fontId="9" fillId="0" borderId="0" xfId="2" applyFont="1" applyAlignment="1">
      <alignment horizontal="right"/>
    </xf>
    <xf numFmtId="0" fontId="8" fillId="0" borderId="0" xfId="2" applyFont="1" applyAlignment="1">
      <alignment horizontal="right"/>
    </xf>
    <xf numFmtId="0" fontId="6" fillId="0" borderId="0" xfId="2" applyFont="1"/>
    <xf numFmtId="165" fontId="4" fillId="0" borderId="0" xfId="0" applyNumberFormat="1" applyFont="1"/>
    <xf numFmtId="165" fontId="0" fillId="0" borderId="0" xfId="0" applyNumberFormat="1"/>
    <xf numFmtId="2" fontId="4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7" fillId="0" borderId="0" xfId="3"/>
  </cellXfs>
  <cellStyles count="4">
    <cellStyle name="Enllaç" xfId="3" builtinId="8"/>
    <cellStyle name="Normal" xfId="0" builtinId="0"/>
    <cellStyle name="Normal 2" xfId="1" xr:uid="{00000000-0005-0000-0000-000000000000}"/>
    <cellStyle name="Normal 3" xfId="2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01597444089456"/>
          <c:y val="2.8824833702882482E-2"/>
          <c:w val="0.84185303514376997"/>
          <c:h val="0.82483370288248337"/>
        </c:manualLayout>
      </c:layout>
      <c:scatterChart>
        <c:scatterStyle val="smoothMarker"/>
        <c:varyColors val="0"/>
        <c:ser>
          <c:idx val="0"/>
          <c:order val="0"/>
          <c:tx>
            <c:v>Majer &amp; Stulik (1982)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Calcite!$F$26:$F$59</c:f>
                <c:numCache>
                  <c:formatCode>General</c:formatCode>
                  <c:ptCount val="34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0.04</c:v>
                  </c:pt>
                  <c:pt idx="8">
                    <c:v>0.04</c:v>
                  </c:pt>
                  <c:pt idx="9">
                    <c:v>0.04</c:v>
                  </c:pt>
                  <c:pt idx="10">
                    <c:v>0.04</c:v>
                  </c:pt>
                  <c:pt idx="11">
                    <c:v>0.04</c:v>
                  </c:pt>
                  <c:pt idx="12">
                    <c:v>0.04</c:v>
                  </c:pt>
                  <c:pt idx="13">
                    <c:v>0.04</c:v>
                  </c:pt>
                  <c:pt idx="14">
                    <c:v>0.04</c:v>
                  </c:pt>
                  <c:pt idx="15">
                    <c:v>0.04</c:v>
                  </c:pt>
                  <c:pt idx="16">
                    <c:v>0.04</c:v>
                  </c:pt>
                  <c:pt idx="17">
                    <c:v>0.04</c:v>
                  </c:pt>
                  <c:pt idx="18">
                    <c:v>0.04</c:v>
                  </c:pt>
                  <c:pt idx="19">
                    <c:v>0.04</c:v>
                  </c:pt>
                  <c:pt idx="20">
                    <c:v>0.04</c:v>
                  </c:pt>
                  <c:pt idx="21">
                    <c:v>0.04</c:v>
                  </c:pt>
                  <c:pt idx="22">
                    <c:v>0.04</c:v>
                  </c:pt>
                  <c:pt idx="23">
                    <c:v>0.04</c:v>
                  </c:pt>
                  <c:pt idx="24">
                    <c:v>0.04</c:v>
                  </c:pt>
                  <c:pt idx="25">
                    <c:v>0.04</c:v>
                  </c:pt>
                  <c:pt idx="26">
                    <c:v>0.04</c:v>
                  </c:pt>
                  <c:pt idx="27">
                    <c:v>0.04</c:v>
                  </c:pt>
                  <c:pt idx="28">
                    <c:v>0.04</c:v>
                  </c:pt>
                  <c:pt idx="29">
                    <c:v>0.04</c:v>
                  </c:pt>
                  <c:pt idx="30">
                    <c:v>0.04</c:v>
                  </c:pt>
                  <c:pt idx="31">
                    <c:v>0.04</c:v>
                  </c:pt>
                  <c:pt idx="32">
                    <c:v>0.04</c:v>
                  </c:pt>
                  <c:pt idx="33">
                    <c:v>0.04</c:v>
                  </c:pt>
                </c:numCache>
              </c:numRef>
            </c:plus>
            <c:minus>
              <c:numRef>
                <c:f>Calcite!$F$26:$F$59</c:f>
                <c:numCache>
                  <c:formatCode>General</c:formatCode>
                  <c:ptCount val="34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0.04</c:v>
                  </c:pt>
                  <c:pt idx="8">
                    <c:v>0.04</c:v>
                  </c:pt>
                  <c:pt idx="9">
                    <c:v>0.04</c:v>
                  </c:pt>
                  <c:pt idx="10">
                    <c:v>0.04</c:v>
                  </c:pt>
                  <c:pt idx="11">
                    <c:v>0.04</c:v>
                  </c:pt>
                  <c:pt idx="12">
                    <c:v>0.04</c:v>
                  </c:pt>
                  <c:pt idx="13">
                    <c:v>0.04</c:v>
                  </c:pt>
                  <c:pt idx="14">
                    <c:v>0.04</c:v>
                  </c:pt>
                  <c:pt idx="15">
                    <c:v>0.04</c:v>
                  </c:pt>
                  <c:pt idx="16">
                    <c:v>0.04</c:v>
                  </c:pt>
                  <c:pt idx="17">
                    <c:v>0.04</c:v>
                  </c:pt>
                  <c:pt idx="18">
                    <c:v>0.04</c:v>
                  </c:pt>
                  <c:pt idx="19">
                    <c:v>0.04</c:v>
                  </c:pt>
                  <c:pt idx="20">
                    <c:v>0.04</c:v>
                  </c:pt>
                  <c:pt idx="21">
                    <c:v>0.04</c:v>
                  </c:pt>
                  <c:pt idx="22">
                    <c:v>0.04</c:v>
                  </c:pt>
                  <c:pt idx="23">
                    <c:v>0.04</c:v>
                  </c:pt>
                  <c:pt idx="24">
                    <c:v>0.04</c:v>
                  </c:pt>
                  <c:pt idx="25">
                    <c:v>0.04</c:v>
                  </c:pt>
                  <c:pt idx="26">
                    <c:v>0.04</c:v>
                  </c:pt>
                  <c:pt idx="27">
                    <c:v>0.04</c:v>
                  </c:pt>
                  <c:pt idx="28">
                    <c:v>0.04</c:v>
                  </c:pt>
                  <c:pt idx="29">
                    <c:v>0.04</c:v>
                  </c:pt>
                  <c:pt idx="30">
                    <c:v>0.04</c:v>
                  </c:pt>
                  <c:pt idx="31">
                    <c:v>0.04</c:v>
                  </c:pt>
                  <c:pt idx="32">
                    <c:v>0.04</c:v>
                  </c:pt>
                  <c:pt idx="33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Calcite!$A$26:$A$59</c:f>
              <c:numCache>
                <c:formatCode>0.0</c:formatCode>
                <c:ptCount val="34"/>
                <c:pt idx="0">
                  <c:v>0.2</c:v>
                </c:pt>
                <c:pt idx="1">
                  <c:v>3.8</c:v>
                </c:pt>
                <c:pt idx="2">
                  <c:v>4.5999999999999996</c:v>
                </c:pt>
                <c:pt idx="3">
                  <c:v>5</c:v>
                </c:pt>
                <c:pt idx="4">
                  <c:v>10</c:v>
                </c:pt>
                <c:pt idx="5">
                  <c:v>14.7</c:v>
                </c:pt>
                <c:pt idx="6">
                  <c:v>15.1</c:v>
                </c:pt>
                <c:pt idx="7">
                  <c:v>24.6</c:v>
                </c:pt>
                <c:pt idx="8">
                  <c:v>25</c:v>
                </c:pt>
                <c:pt idx="9">
                  <c:v>25.5</c:v>
                </c:pt>
                <c:pt idx="10">
                  <c:v>35</c:v>
                </c:pt>
                <c:pt idx="11">
                  <c:v>37.799999999999997</c:v>
                </c:pt>
                <c:pt idx="12">
                  <c:v>38</c:v>
                </c:pt>
                <c:pt idx="13">
                  <c:v>45</c:v>
                </c:pt>
                <c:pt idx="14">
                  <c:v>51.1</c:v>
                </c:pt>
                <c:pt idx="15">
                  <c:v>51.6</c:v>
                </c:pt>
                <c:pt idx="16">
                  <c:v>54.5</c:v>
                </c:pt>
                <c:pt idx="17">
                  <c:v>54.8</c:v>
                </c:pt>
                <c:pt idx="18">
                  <c:v>55</c:v>
                </c:pt>
                <c:pt idx="19">
                  <c:v>55.2</c:v>
                </c:pt>
                <c:pt idx="20">
                  <c:v>57.6</c:v>
                </c:pt>
                <c:pt idx="21">
                  <c:v>64.599999999999994</c:v>
                </c:pt>
                <c:pt idx="22">
                  <c:v>65</c:v>
                </c:pt>
                <c:pt idx="23">
                  <c:v>72.400000000000006</c:v>
                </c:pt>
                <c:pt idx="24">
                  <c:v>73</c:v>
                </c:pt>
                <c:pt idx="25">
                  <c:v>74.900000000000006</c:v>
                </c:pt>
                <c:pt idx="26">
                  <c:v>75.2</c:v>
                </c:pt>
                <c:pt idx="27">
                  <c:v>75.400000000000006</c:v>
                </c:pt>
                <c:pt idx="28">
                  <c:v>80.099999999999994</c:v>
                </c:pt>
                <c:pt idx="29">
                  <c:v>81</c:v>
                </c:pt>
                <c:pt idx="30">
                  <c:v>81.7</c:v>
                </c:pt>
                <c:pt idx="31">
                  <c:v>82</c:v>
                </c:pt>
                <c:pt idx="32">
                  <c:v>88.5</c:v>
                </c:pt>
                <c:pt idx="33">
                  <c:v>89.7</c:v>
                </c:pt>
              </c:numCache>
            </c:numRef>
          </c:xVal>
          <c:yVal>
            <c:numRef>
              <c:f>Calcite!$E$26:$E$59</c:f>
              <c:numCache>
                <c:formatCode>0.000</c:formatCode>
                <c:ptCount val="34"/>
                <c:pt idx="0">
                  <c:v>-8.3789999999999996</c:v>
                </c:pt>
                <c:pt idx="1">
                  <c:v>-8.3970000000000002</c:v>
                </c:pt>
                <c:pt idx="2">
                  <c:v>-8.3759999999999994</c:v>
                </c:pt>
                <c:pt idx="3">
                  <c:v>-8.3780000000000001</c:v>
                </c:pt>
                <c:pt idx="4">
                  <c:v>-8.41</c:v>
                </c:pt>
                <c:pt idx="5">
                  <c:v>-8.4250000000000007</c:v>
                </c:pt>
                <c:pt idx="6">
                  <c:v>-8.4039999999999999</c:v>
                </c:pt>
                <c:pt idx="7">
                  <c:v>-8.4890000000000008</c:v>
                </c:pt>
                <c:pt idx="8">
                  <c:v>-8.4849999999999994</c:v>
                </c:pt>
                <c:pt idx="9">
                  <c:v>-8.4890000000000008</c:v>
                </c:pt>
                <c:pt idx="10">
                  <c:v>-8.5530000000000008</c:v>
                </c:pt>
                <c:pt idx="11">
                  <c:v>-8.5579999999999998</c:v>
                </c:pt>
                <c:pt idx="12">
                  <c:v>-8.5589999999999993</c:v>
                </c:pt>
                <c:pt idx="13">
                  <c:v>-8.6280000000000001</c:v>
                </c:pt>
                <c:pt idx="14">
                  <c:v>-8.6630000000000003</c:v>
                </c:pt>
                <c:pt idx="15">
                  <c:v>-8.6639999999999997</c:v>
                </c:pt>
                <c:pt idx="16">
                  <c:v>-8.7059999999999995</c:v>
                </c:pt>
                <c:pt idx="17">
                  <c:v>-8.6989999999999998</c:v>
                </c:pt>
                <c:pt idx="18">
                  <c:v>-8.7040000000000006</c:v>
                </c:pt>
                <c:pt idx="19">
                  <c:v>-8.6880000000000006</c:v>
                </c:pt>
                <c:pt idx="20">
                  <c:v>-8.7309999999999999</c:v>
                </c:pt>
                <c:pt idx="21">
                  <c:v>-8.7789999999999999</c:v>
                </c:pt>
                <c:pt idx="22">
                  <c:v>-8.8030000000000008</c:v>
                </c:pt>
                <c:pt idx="23">
                  <c:v>-8.8759999999999994</c:v>
                </c:pt>
                <c:pt idx="24">
                  <c:v>-8.9309999999999992</c:v>
                </c:pt>
                <c:pt idx="25">
                  <c:v>-8.9139999999999997</c:v>
                </c:pt>
                <c:pt idx="26">
                  <c:v>-8.9060000000000006</c:v>
                </c:pt>
                <c:pt idx="27">
                  <c:v>-8.9220000000000006</c:v>
                </c:pt>
                <c:pt idx="28">
                  <c:v>-8.9949999999999992</c:v>
                </c:pt>
                <c:pt idx="29">
                  <c:v>-9</c:v>
                </c:pt>
                <c:pt idx="30">
                  <c:v>-9.0020000000000007</c:v>
                </c:pt>
                <c:pt idx="31">
                  <c:v>-9.0180000000000007</c:v>
                </c:pt>
                <c:pt idx="32">
                  <c:v>-9.1039999999999992</c:v>
                </c:pt>
                <c:pt idx="33">
                  <c:v>-9.1379999999999999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9E-43E0-980B-C33D91A7373C}"/>
            </c:ext>
          </c:extLst>
        </c:ser>
        <c:ser>
          <c:idx val="7"/>
          <c:order val="1"/>
          <c:tx>
            <c:v>Richardson &amp; Holland (1979)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Aragonite!$N$12:$N$18</c:f>
                <c:numCache>
                  <c:formatCode>General</c:formatCode>
                  <c:ptCount val="7"/>
                </c:numCache>
              </c:numRef>
            </c:plus>
            <c:minus>
              <c:numRef>
                <c:f>Aragonite!$N$12:$N$18</c:f>
                <c:numCache>
                  <c:formatCode>General</c:formatCode>
                  <c:ptCount val="7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Aragonite!$A$12:$A$18</c:f>
              <c:numCache>
                <c:formatCode>0.0</c:formatCode>
                <c:ptCount val="7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  <c:pt idx="6">
                  <c:v>44.9</c:v>
                </c:pt>
              </c:numCache>
            </c:numRef>
          </c:xVal>
          <c:yVal>
            <c:numRef>
              <c:f>Aragonite!$M$12:$M$18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9E-43E0-980B-C33D91A7373C}"/>
            </c:ext>
          </c:extLst>
        </c:ser>
        <c:ser>
          <c:idx val="1"/>
          <c:order val="2"/>
          <c:tx>
            <c:v>Bond &amp; Hefter (1971)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Aragonite!$H$12:$H$19</c:f>
                <c:numCache>
                  <c:formatCode>General</c:formatCode>
                  <c:ptCount val="8"/>
                </c:numCache>
              </c:numRef>
            </c:plus>
            <c:minus>
              <c:numRef>
                <c:f>Aragonite!$H$12:$H$19</c:f>
                <c:numCache>
                  <c:formatCode>General</c:formatCode>
                  <c:ptCount val="8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Aragonite!$A$12:$A$19</c:f>
              <c:numCache>
                <c:formatCode>0.0</c:formatCode>
                <c:ptCount val="8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  <c:pt idx="6">
                  <c:v>44.9</c:v>
                </c:pt>
                <c:pt idx="7">
                  <c:v>55</c:v>
                </c:pt>
              </c:numCache>
            </c:numRef>
          </c:xVal>
          <c:yVal>
            <c:numRef>
              <c:f>Aragonite!$G$12:$G$19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9E-43E0-980B-C33D91A7373C}"/>
            </c:ext>
          </c:extLst>
        </c:ser>
        <c:ser>
          <c:idx val="6"/>
          <c:order val="3"/>
          <c:tx>
            <c:v>Elgquist (1970)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Aragonite!$A$12:$A$17</c:f>
              <c:numCache>
                <c:formatCode>0.0</c:formatCode>
                <c:ptCount val="6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</c:numCache>
            </c:numRef>
          </c:xVal>
          <c:yVal>
            <c:numRef>
              <c:f>Aragonite!$I$12:$I$17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49E-43E0-980B-C33D91A7373C}"/>
            </c:ext>
          </c:extLst>
        </c:ser>
        <c:ser>
          <c:idx val="2"/>
          <c:order val="4"/>
          <c:tx>
            <c:v>Tanner et al. (1968)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Aragonite!$L$12:$L$17</c:f>
                <c:numCache>
                  <c:formatCode>General</c:formatCode>
                  <c:ptCount val="6"/>
                </c:numCache>
              </c:numRef>
            </c:plus>
            <c:minus>
              <c:numRef>
                <c:f>Aragonite!$L$12:$L$17</c:f>
                <c:numCache>
                  <c:formatCode>General</c:formatCode>
                  <c:ptCount val="6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Aragonite!$A$12:$A$17</c:f>
              <c:numCache>
                <c:formatCode>0.0</c:formatCode>
                <c:ptCount val="6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</c:numCache>
            </c:numRef>
          </c:xVal>
          <c:yVal>
            <c:numRef>
              <c:f>Aragonite!$K$12:$K$17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49E-43E0-980B-C33D91A7373C}"/>
            </c:ext>
          </c:extLst>
        </c:ser>
        <c:ser>
          <c:idx val="3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Calcite!$V$26:$V$35</c:f>
              <c:numCache>
                <c:formatCode>0.000</c:formatCode>
                <c:ptCount val="10"/>
                <c:pt idx="0">
                  <c:v>-8.3865348148636123</c:v>
                </c:pt>
                <c:pt idx="1">
                  <c:v>-8.3920142182367243</c:v>
                </c:pt>
                <c:pt idx="2">
                  <c:v>-8.4203269320864891</c:v>
                </c:pt>
                <c:pt idx="3">
                  <c:v>-8.4684366655924901</c:v>
                </c:pt>
                <c:pt idx="4">
                  <c:v>-8.5337117267969251</c:v>
                </c:pt>
                <c:pt idx="5">
                  <c:v>-8.6138956000638398</c:v>
                </c:pt>
                <c:pt idx="6">
                  <c:v>-8.7070457277467241</c:v>
                </c:pt>
                <c:pt idx="7">
                  <c:v>-8.8114836340192575</c:v>
                </c:pt>
                <c:pt idx="8">
                  <c:v>-8.9861742717690571</c:v>
                </c:pt>
                <c:pt idx="9">
                  <c:v>-9.1788907877596326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49E-43E0-980B-C33D91A7373C}"/>
            </c:ext>
          </c:extLst>
        </c:ser>
        <c:ser>
          <c:idx val="4"/>
          <c:order val="6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Calcite!$W$26:$W$35</c:f>
              <c:numCache>
                <c:formatCode>0.000</c:formatCode>
                <c:ptCount val="10"/>
                <c:pt idx="0">
                  <c:v>-8.3432504066689468</c:v>
                </c:pt>
                <c:pt idx="1">
                  <c:v>-8.3484514856597904</c:v>
                </c:pt>
                <c:pt idx="2">
                  <c:v>-8.3776321066128059</c:v>
                </c:pt>
                <c:pt idx="3">
                  <c:v>-8.4284366655924909</c:v>
                </c:pt>
                <c:pt idx="4">
                  <c:v>-8.4894290422634722</c:v>
                </c:pt>
                <c:pt idx="5">
                  <c:v>-8.5639475257743776</c:v>
                </c:pt>
                <c:pt idx="6">
                  <c:v>-8.6502263251499425</c:v>
                </c:pt>
                <c:pt idx="7">
                  <c:v>-8.7467398415391386</c:v>
                </c:pt>
                <c:pt idx="8">
                  <c:v>-8.9078548665623369</c:v>
                </c:pt>
                <c:pt idx="9">
                  <c:v>-9.085298926999517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49E-43E0-980B-C33D91A7373C}"/>
            </c:ext>
          </c:extLst>
        </c:ser>
        <c:ser>
          <c:idx val="5"/>
          <c:order val="7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Calcite!$X$26:$X$35</c:f>
              <c:numCache>
                <c:formatCode>0.000</c:formatCode>
                <c:ptCount val="10"/>
                <c:pt idx="0">
                  <c:v>-8.4298192230582796</c:v>
                </c:pt>
                <c:pt idx="1">
                  <c:v>-8.4355769508136564</c:v>
                </c:pt>
                <c:pt idx="2">
                  <c:v>-8.4630217575601741</c:v>
                </c:pt>
                <c:pt idx="3">
                  <c:v>-8.5084366655924892</c:v>
                </c:pt>
                <c:pt idx="4">
                  <c:v>-8.5779944113303763</c:v>
                </c:pt>
                <c:pt idx="5">
                  <c:v>-8.6638436743533038</c:v>
                </c:pt>
                <c:pt idx="6">
                  <c:v>-8.7638651303435058</c:v>
                </c:pt>
                <c:pt idx="7">
                  <c:v>-8.8762274264993763</c:v>
                </c:pt>
                <c:pt idx="8">
                  <c:v>-9.0644936769757756</c:v>
                </c:pt>
                <c:pt idx="9">
                  <c:v>-9.2724826485197482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49E-43E0-980B-C33D91A7373C}"/>
            </c:ext>
          </c:extLst>
        </c:ser>
        <c:ser>
          <c:idx val="8"/>
          <c:order val="8"/>
          <c:spPr>
            <a:ln w="254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Calcite!$AC$26:$AC$35</c:f>
              <c:numCache>
                <c:formatCode>General</c:formatCode>
                <c:ptCount val="10"/>
                <c:pt idx="0">
                  <c:v>-8.3825442556359917</c:v>
                </c:pt>
                <c:pt idx="1">
                  <c:v>-8.3942234887040286</c:v>
                </c:pt>
                <c:pt idx="2">
                  <c:v>-8.4301731337103263</c:v>
                </c:pt>
                <c:pt idx="3">
                  <c:v>-8.4798298751538255</c:v>
                </c:pt>
                <c:pt idx="4">
                  <c:v>-8.5430344360821664</c:v>
                </c:pt>
                <c:pt idx="5">
                  <c:v>-8.619573648820591</c:v>
                </c:pt>
                <c:pt idx="6">
                  <c:v>-8.7091954284781252</c:v>
                </c:pt>
                <c:pt idx="7">
                  <c:v>-8.8116202890454929</c:v>
                </c:pt>
                <c:pt idx="8">
                  <c:v>-8.9886080896159797</c:v>
                </c:pt>
                <c:pt idx="9">
                  <c:v>-9.1926799286944458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49E-43E0-980B-C33D91A73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205200"/>
        <c:axId val="1"/>
      </c:scatterChart>
      <c:valAx>
        <c:axId val="26120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51757188498402551"/>
              <c:y val="0.9179600886917960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10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7.9872204472843447E-3"/>
              <c:y val="0.4035476718403547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61205200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8804302780229"/>
          <c:y val="2.843601895734597E-2"/>
          <c:w val="0.82558460512802045"/>
          <c:h val="0.8572703412073491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Aragonite!$C$12:$C$22</c:f>
              <c:numCache>
                <c:formatCode>General</c:formatCode>
                <c:ptCount val="11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  <c:pt idx="7">
                  <c:v>3.0473868657626088E-3</c:v>
                </c:pt>
                <c:pt idx="8">
                  <c:v>2.9572674848440043E-3</c:v>
                </c:pt>
                <c:pt idx="9">
                  <c:v>2.831657935721365E-3</c:v>
                </c:pt>
                <c:pt idx="10">
                  <c:v>2.7536830510808208E-3</c:v>
                </c:pt>
              </c:numCache>
            </c:numRef>
          </c:xVal>
          <c:yVal>
            <c:numRef>
              <c:f>Aragonite!$E$12:$E$22</c:f>
              <c:numCache>
                <c:formatCode>0.00</c:formatCode>
                <c:ptCount val="11"/>
                <c:pt idx="0">
                  <c:v>-8.2260000000000009</c:v>
                </c:pt>
                <c:pt idx="1">
                  <c:v>-8.2260000000000009</c:v>
                </c:pt>
                <c:pt idx="2">
                  <c:v>-8.234</c:v>
                </c:pt>
                <c:pt idx="3">
                  <c:v>-8.2739999999999991</c:v>
                </c:pt>
                <c:pt idx="4">
                  <c:v>-8.3320000000000007</c:v>
                </c:pt>
                <c:pt idx="5">
                  <c:v>-8.3949999999999996</c:v>
                </c:pt>
                <c:pt idx="6">
                  <c:v>-8.4740000000000002</c:v>
                </c:pt>
                <c:pt idx="7">
                  <c:v>-8.59</c:v>
                </c:pt>
                <c:pt idx="8">
                  <c:v>-8.6980000000000004</c:v>
                </c:pt>
                <c:pt idx="9">
                  <c:v>-8.8759999999999994</c:v>
                </c:pt>
                <c:pt idx="10">
                  <c:v>-9.0210000000000008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A-4605-A0ED-5944F3BA294D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2060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Aragonite!$C$12:$C$19</c:f>
              <c:numCache>
                <c:formatCode>General</c:formatCode>
                <c:ptCount val="8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  <c:pt idx="7">
                  <c:v>3.0473868657626088E-3</c:v>
                </c:pt>
              </c:numCache>
            </c:numRef>
          </c:xVal>
          <c:yVal>
            <c:numRef>
              <c:f>Aragonite!$G$12:$G$19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FA-4605-A0ED-5944F3BA294D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Aragonite!$C$12:$C$17</c:f>
              <c:numCache>
                <c:formatCode>General</c:formatCode>
                <c:ptCount val="6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</c:numCache>
            </c:numRef>
          </c:xVal>
          <c:yVal>
            <c:numRef>
              <c:f>Aragonite!$K$12:$K$17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FA-4605-A0ED-5944F3BA294D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x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Aragonite!$C$12:$C$17</c:f>
              <c:numCache>
                <c:formatCode>General</c:formatCode>
                <c:ptCount val="6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</c:numCache>
            </c:numRef>
          </c:xVal>
          <c:yVal>
            <c:numRef>
              <c:f>Aragonite!$I$12:$I$17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FA-4605-A0ED-5944F3BA294D}"/>
            </c:ext>
          </c:extLst>
        </c:ser>
        <c:ser>
          <c:idx val="4"/>
          <c:order val="4"/>
          <c:spPr>
            <a:ln w="28575">
              <a:noFill/>
            </a:ln>
          </c:spPr>
          <c:marker>
            <c:symbol val="star"/>
            <c:size val="5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Aragonite!$C$12:$C$18</c:f>
              <c:numCache>
                <c:formatCode>General</c:formatCode>
                <c:ptCount val="7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</c:numCache>
            </c:numRef>
          </c:xVal>
          <c:yVal>
            <c:numRef>
              <c:f>Aragonite!$M$12:$M$18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FA-4605-A0ED-5944F3BA2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20656"/>
        <c:axId val="1"/>
      </c:scatterChart>
      <c:valAx>
        <c:axId val="260120656"/>
        <c:scaling>
          <c:orientation val="minMax"/>
          <c:max val="3.700000000000001E-3"/>
          <c:min val="2.5000000000000005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 / T [K]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At val="-10001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</a:t>
                </a:r>
                <a:r>
                  <a:rPr lang="en-US" baseline="-25000"/>
                  <a:t>10</a:t>
                </a:r>
                <a:r>
                  <a:rPr lang="en-US"/>
                  <a:t>K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01206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01597444089456"/>
          <c:y val="3.7694013303769404E-2"/>
          <c:w val="0.84185303514376997"/>
          <c:h val="0.82483370288248337"/>
        </c:manualLayout>
      </c:layout>
      <c:scatterChart>
        <c:scatterStyle val="smoothMarker"/>
        <c:varyColors val="0"/>
        <c:ser>
          <c:idx val="1"/>
          <c:order val="0"/>
          <c:tx>
            <c:v>Vaterite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Vaterite!$F$12:$F$22</c:f>
                <c:numCache>
                  <c:formatCode>General</c:formatCode>
                  <c:ptCount val="11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0.06</c:v>
                  </c:pt>
                  <c:pt idx="8">
                    <c:v>0.06</c:v>
                  </c:pt>
                  <c:pt idx="9">
                    <c:v>0.06</c:v>
                  </c:pt>
                  <c:pt idx="10">
                    <c:v>0.04</c:v>
                  </c:pt>
                </c:numCache>
              </c:numRef>
            </c:plus>
            <c:minus>
              <c:numRef>
                <c:f>Vaterite!$F$12:$F$22</c:f>
                <c:numCache>
                  <c:formatCode>General</c:formatCode>
                  <c:ptCount val="11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0.06</c:v>
                  </c:pt>
                  <c:pt idx="8">
                    <c:v>0.06</c:v>
                  </c:pt>
                  <c:pt idx="9">
                    <c:v>0.06</c:v>
                  </c:pt>
                  <c:pt idx="10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Vaterite!$A$12:$A$22</c:f>
              <c:numCache>
                <c:formatCode>0.0</c:formatCode>
                <c:ptCount val="11"/>
                <c:pt idx="0">
                  <c:v>0</c:v>
                </c:pt>
                <c:pt idx="1">
                  <c:v>15.3</c:v>
                </c:pt>
                <c:pt idx="2">
                  <c:v>25.1</c:v>
                </c:pt>
                <c:pt idx="3">
                  <c:v>25.1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80</c:v>
                </c:pt>
                <c:pt idx="10">
                  <c:v>90</c:v>
                </c:pt>
              </c:numCache>
            </c:numRef>
          </c:xVal>
          <c:yVal>
            <c:numRef>
              <c:f>Vaterite!$E$12:$E$22</c:f>
              <c:numCache>
                <c:formatCode>0.000</c:formatCode>
                <c:ptCount val="11"/>
                <c:pt idx="0">
                  <c:v>-7.7389999999999999</c:v>
                </c:pt>
                <c:pt idx="1">
                  <c:v>-7.8369999999999997</c:v>
                </c:pt>
                <c:pt idx="2">
                  <c:v>-7.9020000000000001</c:v>
                </c:pt>
                <c:pt idx="3">
                  <c:v>-7.9</c:v>
                </c:pt>
                <c:pt idx="4">
                  <c:v>-8.0210000000000008</c:v>
                </c:pt>
                <c:pt idx="5">
                  <c:v>-8.1270000000000007</c:v>
                </c:pt>
                <c:pt idx="6">
                  <c:v>-8.2319999999999993</c:v>
                </c:pt>
                <c:pt idx="7">
                  <c:v>-8.3640000000000008</c:v>
                </c:pt>
                <c:pt idx="8">
                  <c:v>-8.5630000000000006</c:v>
                </c:pt>
                <c:pt idx="9">
                  <c:v>-8.5760000000000005</c:v>
                </c:pt>
                <c:pt idx="10">
                  <c:v>-8.69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13-402E-8BE9-5C077691803B}"/>
            </c:ext>
          </c:extLst>
        </c:ser>
        <c:ser>
          <c:idx val="7"/>
          <c:order val="1"/>
          <c:tx>
            <c:v>Aragonite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Aragonite!$F$12:$F$22</c:f>
                <c:numCache>
                  <c:formatCode>General</c:formatCode>
                  <c:ptCount val="11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0.04</c:v>
                  </c:pt>
                  <c:pt idx="8">
                    <c:v>0.04</c:v>
                  </c:pt>
                  <c:pt idx="9">
                    <c:v>0.04</c:v>
                  </c:pt>
                  <c:pt idx="10">
                    <c:v>0.04</c:v>
                  </c:pt>
                </c:numCache>
              </c:numRef>
            </c:plus>
            <c:minus>
              <c:numRef>
                <c:f>Aragonite!$F$12:$F$22</c:f>
                <c:numCache>
                  <c:formatCode>General</c:formatCode>
                  <c:ptCount val="11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0.04</c:v>
                  </c:pt>
                  <c:pt idx="8">
                    <c:v>0.04</c:v>
                  </c:pt>
                  <c:pt idx="9">
                    <c:v>0.04</c:v>
                  </c:pt>
                  <c:pt idx="10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Aragonite!$A$12:$A$22</c:f>
              <c:numCache>
                <c:formatCode>0.0</c:formatCode>
                <c:ptCount val="11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  <c:pt idx="6">
                  <c:v>44.9</c:v>
                </c:pt>
                <c:pt idx="7">
                  <c:v>55</c:v>
                </c:pt>
                <c:pt idx="8">
                  <c:v>65</c:v>
                </c:pt>
                <c:pt idx="9">
                  <c:v>80</c:v>
                </c:pt>
                <c:pt idx="10">
                  <c:v>90</c:v>
                </c:pt>
              </c:numCache>
            </c:numRef>
          </c:xVal>
          <c:yVal>
            <c:numRef>
              <c:f>Aragonite!$E$12:$E$22</c:f>
              <c:numCache>
                <c:formatCode>0.00</c:formatCode>
                <c:ptCount val="11"/>
                <c:pt idx="0">
                  <c:v>-8.2260000000000009</c:v>
                </c:pt>
                <c:pt idx="1">
                  <c:v>-8.2260000000000009</c:v>
                </c:pt>
                <c:pt idx="2">
                  <c:v>-8.234</c:v>
                </c:pt>
                <c:pt idx="3">
                  <c:v>-8.2739999999999991</c:v>
                </c:pt>
                <c:pt idx="4">
                  <c:v>-8.3320000000000007</c:v>
                </c:pt>
                <c:pt idx="5">
                  <c:v>-8.3949999999999996</c:v>
                </c:pt>
                <c:pt idx="6">
                  <c:v>-8.4740000000000002</c:v>
                </c:pt>
                <c:pt idx="7">
                  <c:v>-8.59</c:v>
                </c:pt>
                <c:pt idx="8">
                  <c:v>-8.6980000000000004</c:v>
                </c:pt>
                <c:pt idx="9">
                  <c:v>-8.8759999999999994</c:v>
                </c:pt>
                <c:pt idx="10">
                  <c:v>-9.0210000000000008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13-402E-8BE9-5C077691803B}"/>
            </c:ext>
          </c:extLst>
        </c:ser>
        <c:ser>
          <c:idx val="0"/>
          <c:order val="2"/>
          <c:tx>
            <c:v>Calcite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Calcite!$F$26:$F$59</c:f>
                <c:numCache>
                  <c:formatCode>General</c:formatCode>
                  <c:ptCount val="34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0.04</c:v>
                  </c:pt>
                  <c:pt idx="8">
                    <c:v>0.04</c:v>
                  </c:pt>
                  <c:pt idx="9">
                    <c:v>0.04</c:v>
                  </c:pt>
                  <c:pt idx="10">
                    <c:v>0.04</c:v>
                  </c:pt>
                  <c:pt idx="11">
                    <c:v>0.04</c:v>
                  </c:pt>
                  <c:pt idx="12">
                    <c:v>0.04</c:v>
                  </c:pt>
                  <c:pt idx="13">
                    <c:v>0.04</c:v>
                  </c:pt>
                  <c:pt idx="14">
                    <c:v>0.04</c:v>
                  </c:pt>
                  <c:pt idx="15">
                    <c:v>0.04</c:v>
                  </c:pt>
                  <c:pt idx="16">
                    <c:v>0.04</c:v>
                  </c:pt>
                  <c:pt idx="17">
                    <c:v>0.04</c:v>
                  </c:pt>
                  <c:pt idx="18">
                    <c:v>0.04</c:v>
                  </c:pt>
                  <c:pt idx="19">
                    <c:v>0.04</c:v>
                  </c:pt>
                  <c:pt idx="20">
                    <c:v>0.04</c:v>
                  </c:pt>
                  <c:pt idx="21">
                    <c:v>0.04</c:v>
                  </c:pt>
                  <c:pt idx="22">
                    <c:v>0.04</c:v>
                  </c:pt>
                  <c:pt idx="23">
                    <c:v>0.04</c:v>
                  </c:pt>
                  <c:pt idx="24">
                    <c:v>0.04</c:v>
                  </c:pt>
                  <c:pt idx="25">
                    <c:v>0.04</c:v>
                  </c:pt>
                  <c:pt idx="26">
                    <c:v>0.04</c:v>
                  </c:pt>
                  <c:pt idx="27">
                    <c:v>0.04</c:v>
                  </c:pt>
                  <c:pt idx="28">
                    <c:v>0.04</c:v>
                  </c:pt>
                  <c:pt idx="29">
                    <c:v>0.04</c:v>
                  </c:pt>
                  <c:pt idx="30">
                    <c:v>0.04</c:v>
                  </c:pt>
                  <c:pt idx="31">
                    <c:v>0.04</c:v>
                  </c:pt>
                  <c:pt idx="32">
                    <c:v>0.04</c:v>
                  </c:pt>
                  <c:pt idx="33">
                    <c:v>0.04</c:v>
                  </c:pt>
                </c:numCache>
              </c:numRef>
            </c:plus>
            <c:minus>
              <c:numRef>
                <c:f>Calcite!$F$26:$F$59</c:f>
                <c:numCache>
                  <c:formatCode>General</c:formatCode>
                  <c:ptCount val="34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0.04</c:v>
                  </c:pt>
                  <c:pt idx="8">
                    <c:v>0.04</c:v>
                  </c:pt>
                  <c:pt idx="9">
                    <c:v>0.04</c:v>
                  </c:pt>
                  <c:pt idx="10">
                    <c:v>0.04</c:v>
                  </c:pt>
                  <c:pt idx="11">
                    <c:v>0.04</c:v>
                  </c:pt>
                  <c:pt idx="12">
                    <c:v>0.04</c:v>
                  </c:pt>
                  <c:pt idx="13">
                    <c:v>0.04</c:v>
                  </c:pt>
                  <c:pt idx="14">
                    <c:v>0.04</c:v>
                  </c:pt>
                  <c:pt idx="15">
                    <c:v>0.04</c:v>
                  </c:pt>
                  <c:pt idx="16">
                    <c:v>0.04</c:v>
                  </c:pt>
                  <c:pt idx="17">
                    <c:v>0.04</c:v>
                  </c:pt>
                  <c:pt idx="18">
                    <c:v>0.04</c:v>
                  </c:pt>
                  <c:pt idx="19">
                    <c:v>0.04</c:v>
                  </c:pt>
                  <c:pt idx="20">
                    <c:v>0.04</c:v>
                  </c:pt>
                  <c:pt idx="21">
                    <c:v>0.04</c:v>
                  </c:pt>
                  <c:pt idx="22">
                    <c:v>0.04</c:v>
                  </c:pt>
                  <c:pt idx="23">
                    <c:v>0.04</c:v>
                  </c:pt>
                  <c:pt idx="24">
                    <c:v>0.04</c:v>
                  </c:pt>
                  <c:pt idx="25">
                    <c:v>0.04</c:v>
                  </c:pt>
                  <c:pt idx="26">
                    <c:v>0.04</c:v>
                  </c:pt>
                  <c:pt idx="27">
                    <c:v>0.04</c:v>
                  </c:pt>
                  <c:pt idx="28">
                    <c:v>0.04</c:v>
                  </c:pt>
                  <c:pt idx="29">
                    <c:v>0.04</c:v>
                  </c:pt>
                  <c:pt idx="30">
                    <c:v>0.04</c:v>
                  </c:pt>
                  <c:pt idx="31">
                    <c:v>0.04</c:v>
                  </c:pt>
                  <c:pt idx="32">
                    <c:v>0.04</c:v>
                  </c:pt>
                  <c:pt idx="33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Calcite!$A$26:$A$59</c:f>
              <c:numCache>
                <c:formatCode>0.0</c:formatCode>
                <c:ptCount val="34"/>
                <c:pt idx="0">
                  <c:v>0.2</c:v>
                </c:pt>
                <c:pt idx="1">
                  <c:v>3.8</c:v>
                </c:pt>
                <c:pt idx="2">
                  <c:v>4.5999999999999996</c:v>
                </c:pt>
                <c:pt idx="3">
                  <c:v>5</c:v>
                </c:pt>
                <c:pt idx="4">
                  <c:v>10</c:v>
                </c:pt>
                <c:pt idx="5">
                  <c:v>14.7</c:v>
                </c:pt>
                <c:pt idx="6">
                  <c:v>15.1</c:v>
                </c:pt>
                <c:pt idx="7">
                  <c:v>24.6</c:v>
                </c:pt>
                <c:pt idx="8">
                  <c:v>25</c:v>
                </c:pt>
                <c:pt idx="9">
                  <c:v>25.5</c:v>
                </c:pt>
                <c:pt idx="10">
                  <c:v>35</c:v>
                </c:pt>
                <c:pt idx="11">
                  <c:v>37.799999999999997</c:v>
                </c:pt>
                <c:pt idx="12">
                  <c:v>38</c:v>
                </c:pt>
                <c:pt idx="13">
                  <c:v>45</c:v>
                </c:pt>
                <c:pt idx="14">
                  <c:v>51.1</c:v>
                </c:pt>
                <c:pt idx="15">
                  <c:v>51.6</c:v>
                </c:pt>
                <c:pt idx="16">
                  <c:v>54.5</c:v>
                </c:pt>
                <c:pt idx="17">
                  <c:v>54.8</c:v>
                </c:pt>
                <c:pt idx="18">
                  <c:v>55</c:v>
                </c:pt>
                <c:pt idx="19">
                  <c:v>55.2</c:v>
                </c:pt>
                <c:pt idx="20">
                  <c:v>57.6</c:v>
                </c:pt>
                <c:pt idx="21">
                  <c:v>64.599999999999994</c:v>
                </c:pt>
                <c:pt idx="22">
                  <c:v>65</c:v>
                </c:pt>
                <c:pt idx="23">
                  <c:v>72.400000000000006</c:v>
                </c:pt>
                <c:pt idx="24">
                  <c:v>73</c:v>
                </c:pt>
                <c:pt idx="25">
                  <c:v>74.900000000000006</c:v>
                </c:pt>
                <c:pt idx="26">
                  <c:v>75.2</c:v>
                </c:pt>
                <c:pt idx="27">
                  <c:v>75.400000000000006</c:v>
                </c:pt>
                <c:pt idx="28">
                  <c:v>80.099999999999994</c:v>
                </c:pt>
                <c:pt idx="29">
                  <c:v>81</c:v>
                </c:pt>
                <c:pt idx="30">
                  <c:v>81.7</c:v>
                </c:pt>
                <c:pt idx="31">
                  <c:v>82</c:v>
                </c:pt>
                <c:pt idx="32">
                  <c:v>88.5</c:v>
                </c:pt>
                <c:pt idx="33">
                  <c:v>89.7</c:v>
                </c:pt>
              </c:numCache>
            </c:numRef>
          </c:xVal>
          <c:yVal>
            <c:numRef>
              <c:f>Calcite!$E$26:$E$59</c:f>
              <c:numCache>
                <c:formatCode>0.000</c:formatCode>
                <c:ptCount val="34"/>
                <c:pt idx="0">
                  <c:v>-8.3789999999999996</c:v>
                </c:pt>
                <c:pt idx="1">
                  <c:v>-8.3970000000000002</c:v>
                </c:pt>
                <c:pt idx="2">
                  <c:v>-8.3759999999999994</c:v>
                </c:pt>
                <c:pt idx="3">
                  <c:v>-8.3780000000000001</c:v>
                </c:pt>
                <c:pt idx="4">
                  <c:v>-8.41</c:v>
                </c:pt>
                <c:pt idx="5">
                  <c:v>-8.4250000000000007</c:v>
                </c:pt>
                <c:pt idx="6">
                  <c:v>-8.4039999999999999</c:v>
                </c:pt>
                <c:pt idx="7">
                  <c:v>-8.4890000000000008</c:v>
                </c:pt>
                <c:pt idx="8">
                  <c:v>-8.4849999999999994</c:v>
                </c:pt>
                <c:pt idx="9">
                  <c:v>-8.4890000000000008</c:v>
                </c:pt>
                <c:pt idx="10">
                  <c:v>-8.5530000000000008</c:v>
                </c:pt>
                <c:pt idx="11">
                  <c:v>-8.5579999999999998</c:v>
                </c:pt>
                <c:pt idx="12">
                  <c:v>-8.5589999999999993</c:v>
                </c:pt>
                <c:pt idx="13">
                  <c:v>-8.6280000000000001</c:v>
                </c:pt>
                <c:pt idx="14">
                  <c:v>-8.6630000000000003</c:v>
                </c:pt>
                <c:pt idx="15">
                  <c:v>-8.6639999999999997</c:v>
                </c:pt>
                <c:pt idx="16">
                  <c:v>-8.7059999999999995</c:v>
                </c:pt>
                <c:pt idx="17">
                  <c:v>-8.6989999999999998</c:v>
                </c:pt>
                <c:pt idx="18">
                  <c:v>-8.7040000000000006</c:v>
                </c:pt>
                <c:pt idx="19">
                  <c:v>-8.6880000000000006</c:v>
                </c:pt>
                <c:pt idx="20">
                  <c:v>-8.7309999999999999</c:v>
                </c:pt>
                <c:pt idx="21">
                  <c:v>-8.7789999999999999</c:v>
                </c:pt>
                <c:pt idx="22">
                  <c:v>-8.8030000000000008</c:v>
                </c:pt>
                <c:pt idx="23">
                  <c:v>-8.8759999999999994</c:v>
                </c:pt>
                <c:pt idx="24">
                  <c:v>-8.9309999999999992</c:v>
                </c:pt>
                <c:pt idx="25">
                  <c:v>-8.9139999999999997</c:v>
                </c:pt>
                <c:pt idx="26">
                  <c:v>-8.9060000000000006</c:v>
                </c:pt>
                <c:pt idx="27">
                  <c:v>-8.9220000000000006</c:v>
                </c:pt>
                <c:pt idx="28">
                  <c:v>-8.9949999999999992</c:v>
                </c:pt>
                <c:pt idx="29">
                  <c:v>-9</c:v>
                </c:pt>
                <c:pt idx="30">
                  <c:v>-9.0020000000000007</c:v>
                </c:pt>
                <c:pt idx="31">
                  <c:v>-9.0180000000000007</c:v>
                </c:pt>
                <c:pt idx="32">
                  <c:v>-9.1039999999999992</c:v>
                </c:pt>
                <c:pt idx="33">
                  <c:v>-9.1379999999999999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13-402E-8BE9-5C077691803B}"/>
            </c:ext>
          </c:extLst>
        </c:ser>
        <c:ser>
          <c:idx val="3"/>
          <c:order val="3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Calcite!$V$26:$V$35</c:f>
              <c:numCache>
                <c:formatCode>0.000</c:formatCode>
                <c:ptCount val="10"/>
                <c:pt idx="0">
                  <c:v>-8.3865348148636123</c:v>
                </c:pt>
                <c:pt idx="1">
                  <c:v>-8.3920142182367243</c:v>
                </c:pt>
                <c:pt idx="2">
                  <c:v>-8.4203269320864891</c:v>
                </c:pt>
                <c:pt idx="3">
                  <c:v>-8.4684366655924901</c:v>
                </c:pt>
                <c:pt idx="4">
                  <c:v>-8.5337117267969251</c:v>
                </c:pt>
                <c:pt idx="5">
                  <c:v>-8.6138956000638398</c:v>
                </c:pt>
                <c:pt idx="6">
                  <c:v>-8.7070457277467241</c:v>
                </c:pt>
                <c:pt idx="7">
                  <c:v>-8.8114836340192575</c:v>
                </c:pt>
                <c:pt idx="8">
                  <c:v>-8.9861742717690571</c:v>
                </c:pt>
                <c:pt idx="9">
                  <c:v>-9.1788907877596326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E13-402E-8BE9-5C077691803B}"/>
            </c:ext>
          </c:extLst>
        </c:ser>
        <c:ser>
          <c:idx val="4"/>
          <c:order val="4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Calcite!$W$26:$W$35</c:f>
              <c:numCache>
                <c:formatCode>0.000</c:formatCode>
                <c:ptCount val="10"/>
                <c:pt idx="0">
                  <c:v>-8.3432504066689468</c:v>
                </c:pt>
                <c:pt idx="1">
                  <c:v>-8.3484514856597904</c:v>
                </c:pt>
                <c:pt idx="2">
                  <c:v>-8.3776321066128059</c:v>
                </c:pt>
                <c:pt idx="3">
                  <c:v>-8.4284366655924909</c:v>
                </c:pt>
                <c:pt idx="4">
                  <c:v>-8.4894290422634722</c:v>
                </c:pt>
                <c:pt idx="5">
                  <c:v>-8.5639475257743776</c:v>
                </c:pt>
                <c:pt idx="6">
                  <c:v>-8.6502263251499425</c:v>
                </c:pt>
                <c:pt idx="7">
                  <c:v>-8.7467398415391386</c:v>
                </c:pt>
                <c:pt idx="8">
                  <c:v>-8.9078548665623369</c:v>
                </c:pt>
                <c:pt idx="9">
                  <c:v>-9.085298926999517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E13-402E-8BE9-5C077691803B}"/>
            </c:ext>
          </c:extLst>
        </c:ser>
        <c:ser>
          <c:idx val="5"/>
          <c:order val="5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Calcite!$X$26:$X$35</c:f>
              <c:numCache>
                <c:formatCode>0.000</c:formatCode>
                <c:ptCount val="10"/>
                <c:pt idx="0">
                  <c:v>-8.4298192230582796</c:v>
                </c:pt>
                <c:pt idx="1">
                  <c:v>-8.4355769508136564</c:v>
                </c:pt>
                <c:pt idx="2">
                  <c:v>-8.4630217575601741</c:v>
                </c:pt>
                <c:pt idx="3">
                  <c:v>-8.5084366655924892</c:v>
                </c:pt>
                <c:pt idx="4">
                  <c:v>-8.5779944113303763</c:v>
                </c:pt>
                <c:pt idx="5">
                  <c:v>-8.6638436743533038</c:v>
                </c:pt>
                <c:pt idx="6">
                  <c:v>-8.7638651303435058</c:v>
                </c:pt>
                <c:pt idx="7">
                  <c:v>-8.8762274264993763</c:v>
                </c:pt>
                <c:pt idx="8">
                  <c:v>-9.0644936769757756</c:v>
                </c:pt>
                <c:pt idx="9">
                  <c:v>-9.2724826485197482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E13-402E-8BE9-5C077691803B}"/>
            </c:ext>
          </c:extLst>
        </c:ser>
        <c:ser>
          <c:idx val="2"/>
          <c:order val="6"/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Aragonite!$R$12:$R$21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Aragonite!$V$12:$V$21</c:f>
              <c:numCache>
                <c:formatCode>0.000</c:formatCode>
                <c:ptCount val="10"/>
                <c:pt idx="0">
                  <c:v>-8.2253318396023367</c:v>
                </c:pt>
                <c:pt idx="1">
                  <c:v>-8.2339397086175428</c:v>
                </c:pt>
                <c:pt idx="2">
                  <c:v>-8.2692981897531617</c:v>
                </c:pt>
                <c:pt idx="3">
                  <c:v>-8.3245555062192214</c:v>
                </c:pt>
                <c:pt idx="4">
                  <c:v>-8.3970514048251648</c:v>
                </c:pt>
                <c:pt idx="5">
                  <c:v>-8.4845055725923082</c:v>
                </c:pt>
                <c:pt idx="6">
                  <c:v>-8.5849555852409996</c:v>
                </c:pt>
                <c:pt idx="7">
                  <c:v>-8.6967063583813911</c:v>
                </c:pt>
                <c:pt idx="8">
                  <c:v>-8.8823608685366295</c:v>
                </c:pt>
                <c:pt idx="9">
                  <c:v>-9.0860020007846121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E13-402E-8BE9-5C077691803B}"/>
            </c:ext>
          </c:extLst>
        </c:ser>
        <c:ser>
          <c:idx val="6"/>
          <c:order val="7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Aragonite!$R$12:$R$21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Aragonite!$W$12:$W$21</c:f>
              <c:numCache>
                <c:formatCode>0.000</c:formatCode>
                <c:ptCount val="10"/>
                <c:pt idx="0">
                  <c:v>-8.1737539464274818</c:v>
                </c:pt>
                <c:pt idx="1">
                  <c:v>-8.182105560785784</c:v>
                </c:pt>
                <c:pt idx="2">
                  <c:v>-8.2178151898577489</c:v>
                </c:pt>
                <c:pt idx="3">
                  <c:v>-8.2745555062192206</c:v>
                </c:pt>
                <c:pt idx="4">
                  <c:v>-8.3445842538972173</c:v>
                </c:pt>
                <c:pt idx="5">
                  <c:v>-8.428713891410176</c:v>
                </c:pt>
                <c:pt idx="6">
                  <c:v>-8.525091241771598</c:v>
                </c:pt>
                <c:pt idx="7">
                  <c:v>-8.6321157185908319</c:v>
                </c:pt>
                <c:pt idx="8">
                  <c:v>-8.8096317068656198</c:v>
                </c:pt>
                <c:pt idx="9">
                  <c:v>-9.004079484661192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E13-402E-8BE9-5C077691803B}"/>
            </c:ext>
          </c:extLst>
        </c:ser>
        <c:ser>
          <c:idx val="8"/>
          <c:order val="8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Aragonite!$R$12:$R$21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Aragonite!$X$12:$X$21</c:f>
              <c:numCache>
                <c:formatCode>0.000</c:formatCode>
                <c:ptCount val="10"/>
                <c:pt idx="0">
                  <c:v>-8.2769097327771917</c:v>
                </c:pt>
                <c:pt idx="1">
                  <c:v>-8.2857738564493015</c:v>
                </c:pt>
                <c:pt idx="2">
                  <c:v>-8.3207811896485762</c:v>
                </c:pt>
                <c:pt idx="3">
                  <c:v>-8.3745555062192221</c:v>
                </c:pt>
                <c:pt idx="4">
                  <c:v>-8.4495185557531105</c:v>
                </c:pt>
                <c:pt idx="5">
                  <c:v>-8.5402972537744439</c:v>
                </c:pt>
                <c:pt idx="6">
                  <c:v>-8.6448199287104011</c:v>
                </c:pt>
                <c:pt idx="7">
                  <c:v>-8.7612969981719502</c:v>
                </c:pt>
                <c:pt idx="8">
                  <c:v>-8.955090030207641</c:v>
                </c:pt>
                <c:pt idx="9">
                  <c:v>-9.1679245169080357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E13-402E-8BE9-5C077691803B}"/>
            </c:ext>
          </c:extLst>
        </c:ser>
        <c:ser>
          <c:idx val="9"/>
          <c:order val="9"/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Vaterite!$R$12:$R$21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Vaterite!$V$12:$V$21</c:f>
              <c:numCache>
                <c:formatCode>0.000</c:formatCode>
                <c:ptCount val="10"/>
                <c:pt idx="0">
                  <c:v>-7.7360443809340174</c:v>
                </c:pt>
                <c:pt idx="1">
                  <c:v>-7.7615323390078093</c:v>
                </c:pt>
                <c:pt idx="2">
                  <c:v>-7.8304130456998706</c:v>
                </c:pt>
                <c:pt idx="3">
                  <c:v>-7.914221703513892</c:v>
                </c:pt>
                <c:pt idx="4">
                  <c:v>-8.0108703745009553</c:v>
                </c:pt>
                <c:pt idx="5">
                  <c:v>-8.1185735470121898</c:v>
                </c:pt>
                <c:pt idx="6">
                  <c:v>-8.2357984034501861</c:v>
                </c:pt>
                <c:pt idx="7">
                  <c:v>-8.3612243446394992</c:v>
                </c:pt>
                <c:pt idx="8">
                  <c:v>-8.5622853576855196</c:v>
                </c:pt>
                <c:pt idx="9">
                  <c:v>-8.7760297700088561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E13-402E-8BE9-5C077691803B}"/>
            </c:ext>
          </c:extLst>
        </c:ser>
        <c:ser>
          <c:idx val="10"/>
          <c:order val="10"/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Vaterite!$R$12:$R$21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Vaterite!$W$12:$W$22</c:f>
              <c:numCache>
                <c:formatCode>0.000</c:formatCode>
                <c:ptCount val="11"/>
                <c:pt idx="0">
                  <c:v>-7.680611136635549</c:v>
                </c:pt>
                <c:pt idx="1">
                  <c:v>-7.7060946467216489</c:v>
                </c:pt>
                <c:pt idx="2">
                  <c:v>-7.776655971587326</c:v>
                </c:pt>
                <c:pt idx="3">
                  <c:v>-7.8642217035138922</c:v>
                </c:pt>
                <c:pt idx="4">
                  <c:v>-7.9553100683967761</c:v>
                </c:pt>
                <c:pt idx="5">
                  <c:v>-8.0558841050191834</c:v>
                </c:pt>
                <c:pt idx="6">
                  <c:v>-8.1646129004450767</c:v>
                </c:pt>
                <c:pt idx="7">
                  <c:v>-8.2803504162541888</c:v>
                </c:pt>
                <c:pt idx="8">
                  <c:v>-8.4649689366801031</c:v>
                </c:pt>
                <c:pt idx="9">
                  <c:v>-8.6603555185495562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E13-402E-8BE9-5C077691803B}"/>
            </c:ext>
          </c:extLst>
        </c:ser>
        <c:ser>
          <c:idx val="11"/>
          <c:order val="11"/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Vaterite!$R$12:$R$21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Vaterite!$X$12:$X$21</c:f>
              <c:numCache>
                <c:formatCode>0.000</c:formatCode>
                <c:ptCount val="10"/>
                <c:pt idx="0">
                  <c:v>-7.7914776252324867</c:v>
                </c:pt>
                <c:pt idx="1">
                  <c:v>-7.8169700312939696</c:v>
                </c:pt>
                <c:pt idx="2">
                  <c:v>-7.8841701198124161</c:v>
                </c:pt>
                <c:pt idx="3">
                  <c:v>-7.9642217035138918</c:v>
                </c:pt>
                <c:pt idx="4">
                  <c:v>-8.0664306806051371</c:v>
                </c:pt>
                <c:pt idx="5">
                  <c:v>-8.1812629890051998</c:v>
                </c:pt>
                <c:pt idx="6">
                  <c:v>-8.3069839064552937</c:v>
                </c:pt>
                <c:pt idx="7">
                  <c:v>-8.4420982730248078</c:v>
                </c:pt>
                <c:pt idx="8">
                  <c:v>-8.6596017786909343</c:v>
                </c:pt>
                <c:pt idx="9">
                  <c:v>-8.8917040214681577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E13-402E-8BE9-5C077691803B}"/>
            </c:ext>
          </c:extLst>
        </c:ser>
        <c:ser>
          <c:idx val="12"/>
          <c:order val="12"/>
          <c:spPr>
            <a:ln w="25400"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Calcite!$Z$26:$Z$35</c:f>
              <c:numCache>
                <c:formatCode>0.000</c:formatCode>
                <c:ptCount val="10"/>
                <c:pt idx="0">
                  <c:v>-8.3698564160432429</c:v>
                </c:pt>
                <c:pt idx="1">
                  <c:v>-8.3735807945832637</c:v>
                </c:pt>
                <c:pt idx="2">
                  <c:v>-8.4004063285426014</c:v>
                </c:pt>
                <c:pt idx="3">
                  <c:v>-8.4499999999999993</c:v>
                </c:pt>
                <c:pt idx="4">
                  <c:v>-8.5193476471926903</c:v>
                </c:pt>
                <c:pt idx="5">
                  <c:v>-8.6058642344836223</c:v>
                </c:pt>
                <c:pt idx="6">
                  <c:v>-8.7073238773495589</c:v>
                </c:pt>
                <c:pt idx="7">
                  <c:v>-8.8218028267845767</c:v>
                </c:pt>
                <c:pt idx="8">
                  <c:v>-9.0143431378450121</c:v>
                </c:pt>
                <c:pt idx="9">
                  <c:v>-9.2277243388285495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E13-402E-8BE9-5C077691803B}"/>
            </c:ext>
          </c:extLst>
        </c:ser>
        <c:ser>
          <c:idx val="13"/>
          <c:order val="13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Vaterite!$R$12:$R$21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Vaterite!$AA$12:$AA$21</c:f>
              <c:numCache>
                <c:formatCode>0.000</c:formatCode>
                <c:ptCount val="10"/>
                <c:pt idx="0">
                  <c:v>-7.7454346265477625</c:v>
                </c:pt>
                <c:pt idx="1">
                  <c:v>-7.771028989333189</c:v>
                </c:pt>
                <c:pt idx="2">
                  <c:v>-7.8363450927594442</c:v>
                </c:pt>
                <c:pt idx="3">
                  <c:v>-7.9133983809395261</c:v>
                </c:pt>
                <c:pt idx="4">
                  <c:v>-8.0022213580357686</c:v>
                </c:pt>
                <c:pt idx="5">
                  <c:v>-8.1027685254511255</c:v>
                </c:pt>
                <c:pt idx="6">
                  <c:v>-8.2149350292704355</c:v>
                </c:pt>
                <c:pt idx="7">
                  <c:v>-8.3385711984052477</c:v>
                </c:pt>
                <c:pt idx="8">
                  <c:v>-8.5451235929431846</c:v>
                </c:pt>
                <c:pt idx="9">
                  <c:v>-8.7763508508729444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E13-402E-8BE9-5C077691803B}"/>
            </c:ext>
          </c:extLst>
        </c:ser>
        <c:ser>
          <c:idx val="14"/>
          <c:order val="14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Aragonite!$R$12:$R$21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Aragonite!$Z$12:$Z$21</c:f>
              <c:numCache>
                <c:formatCode>General</c:formatCode>
                <c:ptCount val="10"/>
                <c:pt idx="0">
                  <c:v>-8.2195638792427985</c:v>
                </c:pt>
                <c:pt idx="1">
                  <c:v>-8.2350252862952686</c:v>
                </c:pt>
                <c:pt idx="2">
                  <c:v>-8.2789568227611881</c:v>
                </c:pt>
                <c:pt idx="3">
                  <c:v>-8.3360600277615902</c:v>
                </c:pt>
                <c:pt idx="4">
                  <c:v>-8.4062277510261936</c:v>
                </c:pt>
                <c:pt idx="5">
                  <c:v>-8.4892923978383692</c:v>
                </c:pt>
                <c:pt idx="6">
                  <c:v>-8.5850419011278234</c:v>
                </c:pt>
                <c:pt idx="7">
                  <c:v>-8.6932320589700964</c:v>
                </c:pt>
                <c:pt idx="8">
                  <c:v>-8.8782556048361414</c:v>
                </c:pt>
                <c:pt idx="9">
                  <c:v>-9.0897083681892354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E13-402E-8BE9-5C077691803B}"/>
            </c:ext>
          </c:extLst>
        </c:ser>
        <c:ser>
          <c:idx val="15"/>
          <c:order val="15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Calcite!$R$26:$R$35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Calcite!$AC$26:$AC$35</c:f>
              <c:numCache>
                <c:formatCode>General</c:formatCode>
                <c:ptCount val="10"/>
                <c:pt idx="0">
                  <c:v>-8.3825442556359917</c:v>
                </c:pt>
                <c:pt idx="1">
                  <c:v>-8.3942234887040286</c:v>
                </c:pt>
                <c:pt idx="2">
                  <c:v>-8.4301731337103263</c:v>
                </c:pt>
                <c:pt idx="3">
                  <c:v>-8.4798298751538255</c:v>
                </c:pt>
                <c:pt idx="4">
                  <c:v>-8.5430344360821664</c:v>
                </c:pt>
                <c:pt idx="5">
                  <c:v>-8.619573648820591</c:v>
                </c:pt>
                <c:pt idx="6">
                  <c:v>-8.7091954284781252</c:v>
                </c:pt>
                <c:pt idx="7">
                  <c:v>-8.8116202890454929</c:v>
                </c:pt>
                <c:pt idx="8">
                  <c:v>-8.9886080896159797</c:v>
                </c:pt>
                <c:pt idx="9">
                  <c:v>-9.1926799286944458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E13-402E-8BE9-5C0776918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725536"/>
        <c:axId val="1"/>
      </c:scatterChart>
      <c:valAx>
        <c:axId val="262725536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48562300319488816"/>
              <c:y val="0.9179601619564996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10"/>
        <c:crossBetween val="midCat"/>
      </c:valAx>
      <c:valAx>
        <c:axId val="1"/>
        <c:scaling>
          <c:orientation val="minMax"/>
          <c:max val="-7.6"/>
          <c:min val="-9.4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endParaRPr lang="de-CH" sz="1400" b="0" i="1" u="none" strike="noStrike" baseline="0">
                  <a:solidFill>
                    <a:srgbClr val="000000"/>
                  </a:solidFill>
                  <a:latin typeface="Calibri"/>
                </a:endParaRPr>
              </a:p>
            </c:rich>
          </c:tx>
          <c:layout>
            <c:manualLayout>
              <c:xMode val="edge"/>
              <c:yMode val="edge"/>
              <c:x val="1.5974440894568689E-3"/>
              <c:y val="0.4035477425786892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62725536"/>
        <c:crossesAt val="-10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560237478302431"/>
          <c:y val="6.3157992122726339E-2"/>
          <c:w val="0.25559122202376461"/>
          <c:h val="0.1063159552424368"/>
        </c:manualLayout>
      </c:layout>
      <c:overlay val="0"/>
      <c:spPr>
        <a:ln>
          <a:solidFill>
            <a:schemeClr val="tx1"/>
          </a:solidFill>
        </a:ln>
      </c:spPr>
      <c:txPr>
        <a:bodyPr/>
        <a:lstStyle/>
        <a:p>
          <a:pPr>
            <a:defRPr sz="14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05238828967642"/>
          <c:y val="3.7694013303769404E-2"/>
          <c:w val="0.82126348228043144"/>
          <c:h val="0.82483370288248337"/>
        </c:manualLayout>
      </c:layout>
      <c:scatterChart>
        <c:scatterStyle val="smoothMarker"/>
        <c:varyColors val="0"/>
        <c:ser>
          <c:idx val="0"/>
          <c:order val="0"/>
          <c:tx>
            <c:v>Majer &amp; Stulik (1982)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Aragonite!$F$12:$F$22</c:f>
                <c:numCache>
                  <c:formatCode>General</c:formatCode>
                  <c:ptCount val="11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0.04</c:v>
                  </c:pt>
                  <c:pt idx="8">
                    <c:v>0.04</c:v>
                  </c:pt>
                  <c:pt idx="9">
                    <c:v>0.04</c:v>
                  </c:pt>
                  <c:pt idx="10">
                    <c:v>0.04</c:v>
                  </c:pt>
                </c:numCache>
              </c:numRef>
            </c:plus>
            <c:minus>
              <c:numRef>
                <c:f>Aragonite!$F$12:$F$22</c:f>
                <c:numCache>
                  <c:formatCode>General</c:formatCode>
                  <c:ptCount val="11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0.04</c:v>
                  </c:pt>
                  <c:pt idx="8">
                    <c:v>0.04</c:v>
                  </c:pt>
                  <c:pt idx="9">
                    <c:v>0.04</c:v>
                  </c:pt>
                  <c:pt idx="10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Aragonite!$A$12:$A$22</c:f>
              <c:numCache>
                <c:formatCode>0.0</c:formatCode>
                <c:ptCount val="11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  <c:pt idx="6">
                  <c:v>44.9</c:v>
                </c:pt>
                <c:pt idx="7">
                  <c:v>55</c:v>
                </c:pt>
                <c:pt idx="8">
                  <c:v>65</c:v>
                </c:pt>
                <c:pt idx="9">
                  <c:v>80</c:v>
                </c:pt>
                <c:pt idx="10">
                  <c:v>90</c:v>
                </c:pt>
              </c:numCache>
            </c:numRef>
          </c:xVal>
          <c:yVal>
            <c:numRef>
              <c:f>Aragonite!$E$12:$E$22</c:f>
              <c:numCache>
                <c:formatCode>0.00</c:formatCode>
                <c:ptCount val="11"/>
                <c:pt idx="0">
                  <c:v>-8.2260000000000009</c:v>
                </c:pt>
                <c:pt idx="1">
                  <c:v>-8.2260000000000009</c:v>
                </c:pt>
                <c:pt idx="2">
                  <c:v>-8.234</c:v>
                </c:pt>
                <c:pt idx="3">
                  <c:v>-8.2739999999999991</c:v>
                </c:pt>
                <c:pt idx="4">
                  <c:v>-8.3320000000000007</c:v>
                </c:pt>
                <c:pt idx="5">
                  <c:v>-8.3949999999999996</c:v>
                </c:pt>
                <c:pt idx="6">
                  <c:v>-8.4740000000000002</c:v>
                </c:pt>
                <c:pt idx="7">
                  <c:v>-8.59</c:v>
                </c:pt>
                <c:pt idx="8">
                  <c:v>-8.6980000000000004</c:v>
                </c:pt>
                <c:pt idx="9">
                  <c:v>-8.8759999999999994</c:v>
                </c:pt>
                <c:pt idx="10">
                  <c:v>-9.0210000000000008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42-4FA2-A24B-3C02A06B4DFA}"/>
            </c:ext>
          </c:extLst>
        </c:ser>
        <c:ser>
          <c:idx val="7"/>
          <c:order val="1"/>
          <c:tx>
            <c:v>Richardson &amp; Holland (1979)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Aragonite!$N$12:$N$18</c:f>
                <c:numCache>
                  <c:formatCode>General</c:formatCode>
                  <c:ptCount val="7"/>
                </c:numCache>
              </c:numRef>
            </c:plus>
            <c:minus>
              <c:numRef>
                <c:f>Aragonite!$N$12:$N$18</c:f>
                <c:numCache>
                  <c:formatCode>General</c:formatCode>
                  <c:ptCount val="7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Aragonite!$A$12:$A$18</c:f>
              <c:numCache>
                <c:formatCode>0.0</c:formatCode>
                <c:ptCount val="7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  <c:pt idx="6">
                  <c:v>44.9</c:v>
                </c:pt>
              </c:numCache>
            </c:numRef>
          </c:xVal>
          <c:yVal>
            <c:numRef>
              <c:f>Aragonite!$M$12:$M$18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42-4FA2-A24B-3C02A06B4DFA}"/>
            </c:ext>
          </c:extLst>
        </c:ser>
        <c:ser>
          <c:idx val="1"/>
          <c:order val="2"/>
          <c:tx>
            <c:v>Bond &amp; Hefter (1971)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Aragonite!$H$12:$H$19</c:f>
                <c:numCache>
                  <c:formatCode>General</c:formatCode>
                  <c:ptCount val="8"/>
                </c:numCache>
              </c:numRef>
            </c:plus>
            <c:minus>
              <c:numRef>
                <c:f>Aragonite!$H$12:$H$19</c:f>
                <c:numCache>
                  <c:formatCode>General</c:formatCode>
                  <c:ptCount val="8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Aragonite!$A$12:$A$19</c:f>
              <c:numCache>
                <c:formatCode>0.0</c:formatCode>
                <c:ptCount val="8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  <c:pt idx="6">
                  <c:v>44.9</c:v>
                </c:pt>
                <c:pt idx="7">
                  <c:v>55</c:v>
                </c:pt>
              </c:numCache>
            </c:numRef>
          </c:xVal>
          <c:yVal>
            <c:numRef>
              <c:f>Aragonite!$G$12:$G$19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42-4FA2-A24B-3C02A06B4DFA}"/>
            </c:ext>
          </c:extLst>
        </c:ser>
        <c:ser>
          <c:idx val="6"/>
          <c:order val="3"/>
          <c:tx>
            <c:v>Elgquist (1970)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Aragonite!$A$12:$A$17</c:f>
              <c:numCache>
                <c:formatCode>0.0</c:formatCode>
                <c:ptCount val="6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</c:numCache>
            </c:numRef>
          </c:xVal>
          <c:yVal>
            <c:numRef>
              <c:f>Aragonite!$I$12:$I$17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42-4FA2-A24B-3C02A06B4DFA}"/>
            </c:ext>
          </c:extLst>
        </c:ser>
        <c:ser>
          <c:idx val="2"/>
          <c:order val="4"/>
          <c:tx>
            <c:v>Tanner et al. (1968)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Aragonite!$L$12:$L$17</c:f>
                <c:numCache>
                  <c:formatCode>General</c:formatCode>
                  <c:ptCount val="6"/>
                </c:numCache>
              </c:numRef>
            </c:plus>
            <c:minus>
              <c:numRef>
                <c:f>Aragonite!$L$12:$L$17</c:f>
                <c:numCache>
                  <c:formatCode>General</c:formatCode>
                  <c:ptCount val="6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Aragonite!$A$12:$A$17</c:f>
              <c:numCache>
                <c:formatCode>0.0</c:formatCode>
                <c:ptCount val="6"/>
                <c:pt idx="0">
                  <c:v>0.7</c:v>
                </c:pt>
                <c:pt idx="1">
                  <c:v>3.9</c:v>
                </c:pt>
                <c:pt idx="2">
                  <c:v>4.9000000000000004</c:v>
                </c:pt>
                <c:pt idx="3">
                  <c:v>15.1</c:v>
                </c:pt>
                <c:pt idx="4">
                  <c:v>25</c:v>
                </c:pt>
                <c:pt idx="5">
                  <c:v>35</c:v>
                </c:pt>
              </c:numCache>
            </c:numRef>
          </c:xVal>
          <c:yVal>
            <c:numRef>
              <c:f>Aragonite!$K$12:$K$17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42-4FA2-A24B-3C02A06B4DFA}"/>
            </c:ext>
          </c:extLst>
        </c:ser>
        <c:ser>
          <c:idx val="3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Aragonite!$R$12:$R$21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Aragonite!$V$12:$V$21</c:f>
              <c:numCache>
                <c:formatCode>0.000</c:formatCode>
                <c:ptCount val="10"/>
                <c:pt idx="0">
                  <c:v>-8.2253318396023367</c:v>
                </c:pt>
                <c:pt idx="1">
                  <c:v>-8.2339397086175428</c:v>
                </c:pt>
                <c:pt idx="2">
                  <c:v>-8.2692981897531617</c:v>
                </c:pt>
                <c:pt idx="3">
                  <c:v>-8.3245555062192214</c:v>
                </c:pt>
                <c:pt idx="4">
                  <c:v>-8.3970514048251648</c:v>
                </c:pt>
                <c:pt idx="5">
                  <c:v>-8.4845055725923082</c:v>
                </c:pt>
                <c:pt idx="6">
                  <c:v>-8.5849555852409996</c:v>
                </c:pt>
                <c:pt idx="7">
                  <c:v>-8.6967063583813911</c:v>
                </c:pt>
                <c:pt idx="8">
                  <c:v>-8.8823608685366295</c:v>
                </c:pt>
                <c:pt idx="9">
                  <c:v>-9.0860020007846121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42-4FA2-A24B-3C02A06B4DFA}"/>
            </c:ext>
          </c:extLst>
        </c:ser>
        <c:ser>
          <c:idx val="4"/>
          <c:order val="6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Aragonite!$R$12:$R$21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Aragonite!$W$12:$W$21</c:f>
              <c:numCache>
                <c:formatCode>0.000</c:formatCode>
                <c:ptCount val="10"/>
                <c:pt idx="0">
                  <c:v>-8.1737539464274818</c:v>
                </c:pt>
                <c:pt idx="1">
                  <c:v>-8.182105560785784</c:v>
                </c:pt>
                <c:pt idx="2">
                  <c:v>-8.2178151898577489</c:v>
                </c:pt>
                <c:pt idx="3">
                  <c:v>-8.2745555062192206</c:v>
                </c:pt>
                <c:pt idx="4">
                  <c:v>-8.3445842538972173</c:v>
                </c:pt>
                <c:pt idx="5">
                  <c:v>-8.428713891410176</c:v>
                </c:pt>
                <c:pt idx="6">
                  <c:v>-8.525091241771598</c:v>
                </c:pt>
                <c:pt idx="7">
                  <c:v>-8.6321157185908319</c:v>
                </c:pt>
                <c:pt idx="8">
                  <c:v>-8.8096317068656198</c:v>
                </c:pt>
                <c:pt idx="9">
                  <c:v>-9.004079484661192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42-4FA2-A24B-3C02A06B4DFA}"/>
            </c:ext>
          </c:extLst>
        </c:ser>
        <c:ser>
          <c:idx val="5"/>
          <c:order val="7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Aragonite!$R$12:$R$21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Aragonite!$X$12:$X$21</c:f>
              <c:numCache>
                <c:formatCode>0.000</c:formatCode>
                <c:ptCount val="10"/>
                <c:pt idx="0">
                  <c:v>-8.2769097327771917</c:v>
                </c:pt>
                <c:pt idx="1">
                  <c:v>-8.2857738564493015</c:v>
                </c:pt>
                <c:pt idx="2">
                  <c:v>-8.3207811896485762</c:v>
                </c:pt>
                <c:pt idx="3">
                  <c:v>-8.3745555062192221</c:v>
                </c:pt>
                <c:pt idx="4">
                  <c:v>-8.4495185557531105</c:v>
                </c:pt>
                <c:pt idx="5">
                  <c:v>-8.5402972537744439</c:v>
                </c:pt>
                <c:pt idx="6">
                  <c:v>-8.6448199287104011</c:v>
                </c:pt>
                <c:pt idx="7">
                  <c:v>-8.7612969981719502</c:v>
                </c:pt>
                <c:pt idx="8">
                  <c:v>-8.955090030207641</c:v>
                </c:pt>
                <c:pt idx="9">
                  <c:v>-9.1679245169080357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142-4FA2-A24B-3C02A06B4DFA}"/>
            </c:ext>
          </c:extLst>
        </c:ser>
        <c:ser>
          <c:idx val="8"/>
          <c:order val="8"/>
          <c:spPr>
            <a:ln w="254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Aragonite!$R$12:$R$21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Aragonite!$Z$12:$Z$21</c:f>
              <c:numCache>
                <c:formatCode>General</c:formatCode>
                <c:ptCount val="10"/>
                <c:pt idx="0">
                  <c:v>-8.2195638792427985</c:v>
                </c:pt>
                <c:pt idx="1">
                  <c:v>-8.2350252862952686</c:v>
                </c:pt>
                <c:pt idx="2">
                  <c:v>-8.2789568227611881</c:v>
                </c:pt>
                <c:pt idx="3">
                  <c:v>-8.3360600277615902</c:v>
                </c:pt>
                <c:pt idx="4">
                  <c:v>-8.4062277510261936</c:v>
                </c:pt>
                <c:pt idx="5">
                  <c:v>-8.4892923978383692</c:v>
                </c:pt>
                <c:pt idx="6">
                  <c:v>-8.5850419011278234</c:v>
                </c:pt>
                <c:pt idx="7">
                  <c:v>-8.6932320589700964</c:v>
                </c:pt>
                <c:pt idx="8">
                  <c:v>-8.8782556048361414</c:v>
                </c:pt>
                <c:pt idx="9">
                  <c:v>-9.0897083681892354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142-4FA2-A24B-3C02A06B4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672192"/>
        <c:axId val="1"/>
      </c:scatterChart>
      <c:valAx>
        <c:axId val="35867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5238828967642527"/>
              <c:y val="0.9179600499823626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10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1.6949152542372881E-2"/>
              <c:y val="0.4035477911502520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58672192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62142302993553"/>
          <c:y val="2.843601895734597E-2"/>
          <c:w val="0.84030354642815741"/>
          <c:h val="0.8331878664420678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Aragonite!$C$12:$C$22</c:f>
              <c:numCache>
                <c:formatCode>General</c:formatCode>
                <c:ptCount val="11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  <c:pt idx="7">
                  <c:v>3.0473868657626088E-3</c:v>
                </c:pt>
                <c:pt idx="8">
                  <c:v>2.9572674848440043E-3</c:v>
                </c:pt>
                <c:pt idx="9">
                  <c:v>2.831657935721365E-3</c:v>
                </c:pt>
                <c:pt idx="10">
                  <c:v>2.7536830510808208E-3</c:v>
                </c:pt>
              </c:numCache>
            </c:numRef>
          </c:xVal>
          <c:yVal>
            <c:numRef>
              <c:f>Aragonite!$E$12:$E$22</c:f>
              <c:numCache>
                <c:formatCode>0.00</c:formatCode>
                <c:ptCount val="11"/>
                <c:pt idx="0">
                  <c:v>-8.2260000000000009</c:v>
                </c:pt>
                <c:pt idx="1">
                  <c:v>-8.2260000000000009</c:v>
                </c:pt>
                <c:pt idx="2">
                  <c:v>-8.234</c:v>
                </c:pt>
                <c:pt idx="3">
                  <c:v>-8.2739999999999991</c:v>
                </c:pt>
                <c:pt idx="4">
                  <c:v>-8.3320000000000007</c:v>
                </c:pt>
                <c:pt idx="5">
                  <c:v>-8.3949999999999996</c:v>
                </c:pt>
                <c:pt idx="6">
                  <c:v>-8.4740000000000002</c:v>
                </c:pt>
                <c:pt idx="7">
                  <c:v>-8.59</c:v>
                </c:pt>
                <c:pt idx="8">
                  <c:v>-8.6980000000000004</c:v>
                </c:pt>
                <c:pt idx="9">
                  <c:v>-8.8759999999999994</c:v>
                </c:pt>
                <c:pt idx="10">
                  <c:v>-9.0210000000000008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4-41EB-BD5B-7AD925FC4EA7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2060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Aragonite!$C$12:$C$19</c:f>
              <c:numCache>
                <c:formatCode>General</c:formatCode>
                <c:ptCount val="8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  <c:pt idx="7">
                  <c:v>3.0473868657626088E-3</c:v>
                </c:pt>
              </c:numCache>
            </c:numRef>
          </c:xVal>
          <c:yVal>
            <c:numRef>
              <c:f>Aragonite!$G$12:$G$19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F4-41EB-BD5B-7AD925FC4EA7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Aragonite!$C$12:$C$17</c:f>
              <c:numCache>
                <c:formatCode>General</c:formatCode>
                <c:ptCount val="6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</c:numCache>
            </c:numRef>
          </c:xVal>
          <c:yVal>
            <c:numRef>
              <c:f>Aragonite!$K$12:$K$17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F4-41EB-BD5B-7AD925FC4EA7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x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Aragonite!$C$12:$C$17</c:f>
              <c:numCache>
                <c:formatCode>General</c:formatCode>
                <c:ptCount val="6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</c:numCache>
            </c:numRef>
          </c:xVal>
          <c:yVal>
            <c:numRef>
              <c:f>Aragonite!$I$12:$I$17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F4-41EB-BD5B-7AD925FC4EA7}"/>
            </c:ext>
          </c:extLst>
        </c:ser>
        <c:ser>
          <c:idx val="4"/>
          <c:order val="4"/>
          <c:spPr>
            <a:ln w="28575">
              <a:noFill/>
            </a:ln>
          </c:spPr>
          <c:marker>
            <c:symbol val="star"/>
            <c:size val="5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Aragonite!$C$12:$C$18</c:f>
              <c:numCache>
                <c:formatCode>General</c:formatCode>
                <c:ptCount val="7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</c:numCache>
            </c:numRef>
          </c:xVal>
          <c:yVal>
            <c:numRef>
              <c:f>Aragonite!$M$12:$M$18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F4-41EB-BD5B-7AD925FC4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49888"/>
        <c:axId val="1"/>
      </c:scatterChart>
      <c:valAx>
        <c:axId val="249349888"/>
        <c:scaling>
          <c:orientation val="minMax"/>
          <c:max val="3.700000000000001E-3"/>
          <c:min val="2.5000000000000005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 / T [K]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At val="-10001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</a:t>
                </a:r>
                <a:r>
                  <a:rPr lang="en-US" baseline="-25000"/>
                  <a:t>10</a:t>
                </a:r>
                <a:r>
                  <a:rPr lang="en-US"/>
                  <a:t>K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93498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05238828967642"/>
          <c:y val="3.7694013303769404E-2"/>
          <c:w val="0.82126348228043144"/>
          <c:h val="0.82483370288248337"/>
        </c:manualLayout>
      </c:layout>
      <c:scatterChart>
        <c:scatterStyle val="smoothMarker"/>
        <c:varyColors val="0"/>
        <c:ser>
          <c:idx val="0"/>
          <c:order val="0"/>
          <c:tx>
            <c:v>Olummer &amp; Busenberg (1982)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Vaterite!$F$12:$F$22</c:f>
                <c:numCache>
                  <c:formatCode>General</c:formatCode>
                  <c:ptCount val="11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0.06</c:v>
                  </c:pt>
                  <c:pt idx="8">
                    <c:v>0.06</c:v>
                  </c:pt>
                  <c:pt idx="9">
                    <c:v>0.06</c:v>
                  </c:pt>
                  <c:pt idx="10">
                    <c:v>0.04</c:v>
                  </c:pt>
                </c:numCache>
              </c:numRef>
            </c:plus>
            <c:minus>
              <c:numRef>
                <c:f>Vaterite!$F$12:$F$22</c:f>
                <c:numCache>
                  <c:formatCode>General</c:formatCode>
                  <c:ptCount val="11"/>
                  <c:pt idx="0">
                    <c:v>0.04</c:v>
                  </c:pt>
                  <c:pt idx="1">
                    <c:v>0.04</c:v>
                  </c:pt>
                  <c:pt idx="2">
                    <c:v>0.04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0.04</c:v>
                  </c:pt>
                  <c:pt idx="7">
                    <c:v>0.06</c:v>
                  </c:pt>
                  <c:pt idx="8">
                    <c:v>0.06</c:v>
                  </c:pt>
                  <c:pt idx="9">
                    <c:v>0.06</c:v>
                  </c:pt>
                  <c:pt idx="10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Vaterite!$A$12:$A$22</c:f>
              <c:numCache>
                <c:formatCode>0.0</c:formatCode>
                <c:ptCount val="11"/>
                <c:pt idx="0">
                  <c:v>0</c:v>
                </c:pt>
                <c:pt idx="1">
                  <c:v>15.3</c:v>
                </c:pt>
                <c:pt idx="2">
                  <c:v>25.1</c:v>
                </c:pt>
                <c:pt idx="3">
                  <c:v>25.1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80</c:v>
                </c:pt>
                <c:pt idx="10">
                  <c:v>90</c:v>
                </c:pt>
              </c:numCache>
            </c:numRef>
          </c:xVal>
          <c:yVal>
            <c:numRef>
              <c:f>Vaterite!$E$12:$E$22</c:f>
              <c:numCache>
                <c:formatCode>0.000</c:formatCode>
                <c:ptCount val="11"/>
                <c:pt idx="0">
                  <c:v>-7.7389999999999999</c:v>
                </c:pt>
                <c:pt idx="1">
                  <c:v>-7.8369999999999997</c:v>
                </c:pt>
                <c:pt idx="2">
                  <c:v>-7.9020000000000001</c:v>
                </c:pt>
                <c:pt idx="3">
                  <c:v>-7.9</c:v>
                </c:pt>
                <c:pt idx="4">
                  <c:v>-8.0210000000000008</c:v>
                </c:pt>
                <c:pt idx="5">
                  <c:v>-8.1270000000000007</c:v>
                </c:pt>
                <c:pt idx="6">
                  <c:v>-8.2319999999999993</c:v>
                </c:pt>
                <c:pt idx="7">
                  <c:v>-8.3640000000000008</c:v>
                </c:pt>
                <c:pt idx="8">
                  <c:v>-8.5630000000000006</c:v>
                </c:pt>
                <c:pt idx="9">
                  <c:v>-8.5760000000000005</c:v>
                </c:pt>
                <c:pt idx="10">
                  <c:v>-8.69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97-40FA-A8CF-6E6A06A44F04}"/>
            </c:ext>
          </c:extLst>
        </c:ser>
        <c:ser>
          <c:idx val="3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Vaterite!$R$12:$R$21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Vaterite!$V$12:$V$21</c:f>
              <c:numCache>
                <c:formatCode>0.000</c:formatCode>
                <c:ptCount val="10"/>
                <c:pt idx="0">
                  <c:v>-7.7360443809340174</c:v>
                </c:pt>
                <c:pt idx="1">
                  <c:v>-7.7615323390078093</c:v>
                </c:pt>
                <c:pt idx="2">
                  <c:v>-7.8304130456998706</c:v>
                </c:pt>
                <c:pt idx="3">
                  <c:v>-7.914221703513892</c:v>
                </c:pt>
                <c:pt idx="4">
                  <c:v>-8.0108703745009553</c:v>
                </c:pt>
                <c:pt idx="5">
                  <c:v>-8.1185735470121898</c:v>
                </c:pt>
                <c:pt idx="6">
                  <c:v>-8.2357984034501861</c:v>
                </c:pt>
                <c:pt idx="7">
                  <c:v>-8.3612243446394992</c:v>
                </c:pt>
                <c:pt idx="8">
                  <c:v>-8.5622853576855196</c:v>
                </c:pt>
                <c:pt idx="9">
                  <c:v>-8.7760297700088561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97-40FA-A8CF-6E6A06A44F04}"/>
            </c:ext>
          </c:extLst>
        </c:ser>
        <c:ser>
          <c:idx val="4"/>
          <c:order val="2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Vaterite!$R$12:$R$21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Vaterite!$W$12:$W$21</c:f>
              <c:numCache>
                <c:formatCode>0.000</c:formatCode>
                <c:ptCount val="10"/>
                <c:pt idx="0">
                  <c:v>-7.680611136635549</c:v>
                </c:pt>
                <c:pt idx="1">
                  <c:v>-7.7060946467216489</c:v>
                </c:pt>
                <c:pt idx="2">
                  <c:v>-7.776655971587326</c:v>
                </c:pt>
                <c:pt idx="3">
                  <c:v>-7.8642217035138922</c:v>
                </c:pt>
                <c:pt idx="4">
                  <c:v>-7.9553100683967761</c:v>
                </c:pt>
                <c:pt idx="5">
                  <c:v>-8.0558841050191834</c:v>
                </c:pt>
                <c:pt idx="6">
                  <c:v>-8.1646129004450767</c:v>
                </c:pt>
                <c:pt idx="7">
                  <c:v>-8.2803504162541888</c:v>
                </c:pt>
                <c:pt idx="8">
                  <c:v>-8.4649689366801031</c:v>
                </c:pt>
                <c:pt idx="9">
                  <c:v>-8.6603555185495562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97-40FA-A8CF-6E6A06A44F04}"/>
            </c:ext>
          </c:extLst>
        </c:ser>
        <c:ser>
          <c:idx val="5"/>
          <c:order val="3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Vaterite!$R$12:$R$21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Vaterite!$X$12:$X$21</c:f>
              <c:numCache>
                <c:formatCode>0.000</c:formatCode>
                <c:ptCount val="10"/>
                <c:pt idx="0">
                  <c:v>-7.7914776252324867</c:v>
                </c:pt>
                <c:pt idx="1">
                  <c:v>-7.8169700312939696</c:v>
                </c:pt>
                <c:pt idx="2">
                  <c:v>-7.8841701198124161</c:v>
                </c:pt>
                <c:pt idx="3">
                  <c:v>-7.9642217035138918</c:v>
                </c:pt>
                <c:pt idx="4">
                  <c:v>-8.0664306806051371</c:v>
                </c:pt>
                <c:pt idx="5">
                  <c:v>-8.1812629890051998</c:v>
                </c:pt>
                <c:pt idx="6">
                  <c:v>-8.3069839064552937</c:v>
                </c:pt>
                <c:pt idx="7">
                  <c:v>-8.4420982730248078</c:v>
                </c:pt>
                <c:pt idx="8">
                  <c:v>-8.6596017786909343</c:v>
                </c:pt>
                <c:pt idx="9">
                  <c:v>-8.8917040214681577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97-40FA-A8CF-6E6A06A44F04}"/>
            </c:ext>
          </c:extLst>
        </c:ser>
        <c:ser>
          <c:idx val="1"/>
          <c:order val="4"/>
          <c:spPr>
            <a:ln w="254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Vaterite!$R$12:$R$21</c:f>
              <c:numCache>
                <c:formatCode>General</c:formatCode>
                <c:ptCount val="10"/>
                <c:pt idx="0">
                  <c:v>0.5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95</c:v>
                </c:pt>
              </c:numCache>
            </c:numRef>
          </c:xVal>
          <c:yVal>
            <c:numRef>
              <c:f>Vaterite!$AA$12:$AA$21</c:f>
              <c:numCache>
                <c:formatCode>0.000</c:formatCode>
                <c:ptCount val="10"/>
                <c:pt idx="0">
                  <c:v>-7.7454346265477625</c:v>
                </c:pt>
                <c:pt idx="1">
                  <c:v>-7.771028989333189</c:v>
                </c:pt>
                <c:pt idx="2">
                  <c:v>-7.8363450927594442</c:v>
                </c:pt>
                <c:pt idx="3">
                  <c:v>-7.9133983809395261</c:v>
                </c:pt>
                <c:pt idx="4">
                  <c:v>-8.0022213580357686</c:v>
                </c:pt>
                <c:pt idx="5">
                  <c:v>-8.1027685254511255</c:v>
                </c:pt>
                <c:pt idx="6">
                  <c:v>-8.2149350292704355</c:v>
                </c:pt>
                <c:pt idx="7">
                  <c:v>-8.3385711984052477</c:v>
                </c:pt>
                <c:pt idx="8">
                  <c:v>-8.5451235929431846</c:v>
                </c:pt>
                <c:pt idx="9">
                  <c:v>-8.7763508508729444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A97-40FA-A8CF-6E6A06A4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395400"/>
        <c:axId val="1"/>
      </c:scatterChart>
      <c:valAx>
        <c:axId val="260395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52388283732903995"/>
              <c:y val="0.9179600886917960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10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1.6949175282802108E-2"/>
              <c:y val="0.4035476718403547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60395400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37115984071785"/>
          <c:y val="2.843601895734597E-2"/>
          <c:w val="0.84455377574370705"/>
          <c:h val="0.8508291173748209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Aragonite!$C$12:$C$22</c:f>
              <c:numCache>
                <c:formatCode>General</c:formatCode>
                <c:ptCount val="11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  <c:pt idx="7">
                  <c:v>3.0473868657626088E-3</c:v>
                </c:pt>
                <c:pt idx="8">
                  <c:v>2.9572674848440043E-3</c:v>
                </c:pt>
                <c:pt idx="9">
                  <c:v>2.831657935721365E-3</c:v>
                </c:pt>
                <c:pt idx="10">
                  <c:v>2.7536830510808208E-3</c:v>
                </c:pt>
              </c:numCache>
            </c:numRef>
          </c:xVal>
          <c:yVal>
            <c:numRef>
              <c:f>Aragonite!$E$12:$E$22</c:f>
              <c:numCache>
                <c:formatCode>0.00</c:formatCode>
                <c:ptCount val="11"/>
                <c:pt idx="0">
                  <c:v>-8.2260000000000009</c:v>
                </c:pt>
                <c:pt idx="1">
                  <c:v>-8.2260000000000009</c:v>
                </c:pt>
                <c:pt idx="2">
                  <c:v>-8.234</c:v>
                </c:pt>
                <c:pt idx="3">
                  <c:v>-8.2739999999999991</c:v>
                </c:pt>
                <c:pt idx="4">
                  <c:v>-8.3320000000000007</c:v>
                </c:pt>
                <c:pt idx="5">
                  <c:v>-8.3949999999999996</c:v>
                </c:pt>
                <c:pt idx="6">
                  <c:v>-8.4740000000000002</c:v>
                </c:pt>
                <c:pt idx="7">
                  <c:v>-8.59</c:v>
                </c:pt>
                <c:pt idx="8">
                  <c:v>-8.6980000000000004</c:v>
                </c:pt>
                <c:pt idx="9">
                  <c:v>-8.8759999999999994</c:v>
                </c:pt>
                <c:pt idx="10">
                  <c:v>-9.0210000000000008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0-4CE4-9155-0E61C7F3BAF8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2060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Aragonite!$C$12:$C$19</c:f>
              <c:numCache>
                <c:formatCode>General</c:formatCode>
                <c:ptCount val="8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  <c:pt idx="7">
                  <c:v>3.0473868657626088E-3</c:v>
                </c:pt>
              </c:numCache>
            </c:numRef>
          </c:xVal>
          <c:yVal>
            <c:numRef>
              <c:f>Aragonite!$G$12:$G$19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0-4CE4-9155-0E61C7F3BAF8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Aragonite!$C$12:$C$17</c:f>
              <c:numCache>
                <c:formatCode>General</c:formatCode>
                <c:ptCount val="6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</c:numCache>
            </c:numRef>
          </c:xVal>
          <c:yVal>
            <c:numRef>
              <c:f>Aragonite!$K$12:$K$17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90-4CE4-9155-0E61C7F3BAF8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x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Aragonite!$C$12:$C$17</c:f>
              <c:numCache>
                <c:formatCode>General</c:formatCode>
                <c:ptCount val="6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</c:numCache>
            </c:numRef>
          </c:xVal>
          <c:yVal>
            <c:numRef>
              <c:f>Aragonite!$I$12:$I$17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90-4CE4-9155-0E61C7F3BAF8}"/>
            </c:ext>
          </c:extLst>
        </c:ser>
        <c:ser>
          <c:idx val="4"/>
          <c:order val="4"/>
          <c:spPr>
            <a:ln w="28575">
              <a:noFill/>
            </a:ln>
          </c:spPr>
          <c:marker>
            <c:symbol val="star"/>
            <c:size val="5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Aragonite!$C$12:$C$18</c:f>
              <c:numCache>
                <c:formatCode>General</c:formatCode>
                <c:ptCount val="7"/>
                <c:pt idx="0">
                  <c:v>3.651634106262553E-3</c:v>
                </c:pt>
                <c:pt idx="1">
                  <c:v>3.6094567767550991E-3</c:v>
                </c:pt>
                <c:pt idx="2">
                  <c:v>3.5964754540550267E-3</c:v>
                </c:pt>
                <c:pt idx="3">
                  <c:v>3.469210754553339E-3</c:v>
                </c:pt>
                <c:pt idx="4">
                  <c:v>3.3540164346805303E-3</c:v>
                </c:pt>
                <c:pt idx="5">
                  <c:v>3.2451728054518907E-3</c:v>
                </c:pt>
                <c:pt idx="6">
                  <c:v>3.1441597233139449E-3</c:v>
                </c:pt>
              </c:numCache>
            </c:numRef>
          </c:xVal>
          <c:yVal>
            <c:numRef>
              <c:f>Aragonite!$M$12:$M$18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90-4CE4-9155-0E61C7F3B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500296"/>
        <c:axId val="1"/>
      </c:scatterChart>
      <c:valAx>
        <c:axId val="246500296"/>
        <c:scaling>
          <c:orientation val="minMax"/>
          <c:max val="3.700000000000001E-3"/>
          <c:min val="2.5000000000000005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 / T [K]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At val="-10001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</a:t>
                </a:r>
                <a:r>
                  <a:rPr lang="en-US" baseline="-25000"/>
                  <a:t>10</a:t>
                </a:r>
                <a:r>
                  <a:rPr lang="en-US"/>
                  <a:t>K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65002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64</xdr:row>
      <xdr:rowOff>139700</xdr:rowOff>
    </xdr:from>
    <xdr:to>
      <xdr:col>16</xdr:col>
      <xdr:colOff>565150</xdr:colOff>
      <xdr:row>91</xdr:row>
      <xdr:rowOff>63500</xdr:rowOff>
    </xdr:to>
    <xdr:graphicFrame macro="">
      <xdr:nvGraphicFramePr>
        <xdr:cNvPr id="2103" name="Chart 1">
          <a:extLst>
            <a:ext uri="{FF2B5EF4-FFF2-40B4-BE49-F238E27FC236}">
              <a16:creationId xmlns:a16="http://schemas.microsoft.com/office/drawing/2014/main" id="{B72ED262-A9DE-B819-0454-4BEBAD7AE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279400</xdr:colOff>
      <xdr:row>66</xdr:row>
      <xdr:rowOff>38100</xdr:rowOff>
    </xdr:from>
    <xdr:to>
      <xdr:col>26</xdr:col>
      <xdr:colOff>342900</xdr:colOff>
      <xdr:row>91</xdr:row>
      <xdr:rowOff>6350</xdr:rowOff>
    </xdr:to>
    <xdr:graphicFrame macro="">
      <xdr:nvGraphicFramePr>
        <xdr:cNvPr id="2104" name="Chart 2">
          <a:extLst>
            <a:ext uri="{FF2B5EF4-FFF2-40B4-BE49-F238E27FC236}">
              <a16:creationId xmlns:a16="http://schemas.microsoft.com/office/drawing/2014/main" id="{FE1655BB-3E50-0C2C-90C6-62A323B45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69850</xdr:colOff>
      <xdr:row>27</xdr:row>
      <xdr:rowOff>19050</xdr:rowOff>
    </xdr:from>
    <xdr:to>
      <xdr:col>16</xdr:col>
      <xdr:colOff>546100</xdr:colOff>
      <xdr:row>64</xdr:row>
      <xdr:rowOff>82550</xdr:rowOff>
    </xdr:to>
    <xdr:graphicFrame macro="">
      <xdr:nvGraphicFramePr>
        <xdr:cNvPr id="2105" name="Chart 1">
          <a:extLst>
            <a:ext uri="{FF2B5EF4-FFF2-40B4-BE49-F238E27FC236}">
              <a16:creationId xmlns:a16="http://schemas.microsoft.com/office/drawing/2014/main" id="{3D756C78-F052-89CD-4BC1-53F1FE22D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27</xdr:row>
      <xdr:rowOff>139700</xdr:rowOff>
    </xdr:from>
    <xdr:to>
      <xdr:col>16</xdr:col>
      <xdr:colOff>565150</xdr:colOff>
      <xdr:row>54</xdr:row>
      <xdr:rowOff>63500</xdr:rowOff>
    </xdr:to>
    <xdr:graphicFrame macro="">
      <xdr:nvGraphicFramePr>
        <xdr:cNvPr id="1269" name="Chart 1">
          <a:extLst>
            <a:ext uri="{FF2B5EF4-FFF2-40B4-BE49-F238E27FC236}">
              <a16:creationId xmlns:a16="http://schemas.microsoft.com/office/drawing/2014/main" id="{2B450A11-48DD-1CA7-38FC-F893B1153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279400</xdr:colOff>
      <xdr:row>29</xdr:row>
      <xdr:rowOff>38100</xdr:rowOff>
    </xdr:from>
    <xdr:to>
      <xdr:col>26</xdr:col>
      <xdr:colOff>342900</xdr:colOff>
      <xdr:row>54</xdr:row>
      <xdr:rowOff>6350</xdr:rowOff>
    </xdr:to>
    <xdr:graphicFrame macro="">
      <xdr:nvGraphicFramePr>
        <xdr:cNvPr id="1270" name="Chart 2">
          <a:extLst>
            <a:ext uri="{FF2B5EF4-FFF2-40B4-BE49-F238E27FC236}">
              <a16:creationId xmlns:a16="http://schemas.microsoft.com/office/drawing/2014/main" id="{CB96A3F0-0720-EA70-FB49-D31DF96C3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27</xdr:row>
      <xdr:rowOff>139700</xdr:rowOff>
    </xdr:from>
    <xdr:to>
      <xdr:col>16</xdr:col>
      <xdr:colOff>565150</xdr:colOff>
      <xdr:row>54</xdr:row>
      <xdr:rowOff>63500</xdr:rowOff>
    </xdr:to>
    <xdr:graphicFrame macro="">
      <xdr:nvGraphicFramePr>
        <xdr:cNvPr id="7203" name="Chart 1">
          <a:extLst>
            <a:ext uri="{FF2B5EF4-FFF2-40B4-BE49-F238E27FC236}">
              <a16:creationId xmlns:a16="http://schemas.microsoft.com/office/drawing/2014/main" id="{A58CA4F1-47F8-73BF-5883-96CE0AF49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279400</xdr:colOff>
      <xdr:row>29</xdr:row>
      <xdr:rowOff>38100</xdr:rowOff>
    </xdr:from>
    <xdr:to>
      <xdr:col>26</xdr:col>
      <xdr:colOff>342900</xdr:colOff>
      <xdr:row>54</xdr:row>
      <xdr:rowOff>6350</xdr:rowOff>
    </xdr:to>
    <xdr:graphicFrame macro="">
      <xdr:nvGraphicFramePr>
        <xdr:cNvPr id="7204" name="Chart 2">
          <a:extLst>
            <a:ext uri="{FF2B5EF4-FFF2-40B4-BE49-F238E27FC236}">
              <a16:creationId xmlns:a16="http://schemas.microsoft.com/office/drawing/2014/main" id="{D5918C19-7B33-84E2-05D5-2BBDBB0B6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gca.2019.04.009" TargetMode="External"/><Relationship Id="rId2" Type="http://schemas.openxmlformats.org/officeDocument/2006/relationships/hyperlink" Target="https://doi.org/10.1021/bk-1990-0416.ch031" TargetMode="External"/><Relationship Id="rId1" Type="http://schemas.openxmlformats.org/officeDocument/2006/relationships/hyperlink" Target="https://doi.org/10.1016/0016-7037(82)90056-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tabSelected="1" zoomScaleNormal="100" workbookViewId="0">
      <selection activeCell="B11" sqref="B11"/>
    </sheetView>
  </sheetViews>
  <sheetFormatPr defaultColWidth="11.5546875" defaultRowHeight="13.2" x14ac:dyDescent="0.25"/>
  <cols>
    <col min="1" max="256" width="8.77734375" customWidth="1"/>
  </cols>
  <sheetData>
    <row r="1" spans="1:3" x14ac:dyDescent="0.25">
      <c r="A1" s="2" t="s">
        <v>33</v>
      </c>
    </row>
    <row r="3" spans="1:3" x14ac:dyDescent="0.25">
      <c r="A3" t="s">
        <v>36</v>
      </c>
    </row>
    <row r="6" spans="1:3" x14ac:dyDescent="0.25">
      <c r="A6" s="2" t="s">
        <v>34</v>
      </c>
    </row>
    <row r="8" spans="1:3" x14ac:dyDescent="0.25">
      <c r="A8" t="s">
        <v>35</v>
      </c>
    </row>
    <row r="9" spans="1:3" ht="15.6" x14ac:dyDescent="0.35">
      <c r="A9" s="18" t="s">
        <v>37</v>
      </c>
      <c r="B9" s="21" t="s">
        <v>48</v>
      </c>
      <c r="C9" s="2" t="s">
        <v>38</v>
      </c>
    </row>
    <row r="10" spans="1:3" x14ac:dyDescent="0.25">
      <c r="A10" s="18" t="s">
        <v>39</v>
      </c>
      <c r="B10" s="21" t="s">
        <v>49</v>
      </c>
      <c r="C10" t="s">
        <v>40</v>
      </c>
    </row>
    <row r="11" spans="1:3" x14ac:dyDescent="0.25">
      <c r="A11" s="18" t="s">
        <v>43</v>
      </c>
      <c r="B11" s="21" t="s">
        <v>50</v>
      </c>
      <c r="C11" t="s">
        <v>42</v>
      </c>
    </row>
    <row r="15" spans="1:3" ht="16.8" x14ac:dyDescent="0.35">
      <c r="A15" s="1" t="s">
        <v>44</v>
      </c>
    </row>
    <row r="17" spans="1:30" ht="15.6" x14ac:dyDescent="0.25">
      <c r="A17" t="s">
        <v>0</v>
      </c>
      <c r="B17">
        <v>8.3145100000000007E-3</v>
      </c>
      <c r="C17" s="2" t="s">
        <v>1</v>
      </c>
    </row>
    <row r="18" spans="1:30" x14ac:dyDescent="0.25">
      <c r="A18" t="s">
        <v>2</v>
      </c>
      <c r="B18">
        <v>298.14999999999998</v>
      </c>
      <c r="C18" s="2" t="s">
        <v>3</v>
      </c>
    </row>
    <row r="19" spans="1:30" x14ac:dyDescent="0.25">
      <c r="A19" t="s">
        <v>4</v>
      </c>
      <c r="B19">
        <f>LN(10)</f>
        <v>2.3025850929940459</v>
      </c>
    </row>
    <row r="20" spans="1:30" x14ac:dyDescent="0.25">
      <c r="AB20" s="20"/>
    </row>
    <row r="21" spans="1:30" ht="15.6" x14ac:dyDescent="0.35">
      <c r="A21" s="2" t="s">
        <v>5</v>
      </c>
      <c r="B21">
        <f>B17*B19</f>
        <v>1.9144866781549925E-2</v>
      </c>
      <c r="Y21" s="9"/>
      <c r="Z21" s="12" t="s">
        <v>16</v>
      </c>
      <c r="AA21" s="12" t="s">
        <v>17</v>
      </c>
      <c r="AB21" s="13" t="s">
        <v>18</v>
      </c>
    </row>
    <row r="22" spans="1:30" ht="15.6" x14ac:dyDescent="0.25">
      <c r="A22" t="s">
        <v>6</v>
      </c>
      <c r="B22">
        <f>B17*B18*B19</f>
        <v>5.7080420309191107</v>
      </c>
      <c r="E22" s="2"/>
      <c r="F22" s="2"/>
      <c r="Z22" s="11" t="s">
        <v>19</v>
      </c>
      <c r="AA22" s="10" t="s">
        <v>20</v>
      </c>
      <c r="AB22" s="11"/>
    </row>
    <row r="23" spans="1:30" x14ac:dyDescent="0.25">
      <c r="V23" s="4" t="s">
        <v>7</v>
      </c>
      <c r="Y23" s="20" t="s">
        <v>47</v>
      </c>
      <c r="Z23">
        <v>-0.40400000000000003</v>
      </c>
      <c r="AA23">
        <v>-10.199999999999999</v>
      </c>
      <c r="AB23">
        <v>-8.4499999999999993</v>
      </c>
    </row>
    <row r="24" spans="1:30" ht="15.6" x14ac:dyDescent="0.35">
      <c r="A24" s="4" t="s">
        <v>2</v>
      </c>
      <c r="B24" s="4" t="s">
        <v>2</v>
      </c>
      <c r="C24" s="5" t="s">
        <v>8</v>
      </c>
      <c r="D24" s="4" t="s">
        <v>9</v>
      </c>
      <c r="E24" s="18" t="s">
        <v>37</v>
      </c>
      <c r="O24" s="4" t="s">
        <v>10</v>
      </c>
      <c r="P24" s="4" t="s">
        <v>11</v>
      </c>
      <c r="R24" s="4" t="s">
        <v>2</v>
      </c>
      <c r="S24" s="4" t="s">
        <v>2</v>
      </c>
      <c r="T24" s="4" t="s">
        <v>10</v>
      </c>
      <c r="U24" s="4" t="s">
        <v>11</v>
      </c>
      <c r="V24" s="4" t="s">
        <v>9</v>
      </c>
      <c r="W24" s="6" t="s">
        <v>12</v>
      </c>
      <c r="X24" s="6" t="s">
        <v>13</v>
      </c>
      <c r="Z24" s="4" t="s">
        <v>9</v>
      </c>
      <c r="AC24" s="18" t="s">
        <v>37</v>
      </c>
    </row>
    <row r="25" spans="1:30" ht="13.8" x14ac:dyDescent="0.3">
      <c r="A25" s="4" t="s">
        <v>14</v>
      </c>
      <c r="B25" s="4" t="s">
        <v>15</v>
      </c>
      <c r="C25" s="4" t="s">
        <v>15</v>
      </c>
      <c r="F25" s="19" t="s">
        <v>28</v>
      </c>
      <c r="R25" s="4" t="s">
        <v>14</v>
      </c>
      <c r="S25" s="4" t="s">
        <v>15</v>
      </c>
      <c r="V25" s="4" t="s">
        <v>30</v>
      </c>
      <c r="Z25" s="4" t="s">
        <v>30</v>
      </c>
      <c r="AD25" s="2" t="s">
        <v>41</v>
      </c>
    </row>
    <row r="26" spans="1:30" x14ac:dyDescent="0.25">
      <c r="A26" s="16">
        <v>0.2</v>
      </c>
      <c r="B26">
        <f>273.15+$A26</f>
        <v>273.34999999999997</v>
      </c>
      <c r="C26">
        <f>1/B26</f>
        <v>3.6583135174684477E-3</v>
      </c>
      <c r="D26" s="7">
        <v>-8.3789999999999996</v>
      </c>
      <c r="E26" s="7">
        <f t="shared" ref="E26:E59" si="0">D26</f>
        <v>-8.3789999999999996</v>
      </c>
      <c r="F26" s="2">
        <v>0.04</v>
      </c>
      <c r="O26">
        <f t="shared" ref="O26:O59" si="1">(1/$B$18-1/$B26)/$B$21</f>
        <v>-1.5894447648033317E-2</v>
      </c>
      <c r="P26">
        <f t="shared" ref="P26:P59" si="2">($B$18/$B26-1+LN($B26/$B$18))/$B$21</f>
        <v>0.20279509120703462</v>
      </c>
      <c r="R26">
        <v>0.5</v>
      </c>
      <c r="S26">
        <f t="shared" ref="S26:S35" si="3">273.15+$R26</f>
        <v>273.64999999999998</v>
      </c>
      <c r="T26">
        <f t="shared" ref="T26:T35" si="4">(1/$B$18-1/$S26)/$B$21</f>
        <v>-1.5684961951405514E-2</v>
      </c>
      <c r="U26">
        <f t="shared" ref="U26:U35" si="5">($B$18/$S26-1+LN($S26/$B$18))/$B$21</f>
        <v>0.19763125729599004</v>
      </c>
      <c r="V26" s="7">
        <f>$D$64+$C$64*$T26+$B$64*$U26</f>
        <v>-8.3865348148636123</v>
      </c>
      <c r="W26" s="7">
        <f>($D$64+$D$71+($C$64-$C$71)*$T26+($B$64-$B$71)*$U26)</f>
        <v>-8.3432504066689468</v>
      </c>
      <c r="X26" s="7">
        <f>($D$64-$D$71+($C$64+$C$71)*$T26+($B$64+$B$71)*$U26)</f>
        <v>-8.4298192230582796</v>
      </c>
      <c r="Z26" s="7">
        <f>$AB$23+$AA$23*$T26+$Z$23*$U26</f>
        <v>-8.3698564160432429</v>
      </c>
      <c r="AA26" s="7">
        <f>V26-Z26</f>
        <v>-1.6678398820369367E-2</v>
      </c>
      <c r="AC26">
        <f>-171.9065-0.077993*S26+2839.319/S26+71.595*LOG(S26)</f>
        <v>-8.3825442556359917</v>
      </c>
      <c r="AD26" s="7">
        <f>V26-AC26</f>
        <v>-3.9905592276205937E-3</v>
      </c>
    </row>
    <row r="27" spans="1:30" x14ac:dyDescent="0.25">
      <c r="A27" s="16">
        <v>3.8</v>
      </c>
      <c r="B27">
        <f t="shared" ref="B27:B59" si="6">273.15+$A27</f>
        <v>276.95</v>
      </c>
      <c r="C27">
        <f t="shared" ref="C27:C59" si="7">1/B27</f>
        <v>3.6107600649936812E-3</v>
      </c>
      <c r="D27" s="7">
        <v>-8.3970000000000002</v>
      </c>
      <c r="E27" s="7">
        <f t="shared" si="0"/>
        <v>-8.3970000000000002</v>
      </c>
      <c r="F27" s="2">
        <v>0.04</v>
      </c>
      <c r="O27">
        <f t="shared" si="1"/>
        <v>-1.3410572830967775E-2</v>
      </c>
      <c r="P27">
        <f t="shared" si="2"/>
        <v>0.14564647117582838</v>
      </c>
      <c r="R27">
        <v>5</v>
      </c>
      <c r="S27">
        <f t="shared" si="3"/>
        <v>278.14999999999998</v>
      </c>
      <c r="T27">
        <f t="shared" si="4"/>
        <v>-1.2596902531675022E-2</v>
      </c>
      <c r="U27">
        <f t="shared" si="5"/>
        <v>0.12888415942165576</v>
      </c>
      <c r="V27" s="7">
        <f t="shared" ref="V27:V35" si="8">$D$64+$C$64*$T27+$B$64*$U27</f>
        <v>-8.3920142182367243</v>
      </c>
      <c r="W27" s="7">
        <f>($D$64+$D$71+($C$64-$C$71)*$T27+($B$64-$B$71)*$U27)</f>
        <v>-8.3484514856597904</v>
      </c>
      <c r="X27" s="7">
        <f>($D$64-$D$71+($C$64+$C$71)*$T27+($B$64+$B$71)*$U27)</f>
        <v>-8.4355769508136564</v>
      </c>
      <c r="Z27" s="7">
        <f t="shared" ref="Z27:Z35" si="9">$AB$23+$AA$23*$T27+$Z$23*$U27</f>
        <v>-8.3735807945832637</v>
      </c>
      <c r="AA27" s="7">
        <f t="shared" ref="AA27:AA35" si="10">V27-Z27</f>
        <v>-1.8433423653460679E-2</v>
      </c>
      <c r="AC27">
        <f t="shared" ref="AC27:AC35" si="11">-171.9065-0.077993*S27+2839.319/S27+71.595*LOG(S27)</f>
        <v>-8.3942234887040286</v>
      </c>
      <c r="AD27" s="7">
        <f t="shared" ref="AD27:AD35" si="12">V27-AC27</f>
        <v>2.2092704673042363E-3</v>
      </c>
    </row>
    <row r="28" spans="1:30" x14ac:dyDescent="0.25">
      <c r="A28" s="16">
        <v>4.5999999999999996</v>
      </c>
      <c r="B28">
        <f t="shared" si="6"/>
        <v>277.75</v>
      </c>
      <c r="C28">
        <f t="shared" si="7"/>
        <v>3.6003600360036002E-3</v>
      </c>
      <c r="D28" s="7">
        <v>-8.3759999999999994</v>
      </c>
      <c r="E28" s="7">
        <f t="shared" si="0"/>
        <v>-8.3759999999999994</v>
      </c>
      <c r="F28" s="2">
        <v>0.04</v>
      </c>
      <c r="O28">
        <f t="shared" si="1"/>
        <v>-1.2867344763165098E-2</v>
      </c>
      <c r="P28">
        <f t="shared" si="2"/>
        <v>0.13434711844413089</v>
      </c>
      <c r="R28">
        <v>15</v>
      </c>
      <c r="S28">
        <f t="shared" si="3"/>
        <v>288.14999999999998</v>
      </c>
      <c r="T28">
        <f t="shared" si="4"/>
        <v>-6.0798688863185945E-3</v>
      </c>
      <c r="U28">
        <f t="shared" si="5"/>
        <v>3.0745027680825151E-2</v>
      </c>
      <c r="V28" s="7">
        <f t="shared" si="8"/>
        <v>-8.4203269320864891</v>
      </c>
      <c r="W28" s="7">
        <f>($D$64+$D$71+($C$64-$C$71)*$T28+($B$64-$B$71)*$U28)</f>
        <v>-8.3776321066128059</v>
      </c>
      <c r="X28" s="7">
        <f>($D$64-$D$71+($C$64+$C$71)*$T28+($B$64+$B$71)*$U28)</f>
        <v>-8.4630217575601741</v>
      </c>
      <c r="Z28" s="7">
        <f t="shared" si="9"/>
        <v>-8.4004063285426014</v>
      </c>
      <c r="AA28" s="7">
        <f t="shared" si="10"/>
        <v>-1.9920603543887694E-2</v>
      </c>
      <c r="AC28">
        <f t="shared" si="11"/>
        <v>-8.4301731337103263</v>
      </c>
      <c r="AD28" s="7">
        <f t="shared" si="12"/>
        <v>9.846201623837203E-3</v>
      </c>
    </row>
    <row r="29" spans="1:30" x14ac:dyDescent="0.25">
      <c r="A29" s="16">
        <v>5</v>
      </c>
      <c r="B29">
        <f t="shared" si="6"/>
        <v>278.14999999999998</v>
      </c>
      <c r="C29">
        <f t="shared" si="7"/>
        <v>3.5951824555096176E-3</v>
      </c>
      <c r="D29" s="7">
        <v>-8.3780000000000001</v>
      </c>
      <c r="E29" s="7">
        <f t="shared" si="0"/>
        <v>-8.3780000000000001</v>
      </c>
      <c r="F29" s="2">
        <v>0.04</v>
      </c>
      <c r="O29">
        <f t="shared" si="1"/>
        <v>-1.2596902531675022E-2</v>
      </c>
      <c r="P29">
        <f t="shared" si="2"/>
        <v>0.12888415942165576</v>
      </c>
      <c r="R29">
        <v>25</v>
      </c>
      <c r="S29">
        <f t="shared" si="3"/>
        <v>298.14999999999998</v>
      </c>
      <c r="T29">
        <f t="shared" si="4"/>
        <v>0</v>
      </c>
      <c r="U29">
        <f t="shared" si="5"/>
        <v>0</v>
      </c>
      <c r="V29" s="7">
        <f t="shared" si="8"/>
        <v>-8.4684366655924901</v>
      </c>
      <c r="W29" s="7">
        <f>($D$64+$D$71+($C$64-$C$71)*$T29+($B$64-$B$71)*$U29)</f>
        <v>-8.4284366655924909</v>
      </c>
      <c r="X29" s="7">
        <f>($D$64-$D$71+($C$64+$C$71)*$T29+($B$64+$B$71)*$U29)</f>
        <v>-8.5084366655924892</v>
      </c>
      <c r="Z29" s="7">
        <f t="shared" si="9"/>
        <v>-8.4499999999999993</v>
      </c>
      <c r="AA29" s="7">
        <f t="shared" si="10"/>
        <v>-1.8436665592490797E-2</v>
      </c>
      <c r="AC29">
        <f t="shared" si="11"/>
        <v>-8.4798298751538255</v>
      </c>
      <c r="AD29" s="7">
        <f t="shared" si="12"/>
        <v>1.1393209561335382E-2</v>
      </c>
    </row>
    <row r="30" spans="1:30" x14ac:dyDescent="0.25">
      <c r="A30" s="16">
        <v>10</v>
      </c>
      <c r="B30">
        <f t="shared" si="6"/>
        <v>283.14999999999998</v>
      </c>
      <c r="C30">
        <f t="shared" si="7"/>
        <v>3.5316969803990822E-3</v>
      </c>
      <c r="D30" s="7">
        <v>-8.41</v>
      </c>
      <c r="E30" s="7">
        <f t="shared" si="0"/>
        <v>-8.41</v>
      </c>
      <c r="F30" s="2">
        <v>0.04</v>
      </c>
      <c r="O30">
        <f t="shared" si="1"/>
        <v>-9.2808452388806473E-3</v>
      </c>
      <c r="P30">
        <f t="shared" si="2"/>
        <v>7.0803924213856742E-2</v>
      </c>
      <c r="R30">
        <v>35</v>
      </c>
      <c r="S30">
        <f t="shared" si="3"/>
        <v>308.14999999999998</v>
      </c>
      <c r="T30">
        <f t="shared" si="4"/>
        <v>5.6852643829067113E-3</v>
      </c>
      <c r="U30">
        <f t="shared" si="5"/>
        <v>2.8113738829310959E-2</v>
      </c>
      <c r="V30" s="7">
        <f t="shared" si="8"/>
        <v>-8.5337117267969251</v>
      </c>
      <c r="W30" s="7">
        <f t="shared" ref="W30:W35" si="13">($D$64+$D$71+($C$64+$C$71)*$T30+($B$64+$B$71)*$U30)</f>
        <v>-8.4894290422634722</v>
      </c>
      <c r="X30" s="7">
        <f t="shared" ref="X30:X35" si="14">($D$64-$D$71+($C$64-$C$71)*$T30+($B$64-$B$71)*$U30)</f>
        <v>-8.5779944113303763</v>
      </c>
      <c r="Z30" s="7">
        <f t="shared" si="9"/>
        <v>-8.5193476471926903</v>
      </c>
      <c r="AA30" s="7">
        <f t="shared" si="10"/>
        <v>-1.4364079604234803E-2</v>
      </c>
      <c r="AC30">
        <f t="shared" si="11"/>
        <v>-8.5430344360821664</v>
      </c>
      <c r="AD30" s="7">
        <f t="shared" si="12"/>
        <v>9.3227092852412596E-3</v>
      </c>
    </row>
    <row r="31" spans="1:30" x14ac:dyDescent="0.25">
      <c r="A31" s="16">
        <v>14.7</v>
      </c>
      <c r="B31">
        <f t="shared" si="6"/>
        <v>287.84999999999997</v>
      </c>
      <c r="C31">
        <f t="shared" si="7"/>
        <v>3.4740316136876851E-3</v>
      </c>
      <c r="D31" s="7">
        <v>-8.4250000000000007</v>
      </c>
      <c r="E31" s="7">
        <f t="shared" si="0"/>
        <v>-8.4250000000000007</v>
      </c>
      <c r="F31" s="2">
        <v>0.04</v>
      </c>
      <c r="O31">
        <f t="shared" si="1"/>
        <v>-6.2687915448340695E-3</v>
      </c>
      <c r="P31">
        <f t="shared" si="2"/>
        <v>3.266260250446866E-2</v>
      </c>
      <c r="R31">
        <v>45</v>
      </c>
      <c r="S31">
        <f t="shared" si="3"/>
        <v>318.14999999999998</v>
      </c>
      <c r="T31">
        <f t="shared" si="4"/>
        <v>1.1013133550794935E-2</v>
      </c>
      <c r="U31">
        <f t="shared" si="5"/>
        <v>0.10774819867701339</v>
      </c>
      <c r="V31" s="7">
        <f t="shared" si="8"/>
        <v>-8.6138956000638398</v>
      </c>
      <c r="W31" s="7">
        <f t="shared" si="13"/>
        <v>-8.5639475257743776</v>
      </c>
      <c r="X31" s="7">
        <f t="shared" si="14"/>
        <v>-8.6638436743533038</v>
      </c>
      <c r="Z31" s="7">
        <f t="shared" si="9"/>
        <v>-8.6058642344836223</v>
      </c>
      <c r="AA31" s="7">
        <f t="shared" si="10"/>
        <v>-8.0313655802175532E-3</v>
      </c>
      <c r="AC31">
        <f t="shared" si="11"/>
        <v>-8.619573648820591</v>
      </c>
      <c r="AD31" s="7">
        <f t="shared" si="12"/>
        <v>5.6780487567511528E-3</v>
      </c>
    </row>
    <row r="32" spans="1:30" x14ac:dyDescent="0.25">
      <c r="A32" s="16">
        <v>15.1</v>
      </c>
      <c r="B32">
        <f t="shared" si="6"/>
        <v>288.25</v>
      </c>
      <c r="C32">
        <f t="shared" si="7"/>
        <v>3.469210754553339E-3</v>
      </c>
      <c r="D32" s="7">
        <v>-8.4039999999999999</v>
      </c>
      <c r="E32" s="7">
        <f t="shared" si="0"/>
        <v>-8.4039999999999999</v>
      </c>
      <c r="F32" s="2">
        <v>0.04</v>
      </c>
      <c r="O32">
        <f t="shared" si="1"/>
        <v>-6.0169820551492399E-3</v>
      </c>
      <c r="P32">
        <f t="shared" si="2"/>
        <v>3.0119303347003717E-2</v>
      </c>
      <c r="R32">
        <v>55</v>
      </c>
      <c r="S32">
        <f t="shared" si="3"/>
        <v>328.15</v>
      </c>
      <c r="T32">
        <f t="shared" si="4"/>
        <v>1.601628114818867E-2</v>
      </c>
      <c r="U32">
        <f t="shared" si="5"/>
        <v>0.23256883573771028</v>
      </c>
      <c r="V32" s="7">
        <f t="shared" si="8"/>
        <v>-8.7070457277467241</v>
      </c>
      <c r="W32" s="7">
        <f t="shared" si="13"/>
        <v>-8.6502263251499425</v>
      </c>
      <c r="X32" s="7">
        <f t="shared" si="14"/>
        <v>-8.7638651303435058</v>
      </c>
      <c r="Z32" s="7">
        <f t="shared" si="9"/>
        <v>-8.7073238773495589</v>
      </c>
      <c r="AA32" s="7">
        <f t="shared" si="10"/>
        <v>2.781496028347874E-4</v>
      </c>
      <c r="AC32">
        <f t="shared" si="11"/>
        <v>-8.7091954284781252</v>
      </c>
      <c r="AD32" s="7">
        <f t="shared" si="12"/>
        <v>2.149700731401083E-3</v>
      </c>
    </row>
    <row r="33" spans="1:30" x14ac:dyDescent="0.25">
      <c r="A33" s="16">
        <v>24.6</v>
      </c>
      <c r="B33">
        <f t="shared" si="6"/>
        <v>297.75</v>
      </c>
      <c r="C33">
        <f t="shared" si="7"/>
        <v>3.3585222502099076E-3</v>
      </c>
      <c r="D33" s="7">
        <v>-8.4890000000000008</v>
      </c>
      <c r="E33" s="7">
        <f t="shared" si="0"/>
        <v>-8.4890000000000008</v>
      </c>
      <c r="F33" s="2">
        <v>0.04</v>
      </c>
      <c r="O33">
        <f t="shared" si="1"/>
        <v>-2.3535371547842422E-4</v>
      </c>
      <c r="P33">
        <f t="shared" si="2"/>
        <v>4.7091807365381974E-5</v>
      </c>
      <c r="R33">
        <v>65</v>
      </c>
      <c r="S33">
        <f t="shared" si="3"/>
        <v>338.15</v>
      </c>
      <c r="T33">
        <f t="shared" si="4"/>
        <v>2.0723515831349446E-2</v>
      </c>
      <c r="U33">
        <f t="shared" si="5"/>
        <v>0.39708654778419117</v>
      </c>
      <c r="V33" s="7">
        <f t="shared" si="8"/>
        <v>-8.8114836340192575</v>
      </c>
      <c r="W33" s="7">
        <f t="shared" si="13"/>
        <v>-8.7467398415391386</v>
      </c>
      <c r="X33" s="7">
        <f t="shared" si="14"/>
        <v>-8.8762274264993763</v>
      </c>
      <c r="Z33" s="7">
        <f t="shared" si="9"/>
        <v>-8.8218028267845767</v>
      </c>
      <c r="AA33" s="7">
        <f t="shared" si="10"/>
        <v>1.0319192765319229E-2</v>
      </c>
      <c r="AC33">
        <f t="shared" si="11"/>
        <v>-8.8116202890454929</v>
      </c>
      <c r="AD33" s="7">
        <f t="shared" si="12"/>
        <v>1.3665502623538828E-4</v>
      </c>
    </row>
    <row r="34" spans="1:30" x14ac:dyDescent="0.25">
      <c r="A34" s="16">
        <v>25</v>
      </c>
      <c r="B34">
        <f t="shared" si="6"/>
        <v>298.14999999999998</v>
      </c>
      <c r="C34">
        <f t="shared" si="7"/>
        <v>3.3540164346805303E-3</v>
      </c>
      <c r="D34" s="7">
        <v>-8.4849999999999994</v>
      </c>
      <c r="E34" s="7">
        <f t="shared" si="0"/>
        <v>-8.4849999999999994</v>
      </c>
      <c r="F34" s="2">
        <v>0.04</v>
      </c>
      <c r="O34">
        <f t="shared" si="1"/>
        <v>0</v>
      </c>
      <c r="P34">
        <f t="shared" si="2"/>
        <v>0</v>
      </c>
      <c r="R34">
        <v>80</v>
      </c>
      <c r="S34">
        <f t="shared" si="3"/>
        <v>353.15</v>
      </c>
      <c r="T34">
        <f t="shared" si="4"/>
        <v>2.7284519914370298E-2</v>
      </c>
      <c r="U34">
        <f t="shared" si="5"/>
        <v>0.70802236316444289</v>
      </c>
      <c r="V34" s="7">
        <f t="shared" si="8"/>
        <v>-8.9861742717690571</v>
      </c>
      <c r="W34" s="7">
        <f t="shared" si="13"/>
        <v>-8.9078548665623369</v>
      </c>
      <c r="X34" s="7">
        <f t="shared" si="14"/>
        <v>-9.0644936769757756</v>
      </c>
      <c r="Z34" s="7">
        <f t="shared" si="9"/>
        <v>-9.0143431378450121</v>
      </c>
      <c r="AA34" s="7">
        <f t="shared" si="10"/>
        <v>2.8168866075954924E-2</v>
      </c>
      <c r="AC34">
        <f t="shared" si="11"/>
        <v>-8.9886080896159797</v>
      </c>
      <c r="AD34" s="7">
        <f t="shared" si="12"/>
        <v>2.4338178469225369E-3</v>
      </c>
    </row>
    <row r="35" spans="1:30" x14ac:dyDescent="0.25">
      <c r="A35" s="16">
        <v>25.5</v>
      </c>
      <c r="B35">
        <f t="shared" si="6"/>
        <v>298.64999999999998</v>
      </c>
      <c r="C35">
        <f t="shared" si="7"/>
        <v>3.3484011384563874E-3</v>
      </c>
      <c r="D35" s="7">
        <v>-8.4890000000000008</v>
      </c>
      <c r="E35" s="7">
        <f t="shared" si="0"/>
        <v>-8.4890000000000008</v>
      </c>
      <c r="F35" s="2">
        <v>0.04</v>
      </c>
      <c r="O35">
        <f t="shared" si="1"/>
        <v>2.9330557836811002E-4</v>
      </c>
      <c r="P35">
        <f t="shared" si="2"/>
        <v>7.3285439274220189E-5</v>
      </c>
      <c r="R35">
        <v>95</v>
      </c>
      <c r="S35">
        <f t="shared" si="3"/>
        <v>368.15</v>
      </c>
      <c r="T35">
        <f t="shared" si="4"/>
        <v>3.3310877460678859E-2</v>
      </c>
      <c r="U35">
        <f t="shared" si="5"/>
        <v>1.0840430414099647</v>
      </c>
      <c r="V35" s="7">
        <f t="shared" si="8"/>
        <v>-9.1788907877596326</v>
      </c>
      <c r="W35" s="7">
        <f t="shared" si="13"/>
        <v>-9.085298926999517</v>
      </c>
      <c r="X35" s="7">
        <f t="shared" si="14"/>
        <v>-9.2724826485197482</v>
      </c>
      <c r="Z35" s="7">
        <f t="shared" si="9"/>
        <v>-9.2277243388285495</v>
      </c>
      <c r="AA35" s="7">
        <f t="shared" si="10"/>
        <v>4.8833551068916847E-2</v>
      </c>
      <c r="AC35">
        <f t="shared" si="11"/>
        <v>-9.1926799286944458</v>
      </c>
      <c r="AD35" s="7">
        <f t="shared" si="12"/>
        <v>1.3789140934813204E-2</v>
      </c>
    </row>
    <row r="36" spans="1:30" x14ac:dyDescent="0.25">
      <c r="A36" s="16">
        <v>35</v>
      </c>
      <c r="B36">
        <f t="shared" si="6"/>
        <v>308.14999999999998</v>
      </c>
      <c r="C36">
        <f t="shared" si="7"/>
        <v>3.2451728054518907E-3</v>
      </c>
      <c r="D36" s="7">
        <v>-8.5530000000000008</v>
      </c>
      <c r="E36" s="7">
        <f t="shared" si="0"/>
        <v>-8.5530000000000008</v>
      </c>
      <c r="F36" s="2">
        <v>0.04</v>
      </c>
      <c r="O36">
        <f t="shared" si="1"/>
        <v>5.6852643829067113E-3</v>
      </c>
      <c r="P36">
        <f t="shared" si="2"/>
        <v>2.8113738829310959E-2</v>
      </c>
    </row>
    <row r="37" spans="1:30" x14ac:dyDescent="0.25">
      <c r="A37" s="16">
        <v>37.799999999999997</v>
      </c>
      <c r="B37">
        <f t="shared" si="6"/>
        <v>310.95</v>
      </c>
      <c r="C37">
        <f t="shared" si="7"/>
        <v>3.2159511175430134E-3</v>
      </c>
      <c r="D37" s="7">
        <v>-8.5579999999999998</v>
      </c>
      <c r="E37" s="7">
        <f t="shared" si="0"/>
        <v>-8.5579999999999998</v>
      </c>
      <c r="F37" s="2">
        <v>0.04</v>
      </c>
      <c r="O37">
        <f t="shared" si="1"/>
        <v>7.2116102301934878E-3</v>
      </c>
      <c r="P37">
        <f t="shared" si="2"/>
        <v>4.5507638479493462E-2</v>
      </c>
    </row>
    <row r="38" spans="1:30" x14ac:dyDescent="0.25">
      <c r="A38" s="16">
        <v>38</v>
      </c>
      <c r="B38">
        <f t="shared" si="6"/>
        <v>311.14999999999998</v>
      </c>
      <c r="C38">
        <f t="shared" si="7"/>
        <v>3.2138839787883662E-3</v>
      </c>
      <c r="D38" s="7">
        <v>-8.5589999999999993</v>
      </c>
      <c r="E38" s="7">
        <f t="shared" si="0"/>
        <v>-8.5589999999999993</v>
      </c>
      <c r="F38" s="2">
        <v>0.04</v>
      </c>
      <c r="O38">
        <f t="shared" si="1"/>
        <v>7.3195837553286609E-3</v>
      </c>
      <c r="P38">
        <f t="shared" si="2"/>
        <v>4.6900494639562862E-2</v>
      </c>
    </row>
    <row r="39" spans="1:30" x14ac:dyDescent="0.25">
      <c r="A39" s="16">
        <v>45</v>
      </c>
      <c r="B39">
        <f t="shared" si="6"/>
        <v>318.14999999999998</v>
      </c>
      <c r="C39">
        <f t="shared" si="7"/>
        <v>3.1431714600031434E-3</v>
      </c>
      <c r="D39" s="7">
        <v>-8.6280000000000001</v>
      </c>
      <c r="E39" s="7">
        <f t="shared" si="0"/>
        <v>-8.6280000000000001</v>
      </c>
      <c r="F39" s="2">
        <v>0.04</v>
      </c>
      <c r="O39">
        <f t="shared" si="1"/>
        <v>1.1013133550794935E-2</v>
      </c>
      <c r="P39">
        <f t="shared" si="2"/>
        <v>0.10774819867701339</v>
      </c>
    </row>
    <row r="40" spans="1:30" x14ac:dyDescent="0.25">
      <c r="A40" s="16">
        <v>51.1</v>
      </c>
      <c r="B40">
        <f t="shared" si="6"/>
        <v>324.25</v>
      </c>
      <c r="C40">
        <f t="shared" si="7"/>
        <v>3.0840400925212026E-3</v>
      </c>
      <c r="D40" s="7">
        <v>-8.6630000000000003</v>
      </c>
      <c r="E40" s="7">
        <f t="shared" si="0"/>
        <v>-8.6630000000000003</v>
      </c>
      <c r="F40" s="2">
        <v>0.04</v>
      </c>
      <c r="O40">
        <f t="shared" si="1"/>
        <v>1.4101761335811761E-2</v>
      </c>
      <c r="P40">
        <f t="shared" si="2"/>
        <v>0.17888143342607538</v>
      </c>
    </row>
    <row r="41" spans="1:30" x14ac:dyDescent="0.25">
      <c r="A41" s="16">
        <v>51.6</v>
      </c>
      <c r="B41">
        <f t="shared" si="6"/>
        <v>324.75</v>
      </c>
      <c r="C41">
        <f t="shared" si="7"/>
        <v>3.0792917628945341E-3</v>
      </c>
      <c r="D41" s="7">
        <v>-8.6639999999999997</v>
      </c>
      <c r="E41" s="7">
        <f t="shared" si="0"/>
        <v>-8.6639999999999997</v>
      </c>
      <c r="F41" s="2">
        <v>0.04</v>
      </c>
      <c r="O41">
        <f t="shared" si="1"/>
        <v>1.434978236833441E-2</v>
      </c>
      <c r="P41">
        <f t="shared" si="2"/>
        <v>0.18541675578648162</v>
      </c>
    </row>
    <row r="42" spans="1:30" x14ac:dyDescent="0.25">
      <c r="A42" s="16">
        <v>54.5</v>
      </c>
      <c r="B42">
        <f t="shared" si="6"/>
        <v>327.64999999999998</v>
      </c>
      <c r="C42">
        <f t="shared" si="7"/>
        <v>3.0520372348542654E-3</v>
      </c>
      <c r="D42" s="7">
        <v>-8.7059999999999995</v>
      </c>
      <c r="E42" s="7">
        <f t="shared" si="0"/>
        <v>-8.7059999999999995</v>
      </c>
      <c r="F42" s="2">
        <v>0.04</v>
      </c>
      <c r="O42">
        <f t="shared" si="1"/>
        <v>1.5773376919879373E-2</v>
      </c>
      <c r="P42">
        <f t="shared" si="2"/>
        <v>0.22534246581166142</v>
      </c>
    </row>
    <row r="43" spans="1:30" x14ac:dyDescent="0.25">
      <c r="A43" s="16">
        <v>54.8</v>
      </c>
      <c r="B43">
        <f t="shared" si="6"/>
        <v>327.95</v>
      </c>
      <c r="C43">
        <f t="shared" si="7"/>
        <v>3.0492453117853331E-3</v>
      </c>
      <c r="D43" s="7">
        <v>-8.6989999999999998</v>
      </c>
      <c r="E43" s="7">
        <f t="shared" si="0"/>
        <v>-8.6989999999999998</v>
      </c>
      <c r="F43" s="2">
        <v>0.04</v>
      </c>
      <c r="O43">
        <f t="shared" si="1"/>
        <v>1.5919208337814489E-2</v>
      </c>
      <c r="P43">
        <f t="shared" si="2"/>
        <v>0.22966636068023799</v>
      </c>
    </row>
    <row r="44" spans="1:30" x14ac:dyDescent="0.25">
      <c r="A44" s="16">
        <v>55</v>
      </c>
      <c r="B44">
        <f t="shared" si="6"/>
        <v>328.15</v>
      </c>
      <c r="C44">
        <f t="shared" si="7"/>
        <v>3.0473868657626088E-3</v>
      </c>
      <c r="D44" s="7">
        <v>-8.7040000000000006</v>
      </c>
      <c r="E44" s="7">
        <f t="shared" si="0"/>
        <v>-8.7040000000000006</v>
      </c>
      <c r="F44" s="2">
        <v>0.04</v>
      </c>
      <c r="O44">
        <f t="shared" si="1"/>
        <v>1.601628114818867E-2</v>
      </c>
      <c r="P44">
        <f t="shared" si="2"/>
        <v>0.23256883573771028</v>
      </c>
    </row>
    <row r="45" spans="1:30" x14ac:dyDescent="0.25">
      <c r="A45" s="16">
        <v>55.2</v>
      </c>
      <c r="B45">
        <f t="shared" si="6"/>
        <v>328.34999999999997</v>
      </c>
      <c r="C45">
        <f t="shared" si="7"/>
        <v>3.0455306837216386E-3</v>
      </c>
      <c r="D45" s="7">
        <v>-8.6880000000000006</v>
      </c>
      <c r="E45" s="7">
        <f t="shared" si="0"/>
        <v>-8.6880000000000006</v>
      </c>
      <c r="F45" s="2">
        <v>0.04</v>
      </c>
      <c r="O45">
        <f t="shared" si="1"/>
        <v>1.6113235703273845E-2</v>
      </c>
      <c r="P45">
        <f t="shared" si="2"/>
        <v>0.235487165876656</v>
      </c>
    </row>
    <row r="46" spans="1:30" x14ac:dyDescent="0.25">
      <c r="A46" s="16">
        <v>57.6</v>
      </c>
      <c r="B46">
        <f t="shared" si="6"/>
        <v>330.75</v>
      </c>
      <c r="C46">
        <f t="shared" si="7"/>
        <v>3.0234315948601664E-3</v>
      </c>
      <c r="D46" s="7">
        <v>-8.7309999999999999</v>
      </c>
      <c r="E46" s="7">
        <f t="shared" si="0"/>
        <v>-8.7309999999999999</v>
      </c>
      <c r="F46" s="2">
        <v>0.04</v>
      </c>
      <c r="O46">
        <f t="shared" si="1"/>
        <v>1.7267544537784479E-2</v>
      </c>
      <c r="P46">
        <f t="shared" si="2"/>
        <v>0.27172910069670775</v>
      </c>
    </row>
    <row r="47" spans="1:30" x14ac:dyDescent="0.25">
      <c r="A47" s="16">
        <v>64.599999999999994</v>
      </c>
      <c r="B47">
        <f t="shared" si="6"/>
        <v>337.75</v>
      </c>
      <c r="C47">
        <f t="shared" si="7"/>
        <v>2.9607698001480384E-3</v>
      </c>
      <c r="D47" s="7">
        <v>-8.7789999999999999</v>
      </c>
      <c r="E47" s="7">
        <f t="shared" si="0"/>
        <v>-8.7789999999999999</v>
      </c>
      <c r="F47" s="2">
        <v>0.04</v>
      </c>
      <c r="O47">
        <f t="shared" si="1"/>
        <v>2.0540578266727203E-2</v>
      </c>
      <c r="P47">
        <f t="shared" si="2"/>
        <v>0.38980564714730898</v>
      </c>
    </row>
    <row r="48" spans="1:30" x14ac:dyDescent="0.25">
      <c r="A48" s="16">
        <v>65</v>
      </c>
      <c r="B48">
        <f t="shared" si="6"/>
        <v>338.15</v>
      </c>
      <c r="C48">
        <f t="shared" si="7"/>
        <v>2.9572674848440043E-3</v>
      </c>
      <c r="D48" s="7">
        <v>-8.8030000000000008</v>
      </c>
      <c r="E48" s="7">
        <f t="shared" si="0"/>
        <v>-8.8030000000000008</v>
      </c>
      <c r="F48" s="2">
        <v>0.04</v>
      </c>
      <c r="O48">
        <f t="shared" si="1"/>
        <v>2.0723515831349446E-2</v>
      </c>
      <c r="P48">
        <f t="shared" si="2"/>
        <v>0.39708654778419117</v>
      </c>
    </row>
    <row r="49" spans="1:16" x14ac:dyDescent="0.25">
      <c r="A49" s="16">
        <v>72.400000000000006</v>
      </c>
      <c r="B49">
        <f t="shared" si="6"/>
        <v>345.54999999999995</v>
      </c>
      <c r="C49">
        <f t="shared" si="7"/>
        <v>2.8939372015627267E-3</v>
      </c>
      <c r="D49" s="7">
        <v>-8.8759999999999994</v>
      </c>
      <c r="E49" s="7">
        <f t="shared" si="0"/>
        <v>-8.8759999999999994</v>
      </c>
      <c r="F49" s="2">
        <v>0.04</v>
      </c>
      <c r="O49">
        <f t="shared" si="1"/>
        <v>2.4031466939283486E-2</v>
      </c>
      <c r="P49">
        <f t="shared" si="2"/>
        <v>0.54155569388484504</v>
      </c>
    </row>
    <row r="50" spans="1:16" x14ac:dyDescent="0.25">
      <c r="A50" s="16">
        <v>73</v>
      </c>
      <c r="B50">
        <f t="shared" si="6"/>
        <v>346.15</v>
      </c>
      <c r="C50">
        <f t="shared" si="7"/>
        <v>2.8889209880109783E-3</v>
      </c>
      <c r="D50" s="7">
        <v>-8.9309999999999992</v>
      </c>
      <c r="E50" s="7">
        <f t="shared" si="0"/>
        <v>-8.9309999999999992</v>
      </c>
      <c r="F50" s="2">
        <v>0.04</v>
      </c>
      <c r="O50">
        <f t="shared" si="1"/>
        <v>2.4293480439245917E-2</v>
      </c>
      <c r="P50">
        <f t="shared" si="2"/>
        <v>0.55405369237747382</v>
      </c>
    </row>
    <row r="51" spans="1:16" x14ac:dyDescent="0.25">
      <c r="A51" s="16">
        <v>74.900000000000006</v>
      </c>
      <c r="B51">
        <f t="shared" si="6"/>
        <v>348.04999999999995</v>
      </c>
      <c r="C51">
        <f t="shared" si="7"/>
        <v>2.8731504094239337E-3</v>
      </c>
      <c r="D51" s="7">
        <v>-8.9139999999999997</v>
      </c>
      <c r="E51" s="7">
        <f t="shared" si="0"/>
        <v>-8.9139999999999997</v>
      </c>
      <c r="F51" s="2">
        <v>0.04</v>
      </c>
      <c r="O51">
        <f t="shared" si="1"/>
        <v>2.5117230155918945E-2</v>
      </c>
      <c r="P51">
        <f t="shared" si="2"/>
        <v>0.59437481311034635</v>
      </c>
    </row>
    <row r="52" spans="1:16" x14ac:dyDescent="0.25">
      <c r="A52" s="16">
        <v>75.2</v>
      </c>
      <c r="B52">
        <f t="shared" si="6"/>
        <v>348.34999999999997</v>
      </c>
      <c r="C52">
        <f t="shared" si="7"/>
        <v>2.8706760442084112E-3</v>
      </c>
      <c r="D52" s="7">
        <v>-8.9060000000000006</v>
      </c>
      <c r="E52" s="7">
        <f t="shared" si="0"/>
        <v>-8.9060000000000006</v>
      </c>
      <c r="F52" s="2">
        <v>0.04</v>
      </c>
      <c r="O52">
        <f t="shared" si="1"/>
        <v>2.5246474472098102E-2</v>
      </c>
      <c r="P52">
        <f t="shared" si="2"/>
        <v>0.60084348556744183</v>
      </c>
    </row>
    <row r="53" spans="1:16" x14ac:dyDescent="0.25">
      <c r="A53" s="16">
        <v>75.400000000000006</v>
      </c>
      <c r="B53">
        <f t="shared" si="6"/>
        <v>348.54999999999995</v>
      </c>
      <c r="C53">
        <f t="shared" si="7"/>
        <v>2.8690288337397795E-3</v>
      </c>
      <c r="D53" s="7">
        <v>-8.9220000000000006</v>
      </c>
      <c r="E53" s="7">
        <f t="shared" si="0"/>
        <v>-8.9220000000000006</v>
      </c>
      <c r="F53" s="2">
        <v>0.04</v>
      </c>
      <c r="O53">
        <f t="shared" si="1"/>
        <v>2.5332513747660945E-2</v>
      </c>
      <c r="P53">
        <f t="shared" si="2"/>
        <v>0.60517125948211647</v>
      </c>
    </row>
    <row r="54" spans="1:16" x14ac:dyDescent="0.25">
      <c r="A54" s="16">
        <v>80.099999999999994</v>
      </c>
      <c r="B54">
        <f t="shared" si="6"/>
        <v>353.25</v>
      </c>
      <c r="C54">
        <f t="shared" si="7"/>
        <v>2.8308563340410475E-3</v>
      </c>
      <c r="D54" s="7">
        <v>-8.9949999999999992</v>
      </c>
      <c r="E54" s="7">
        <f t="shared" si="0"/>
        <v>-8.9949999999999992</v>
      </c>
      <c r="F54" s="2">
        <v>0.04</v>
      </c>
      <c r="O54">
        <f t="shared" si="1"/>
        <v>2.7326390233420518E-2</v>
      </c>
      <c r="P54">
        <f t="shared" si="2"/>
        <v>0.71032732403057253</v>
      </c>
    </row>
    <row r="55" spans="1:16" x14ac:dyDescent="0.25">
      <c r="A55" s="16">
        <v>81</v>
      </c>
      <c r="B55">
        <f t="shared" si="6"/>
        <v>354.15</v>
      </c>
      <c r="C55">
        <f t="shared" si="7"/>
        <v>2.8236622899901172E-3</v>
      </c>
      <c r="D55" s="7">
        <v>-9</v>
      </c>
      <c r="E55" s="7">
        <f t="shared" si="0"/>
        <v>-9</v>
      </c>
      <c r="F55" s="2">
        <v>0.04</v>
      </c>
      <c r="O55">
        <f t="shared" si="1"/>
        <v>2.7702159056103751E-2</v>
      </c>
      <c r="P55">
        <f t="shared" si="2"/>
        <v>0.73120113870736281</v>
      </c>
    </row>
    <row r="56" spans="1:16" x14ac:dyDescent="0.25">
      <c r="A56" s="16">
        <v>81.7</v>
      </c>
      <c r="B56">
        <f t="shared" si="6"/>
        <v>354.84999999999997</v>
      </c>
      <c r="C56">
        <f t="shared" si="7"/>
        <v>2.8180921516133581E-3</v>
      </c>
      <c r="D56" s="7">
        <v>-9.0020000000000007</v>
      </c>
      <c r="E56" s="7">
        <f t="shared" si="0"/>
        <v>-9.0020000000000007</v>
      </c>
      <c r="F56" s="2">
        <v>0.04</v>
      </c>
      <c r="O56">
        <f t="shared" si="1"/>
        <v>2.7993105890067992E-2</v>
      </c>
      <c r="P56">
        <f t="shared" si="2"/>
        <v>0.74759592577539979</v>
      </c>
    </row>
    <row r="57" spans="1:16" x14ac:dyDescent="0.25">
      <c r="A57" s="16">
        <v>82</v>
      </c>
      <c r="B57">
        <f t="shared" si="6"/>
        <v>355.15</v>
      </c>
      <c r="C57">
        <f t="shared" si="7"/>
        <v>2.8157116711248768E-3</v>
      </c>
      <c r="D57" s="7">
        <v>-9.0180000000000007</v>
      </c>
      <c r="E57" s="7">
        <f t="shared" si="0"/>
        <v>-9.0180000000000007</v>
      </c>
      <c r="F57" s="2">
        <v>0.04</v>
      </c>
      <c r="O57">
        <f t="shared" si="1"/>
        <v>2.81174462950258E-2</v>
      </c>
      <c r="P57">
        <f t="shared" si="2"/>
        <v>0.75466467254343539</v>
      </c>
    </row>
    <row r="58" spans="1:16" x14ac:dyDescent="0.25">
      <c r="A58" s="16">
        <v>88.5</v>
      </c>
      <c r="B58">
        <f t="shared" si="6"/>
        <v>361.65</v>
      </c>
      <c r="C58">
        <f t="shared" si="7"/>
        <v>2.7651043826904466E-3</v>
      </c>
      <c r="D58" s="7">
        <v>-9.1039999999999992</v>
      </c>
      <c r="E58" s="7">
        <f t="shared" si="0"/>
        <v>-9.1039999999999992</v>
      </c>
      <c r="F58" s="2">
        <v>0.04</v>
      </c>
      <c r="O58">
        <f t="shared" si="1"/>
        <v>3.0760833110503719E-2</v>
      </c>
      <c r="P58">
        <f t="shared" si="2"/>
        <v>0.91387679135968281</v>
      </c>
    </row>
    <row r="59" spans="1:16" x14ac:dyDescent="0.25">
      <c r="A59" s="16">
        <v>89.7</v>
      </c>
      <c r="B59">
        <f t="shared" si="6"/>
        <v>362.84999999999997</v>
      </c>
      <c r="C59">
        <f t="shared" si="7"/>
        <v>2.7559597629874606E-3</v>
      </c>
      <c r="D59" s="7">
        <v>-9.1379999999999999</v>
      </c>
      <c r="E59" s="7">
        <f t="shared" si="0"/>
        <v>-9.1379999999999999</v>
      </c>
      <c r="F59" s="2">
        <v>0.04</v>
      </c>
      <c r="O59">
        <f t="shared" si="1"/>
        <v>3.1238486980197849E-2</v>
      </c>
      <c r="P59">
        <f t="shared" si="2"/>
        <v>0.94449408794885148</v>
      </c>
    </row>
    <row r="60" spans="1:16" x14ac:dyDescent="0.25">
      <c r="A60" s="16"/>
    </row>
    <row r="61" spans="1:16" x14ac:dyDescent="0.25">
      <c r="A61" s="16"/>
    </row>
    <row r="62" spans="1:16" ht="15.6" x14ac:dyDescent="0.35">
      <c r="B62" s="12" t="s">
        <v>16</v>
      </c>
      <c r="C62" s="12" t="s">
        <v>17</v>
      </c>
      <c r="D62" s="13" t="s">
        <v>18</v>
      </c>
    </row>
    <row r="63" spans="1:16" ht="15.6" x14ac:dyDescent="0.25">
      <c r="B63" s="11" t="s">
        <v>19</v>
      </c>
      <c r="C63" s="10" t="s">
        <v>20</v>
      </c>
      <c r="D63" s="11"/>
      <c r="E63" s="3"/>
      <c r="F63" s="3"/>
      <c r="G63" s="3"/>
    </row>
    <row r="64" spans="1:16" ht="15.6" x14ac:dyDescent="0.35">
      <c r="A64" s="10" t="s">
        <v>21</v>
      </c>
      <c r="B64" s="1">
        <f t="array" ref="B64:D68">LINEST(D26:D59,O26:P59,TRUE,TRUE)</f>
        <v>-0.35678219232939301</v>
      </c>
      <c r="C64" s="1">
        <v>-9.7171522922373281</v>
      </c>
      <c r="D64" s="1">
        <v>-8.4684366655924901</v>
      </c>
      <c r="E64" s="14" t="s">
        <v>22</v>
      </c>
      <c r="F64" s="14"/>
    </row>
    <row r="65" spans="1:6" x14ac:dyDescent="0.25">
      <c r="A65" s="10"/>
      <c r="B65">
        <v>1.5506050210949585E-2</v>
      </c>
      <c r="C65">
        <v>0.30810512301639581</v>
      </c>
      <c r="D65">
        <v>3.9322178620804513E-3</v>
      </c>
      <c r="E65" s="14"/>
      <c r="F65" s="14"/>
    </row>
    <row r="66" spans="1:6" x14ac:dyDescent="0.25">
      <c r="A66" s="10" t="s">
        <v>23</v>
      </c>
      <c r="B66">
        <v>0.99612002859541937</v>
      </c>
      <c r="C66">
        <v>1.5092251128810767E-2</v>
      </c>
      <c r="D66" t="e">
        <v>#N/A</v>
      </c>
      <c r="E66" s="14" t="s">
        <v>24</v>
      </c>
      <c r="F66" s="14"/>
    </row>
    <row r="67" spans="1:6" x14ac:dyDescent="0.25">
      <c r="A67" s="10" t="s">
        <v>25</v>
      </c>
      <c r="B67">
        <v>3979.3748028659993</v>
      </c>
      <c r="C67">
        <v>31</v>
      </c>
      <c r="D67" t="e">
        <v>#N/A</v>
      </c>
      <c r="E67" s="14" t="s">
        <v>26</v>
      </c>
      <c r="F67" s="14"/>
    </row>
    <row r="68" spans="1:6" x14ac:dyDescent="0.25">
      <c r="A68" s="9"/>
      <c r="B68">
        <v>1.8128125014553409</v>
      </c>
      <c r="C68">
        <v>7.0610573681877866E-3</v>
      </c>
      <c r="D68" t="e">
        <v>#N/A</v>
      </c>
      <c r="E68" s="14" t="s">
        <v>27</v>
      </c>
      <c r="F68" s="14"/>
    </row>
    <row r="70" spans="1:6" x14ac:dyDescent="0.25">
      <c r="B70">
        <f>B65*2</f>
        <v>3.1012100421899169E-2</v>
      </c>
      <c r="C70">
        <f>C65*2</f>
        <v>0.61621024603279162</v>
      </c>
      <c r="D70">
        <f>D65*2</f>
        <v>7.8644357241609026E-3</v>
      </c>
    </row>
    <row r="71" spans="1:6" ht="13.8" x14ac:dyDescent="0.3">
      <c r="A71" s="8" t="s">
        <v>28</v>
      </c>
      <c r="B71" s="1">
        <v>3.1E-2</v>
      </c>
      <c r="C71" s="17">
        <v>0.6</v>
      </c>
      <c r="D71" s="1">
        <v>0.04</v>
      </c>
    </row>
    <row r="74" spans="1:6" x14ac:dyDescent="0.25">
      <c r="C74" s="7">
        <f>-2.297*4.184</f>
        <v>-9.6106480000000012</v>
      </c>
      <c r="D74" s="7">
        <v>-8.48</v>
      </c>
      <c r="E74" s="18" t="s">
        <v>39</v>
      </c>
    </row>
    <row r="75" spans="1:6" x14ac:dyDescent="0.25">
      <c r="E75" s="2" t="s">
        <v>32</v>
      </c>
    </row>
  </sheetData>
  <hyperlinks>
    <hyperlink ref="B9" r:id="rId1" xr:uid="{95B264B9-A450-4632-A59A-E9A3514D3251}"/>
    <hyperlink ref="B10" r:id="rId2" xr:uid="{4BE7F6D9-740C-4F98-BECE-0263907D7025}"/>
    <hyperlink ref="B11" r:id="rId3" xr:uid="{81D310CD-5E17-4D6D-BE00-034A4DB3B22D}"/>
  </hyperlinks>
  <pageMargins left="0.7" right="0.7" top="0.75" bottom="0.75" header="0.3" footer="0.3"/>
  <pageSetup paperSize="9" orientation="portrait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0"/>
  <sheetViews>
    <sheetView workbookViewId="0">
      <selection activeCell="V12" sqref="V12"/>
    </sheetView>
  </sheetViews>
  <sheetFormatPr defaultColWidth="11.5546875" defaultRowHeight="13.2" x14ac:dyDescent="0.25"/>
  <cols>
    <col min="1" max="1" width="8.77734375" customWidth="1"/>
    <col min="2" max="4" width="10.77734375" customWidth="1"/>
    <col min="5" max="12" width="8.77734375" customWidth="1"/>
    <col min="13" max="13" width="12.44140625" customWidth="1"/>
    <col min="14" max="20" width="8.77734375" customWidth="1"/>
    <col min="21" max="21" width="9.5546875" customWidth="1"/>
    <col min="22" max="256" width="8.77734375" customWidth="1"/>
  </cols>
  <sheetData>
    <row r="1" spans="1:27" ht="16.8" x14ac:dyDescent="0.35">
      <c r="A1" s="1" t="s">
        <v>45</v>
      </c>
    </row>
    <row r="3" spans="1:27" ht="15.6" x14ac:dyDescent="0.25">
      <c r="A3" t="s">
        <v>0</v>
      </c>
      <c r="B3">
        <v>8.3145100000000007E-3</v>
      </c>
      <c r="C3" s="2" t="s">
        <v>1</v>
      </c>
    </row>
    <row r="4" spans="1:27" x14ac:dyDescent="0.25">
      <c r="A4" t="s">
        <v>2</v>
      </c>
      <c r="B4">
        <v>298.14999999999998</v>
      </c>
      <c r="C4" s="2" t="s">
        <v>3</v>
      </c>
    </row>
    <row r="5" spans="1:27" x14ac:dyDescent="0.25">
      <c r="A5" t="s">
        <v>4</v>
      </c>
      <c r="B5">
        <f>LN(10)</f>
        <v>2.3025850929940459</v>
      </c>
    </row>
    <row r="7" spans="1:27" x14ac:dyDescent="0.25">
      <c r="A7" s="2" t="s">
        <v>5</v>
      </c>
      <c r="B7">
        <f>B3*B5</f>
        <v>1.9144866781549925E-2</v>
      </c>
    </row>
    <row r="8" spans="1:27" x14ac:dyDescent="0.25">
      <c r="A8" t="s">
        <v>6</v>
      </c>
      <c r="B8">
        <f>B3*B4*B5</f>
        <v>5.7080420309191107</v>
      </c>
      <c r="E8" s="2"/>
      <c r="F8" s="2"/>
    </row>
    <row r="9" spans="1:27" x14ac:dyDescent="0.25">
      <c r="V9" s="4" t="s">
        <v>7</v>
      </c>
    </row>
    <row r="10" spans="1:27" ht="15.6" x14ac:dyDescent="0.35">
      <c r="A10" s="4" t="s">
        <v>2</v>
      </c>
      <c r="B10" s="4" t="s">
        <v>2</v>
      </c>
      <c r="C10" s="5" t="s">
        <v>8</v>
      </c>
      <c r="D10" s="4" t="s">
        <v>9</v>
      </c>
      <c r="E10" s="18" t="s">
        <v>37</v>
      </c>
      <c r="O10" s="4" t="s">
        <v>10</v>
      </c>
      <c r="P10" s="4" t="s">
        <v>11</v>
      </c>
      <c r="R10" s="4" t="s">
        <v>2</v>
      </c>
      <c r="S10" s="4" t="s">
        <v>2</v>
      </c>
      <c r="T10" s="4" t="s">
        <v>10</v>
      </c>
      <c r="U10" s="4" t="s">
        <v>11</v>
      </c>
      <c r="V10" s="4" t="s">
        <v>9</v>
      </c>
      <c r="W10" s="6" t="s">
        <v>12</v>
      </c>
      <c r="X10" s="6" t="s">
        <v>13</v>
      </c>
      <c r="Z10" s="18" t="s">
        <v>37</v>
      </c>
    </row>
    <row r="11" spans="1:27" ht="13.8" x14ac:dyDescent="0.3">
      <c r="A11" s="4" t="s">
        <v>14</v>
      </c>
      <c r="B11" s="4" t="s">
        <v>15</v>
      </c>
      <c r="C11" s="4" t="s">
        <v>15</v>
      </c>
      <c r="F11" s="19" t="s">
        <v>28</v>
      </c>
      <c r="R11" s="4" t="s">
        <v>14</v>
      </c>
      <c r="S11" s="4" t="s">
        <v>15</v>
      </c>
      <c r="V11" s="4" t="s">
        <v>29</v>
      </c>
      <c r="AA11" s="2" t="s">
        <v>41</v>
      </c>
    </row>
    <row r="12" spans="1:27" x14ac:dyDescent="0.25">
      <c r="A12" s="16">
        <v>0.7</v>
      </c>
      <c r="B12">
        <f>273.15+$A12</f>
        <v>273.84999999999997</v>
      </c>
      <c r="C12">
        <f>1/B12</f>
        <v>3.651634106262553E-3</v>
      </c>
      <c r="D12" s="7">
        <v>-8.2260000000000009</v>
      </c>
      <c r="E12" s="3">
        <f t="shared" ref="E12:E22" si="0">D12</f>
        <v>-8.2260000000000009</v>
      </c>
      <c r="F12" s="2">
        <v>0.04</v>
      </c>
      <c r="O12">
        <f t="shared" ref="O12:O22" si="1">(1/$B$4-1/$B12)/$B$7</f>
        <v>-1.5545559808691873E-2</v>
      </c>
      <c r="P12">
        <f t="shared" ref="P12:P22" si="2">($B$4/$B12-1+LN($B12/$B$4))/$B$7</f>
        <v>0.19422984161890505</v>
      </c>
      <c r="R12">
        <v>0.5</v>
      </c>
      <c r="S12">
        <f t="shared" ref="S12:S21" si="3">273.15+$R12</f>
        <v>273.64999999999998</v>
      </c>
      <c r="T12">
        <f t="shared" ref="T12:T21" si="4">(1/$B$4-1/$S12)/$B$7</f>
        <v>-1.5684961951405514E-2</v>
      </c>
      <c r="U12">
        <f t="shared" ref="U12:U21" si="5">($B$4/$S12-1+LN($S12/$B$4))/$B$7</f>
        <v>0.19763125729599004</v>
      </c>
      <c r="V12" s="7">
        <f t="shared" ref="V12:V21" si="6">$D$27+$C$27*$T12+$B$27*$U12</f>
        <v>-8.2253318396023367</v>
      </c>
      <c r="W12" s="7">
        <f>($D$27+$D$34+($C$27-$C$34)*$T12+($B$27-$B$34)*$U12)</f>
        <v>-8.1737539464274818</v>
      </c>
      <c r="X12" s="7">
        <f>($D$27-$D$34+($C$27+$C$34)*$T12+($B$27+$B$34)*$U12)</f>
        <v>-8.2769097327771917</v>
      </c>
      <c r="Z12">
        <f>-171.9773-0.077993*S12+2903.293/S12+71.595*LOG(S12)</f>
        <v>-8.2195638792427985</v>
      </c>
      <c r="AA12" s="7">
        <f>V12-Z12</f>
        <v>-5.7679603595381934E-3</v>
      </c>
    </row>
    <row r="13" spans="1:27" x14ac:dyDescent="0.25">
      <c r="A13" s="16">
        <v>3.9</v>
      </c>
      <c r="B13">
        <f t="shared" ref="B13:B22" si="7">273.15+$A13</f>
        <v>277.04999999999995</v>
      </c>
      <c r="C13">
        <f t="shared" ref="C13:C22" si="8">1/B13</f>
        <v>3.6094567767550991E-3</v>
      </c>
      <c r="D13" s="7">
        <v>-8.2260000000000009</v>
      </c>
      <c r="E13" s="3">
        <f t="shared" si="0"/>
        <v>-8.2260000000000009</v>
      </c>
      <c r="F13" s="2">
        <v>0.04</v>
      </c>
      <c r="O13">
        <f t="shared" si="1"/>
        <v>-1.3342497756147294E-2</v>
      </c>
      <c r="P13">
        <f t="shared" si="2"/>
        <v>0.1442066829337684</v>
      </c>
      <c r="R13">
        <v>5</v>
      </c>
      <c r="S13">
        <f t="shared" si="3"/>
        <v>278.14999999999998</v>
      </c>
      <c r="T13">
        <f t="shared" si="4"/>
        <v>-1.2596902531675022E-2</v>
      </c>
      <c r="U13">
        <f t="shared" si="5"/>
        <v>0.12888415942165576</v>
      </c>
      <c r="V13" s="7">
        <f t="shared" si="6"/>
        <v>-8.2339397086175428</v>
      </c>
      <c r="W13" s="7">
        <f>($D$27+$D$34+($C$27-$C$34)*$T13+($B$27-$B$34)*$U13)</f>
        <v>-8.182105560785784</v>
      </c>
      <c r="X13" s="7">
        <f>($D$27-$D$34+($C$27+$C$34)*$T13+($B$27+$B$34)*$U13)</f>
        <v>-8.2857738564493015</v>
      </c>
      <c r="Z13">
        <f t="shared" ref="Z13:Z21" si="9">-171.9773-0.077993*S13+2903.293/S13+71.595*LOG(S13)</f>
        <v>-8.2350252862952686</v>
      </c>
      <c r="AA13" s="7">
        <f t="shared" ref="AA13:AA21" si="10">V13-Z13</f>
        <v>1.0855776777258797E-3</v>
      </c>
    </row>
    <row r="14" spans="1:27" x14ac:dyDescent="0.25">
      <c r="A14" s="16">
        <v>4.9000000000000004</v>
      </c>
      <c r="B14">
        <f t="shared" si="7"/>
        <v>278.04999999999995</v>
      </c>
      <c r="C14">
        <f t="shared" si="8"/>
        <v>3.5964754540550267E-3</v>
      </c>
      <c r="D14" s="7">
        <v>-8.234</v>
      </c>
      <c r="E14" s="3">
        <f t="shared" si="0"/>
        <v>-8.234</v>
      </c>
      <c r="F14" s="2">
        <v>0.04</v>
      </c>
      <c r="O14">
        <f t="shared" si="1"/>
        <v>-1.2664440141634007E-2</v>
      </c>
      <c r="P14">
        <f t="shared" si="2"/>
        <v>0.13023828890608766</v>
      </c>
      <c r="R14">
        <v>15</v>
      </c>
      <c r="S14">
        <f t="shared" si="3"/>
        <v>288.14999999999998</v>
      </c>
      <c r="T14">
        <f t="shared" si="4"/>
        <v>-6.0798688863185945E-3</v>
      </c>
      <c r="U14">
        <f t="shared" si="5"/>
        <v>3.0745027680825151E-2</v>
      </c>
      <c r="V14" s="7">
        <f t="shared" si="6"/>
        <v>-8.2692981897531617</v>
      </c>
      <c r="W14" s="7">
        <f>($D$27+$D$34+($C$27-$C$34)*$T14+($B$27-$B$34)*$U14)</f>
        <v>-8.2178151898577489</v>
      </c>
      <c r="X14" s="7">
        <f>($D$27-$D$34+($C$27+$C$34)*$T14+($B$27+$B$34)*$U14)</f>
        <v>-8.3207811896485762</v>
      </c>
      <c r="Z14">
        <f t="shared" si="9"/>
        <v>-8.2789568227611881</v>
      </c>
      <c r="AA14" s="7">
        <f t="shared" si="10"/>
        <v>9.6586330080263849E-3</v>
      </c>
    </row>
    <row r="15" spans="1:27" x14ac:dyDescent="0.25">
      <c r="A15" s="16">
        <v>15.1</v>
      </c>
      <c r="B15">
        <f t="shared" si="7"/>
        <v>288.25</v>
      </c>
      <c r="C15">
        <f t="shared" si="8"/>
        <v>3.469210754553339E-3</v>
      </c>
      <c r="D15" s="7">
        <v>-8.2739999999999991</v>
      </c>
      <c r="E15" s="3">
        <f t="shared" si="0"/>
        <v>-8.2739999999999991</v>
      </c>
      <c r="F15" s="2">
        <v>0.04</v>
      </c>
      <c r="O15">
        <f t="shared" si="1"/>
        <v>-6.0169820551492399E-3</v>
      </c>
      <c r="P15">
        <f t="shared" si="2"/>
        <v>3.0119303347003717E-2</v>
      </c>
      <c r="R15">
        <v>25</v>
      </c>
      <c r="S15">
        <f t="shared" si="3"/>
        <v>298.14999999999998</v>
      </c>
      <c r="T15">
        <f t="shared" si="4"/>
        <v>0</v>
      </c>
      <c r="U15">
        <f t="shared" si="5"/>
        <v>0</v>
      </c>
      <c r="V15" s="7">
        <f t="shared" si="6"/>
        <v>-8.3245555062192214</v>
      </c>
      <c r="W15" s="7">
        <f>($D$27+$D$34+($C$27-$C$34)*$T15+($B$27-$B$34)*$U15)</f>
        <v>-8.2745555062192206</v>
      </c>
      <c r="X15" s="7">
        <f>($D$27-$D$34+($C$27+$C$34)*$T15+($B$27+$B$34)*$U15)</f>
        <v>-8.3745555062192221</v>
      </c>
      <c r="Z15">
        <f t="shared" si="9"/>
        <v>-8.3360600277615902</v>
      </c>
      <c r="AA15" s="7">
        <f t="shared" si="10"/>
        <v>1.1504521542368806E-2</v>
      </c>
    </row>
    <row r="16" spans="1:27" x14ac:dyDescent="0.25">
      <c r="A16" s="16">
        <v>25</v>
      </c>
      <c r="B16">
        <f t="shared" si="7"/>
        <v>298.14999999999998</v>
      </c>
      <c r="C16">
        <f t="shared" si="8"/>
        <v>3.3540164346805303E-3</v>
      </c>
      <c r="D16" s="7">
        <v>-8.3320000000000007</v>
      </c>
      <c r="E16" s="3">
        <f t="shared" si="0"/>
        <v>-8.3320000000000007</v>
      </c>
      <c r="F16" s="2">
        <v>0.04</v>
      </c>
      <c r="O16">
        <f t="shared" si="1"/>
        <v>0</v>
      </c>
      <c r="P16">
        <f t="shared" si="2"/>
        <v>0</v>
      </c>
      <c r="R16">
        <v>35</v>
      </c>
      <c r="S16">
        <f t="shared" si="3"/>
        <v>308.14999999999998</v>
      </c>
      <c r="T16">
        <f t="shared" si="4"/>
        <v>5.6852643829067113E-3</v>
      </c>
      <c r="U16">
        <f t="shared" si="5"/>
        <v>2.8113738829310959E-2</v>
      </c>
      <c r="V16" s="7">
        <f t="shared" si="6"/>
        <v>-8.3970514048251648</v>
      </c>
      <c r="W16" s="7">
        <f t="shared" ref="W16:W21" si="11">($D$27+$D$34+($C$27+$C$34)*$T16+($B$27+$B$34)*$U16)</f>
        <v>-8.3445842538972173</v>
      </c>
      <c r="X16" s="7">
        <f t="shared" ref="X16:X21" si="12">($D$27-$D$34+($C$27-$C$34)*$T16+($B$27-$B$34)*$U16)</f>
        <v>-8.4495185557531105</v>
      </c>
      <c r="Z16">
        <f t="shared" si="9"/>
        <v>-8.4062277510261936</v>
      </c>
      <c r="AA16" s="7">
        <f t="shared" si="10"/>
        <v>9.1763462010288066E-3</v>
      </c>
    </row>
    <row r="17" spans="1:27" x14ac:dyDescent="0.25">
      <c r="A17" s="16">
        <v>35</v>
      </c>
      <c r="B17">
        <f t="shared" si="7"/>
        <v>308.14999999999998</v>
      </c>
      <c r="C17">
        <f t="shared" si="8"/>
        <v>3.2451728054518907E-3</v>
      </c>
      <c r="D17" s="7">
        <v>-8.3949999999999996</v>
      </c>
      <c r="E17" s="3">
        <f t="shared" si="0"/>
        <v>-8.3949999999999996</v>
      </c>
      <c r="F17" s="2">
        <v>0.04</v>
      </c>
      <c r="O17">
        <f t="shared" si="1"/>
        <v>5.6852643829067113E-3</v>
      </c>
      <c r="P17">
        <f t="shared" si="2"/>
        <v>2.8113738829310959E-2</v>
      </c>
      <c r="R17">
        <v>45</v>
      </c>
      <c r="S17">
        <f t="shared" si="3"/>
        <v>318.14999999999998</v>
      </c>
      <c r="T17">
        <f t="shared" si="4"/>
        <v>1.1013133550794935E-2</v>
      </c>
      <c r="U17">
        <f t="shared" si="5"/>
        <v>0.10774819867701339</v>
      </c>
      <c r="V17" s="7">
        <f t="shared" si="6"/>
        <v>-8.4845055725923082</v>
      </c>
      <c r="W17" s="7">
        <f t="shared" si="11"/>
        <v>-8.428713891410176</v>
      </c>
      <c r="X17" s="7">
        <f t="shared" si="12"/>
        <v>-8.5402972537744439</v>
      </c>
      <c r="Z17">
        <f t="shared" si="9"/>
        <v>-8.4892923978383692</v>
      </c>
      <c r="AA17" s="7">
        <f t="shared" si="10"/>
        <v>4.7868252460609995E-3</v>
      </c>
    </row>
    <row r="18" spans="1:27" x14ac:dyDescent="0.25">
      <c r="A18" s="16">
        <v>44.9</v>
      </c>
      <c r="B18">
        <f t="shared" si="7"/>
        <v>318.04999999999995</v>
      </c>
      <c r="C18">
        <f t="shared" si="8"/>
        <v>3.1441597233139449E-3</v>
      </c>
      <c r="D18" s="7">
        <v>-8.4740000000000002</v>
      </c>
      <c r="E18" s="3">
        <f t="shared" si="0"/>
        <v>-8.4740000000000002</v>
      </c>
      <c r="F18" s="2">
        <v>0.04</v>
      </c>
      <c r="O18">
        <f t="shared" si="1"/>
        <v>1.0961513274609265E-2</v>
      </c>
      <c r="P18">
        <f t="shared" si="2"/>
        <v>0.10671837443757731</v>
      </c>
      <c r="R18">
        <v>55</v>
      </c>
      <c r="S18">
        <f t="shared" si="3"/>
        <v>328.15</v>
      </c>
      <c r="T18">
        <f t="shared" si="4"/>
        <v>1.601628114818867E-2</v>
      </c>
      <c r="U18">
        <f t="shared" si="5"/>
        <v>0.23256883573771028</v>
      </c>
      <c r="V18" s="7">
        <f t="shared" si="6"/>
        <v>-8.5849555852409996</v>
      </c>
      <c r="W18" s="7">
        <f t="shared" si="11"/>
        <v>-8.525091241771598</v>
      </c>
      <c r="X18" s="7">
        <f t="shared" si="12"/>
        <v>-8.6448199287104011</v>
      </c>
      <c r="Z18">
        <f t="shared" si="9"/>
        <v>-8.5850419011278234</v>
      </c>
      <c r="AA18" s="7">
        <f t="shared" si="10"/>
        <v>8.631588682384006E-5</v>
      </c>
    </row>
    <row r="19" spans="1:27" x14ac:dyDescent="0.25">
      <c r="A19" s="16">
        <v>55</v>
      </c>
      <c r="B19">
        <f t="shared" si="7"/>
        <v>328.15</v>
      </c>
      <c r="C19">
        <f t="shared" si="8"/>
        <v>3.0473868657626088E-3</v>
      </c>
      <c r="D19" s="7">
        <v>-8.59</v>
      </c>
      <c r="E19" s="3">
        <f t="shared" si="0"/>
        <v>-8.59</v>
      </c>
      <c r="F19" s="2">
        <v>0.04</v>
      </c>
      <c r="O19">
        <f t="shared" si="1"/>
        <v>1.601628114818867E-2</v>
      </c>
      <c r="P19">
        <f t="shared" si="2"/>
        <v>0.23256883573771028</v>
      </c>
      <c r="R19">
        <v>65</v>
      </c>
      <c r="S19">
        <f t="shared" si="3"/>
        <v>338.15</v>
      </c>
      <c r="T19">
        <f t="shared" si="4"/>
        <v>2.0723515831349446E-2</v>
      </c>
      <c r="U19">
        <f t="shared" si="5"/>
        <v>0.39708654778419117</v>
      </c>
      <c r="V19" s="7">
        <f t="shared" si="6"/>
        <v>-8.6967063583813911</v>
      </c>
      <c r="W19" s="7">
        <f t="shared" si="11"/>
        <v>-8.6321157185908319</v>
      </c>
      <c r="X19" s="7">
        <f t="shared" si="12"/>
        <v>-8.7612969981719502</v>
      </c>
      <c r="Z19">
        <f t="shared" si="9"/>
        <v>-8.6932320589700964</v>
      </c>
      <c r="AA19" s="7">
        <f t="shared" si="10"/>
        <v>-3.4742994112946235E-3</v>
      </c>
    </row>
    <row r="20" spans="1:27" x14ac:dyDescent="0.25">
      <c r="A20" s="16">
        <v>65</v>
      </c>
      <c r="B20">
        <f t="shared" si="7"/>
        <v>338.15</v>
      </c>
      <c r="C20">
        <f t="shared" si="8"/>
        <v>2.9572674848440043E-3</v>
      </c>
      <c r="D20" s="7">
        <v>-8.6980000000000004</v>
      </c>
      <c r="E20" s="3">
        <f t="shared" si="0"/>
        <v>-8.6980000000000004</v>
      </c>
      <c r="F20" s="2">
        <v>0.04</v>
      </c>
      <c r="O20">
        <f t="shared" si="1"/>
        <v>2.0723515831349446E-2</v>
      </c>
      <c r="P20">
        <f t="shared" si="2"/>
        <v>0.39708654778419117</v>
      </c>
      <c r="R20">
        <v>80</v>
      </c>
      <c r="S20">
        <f t="shared" si="3"/>
        <v>353.15</v>
      </c>
      <c r="T20">
        <f t="shared" si="4"/>
        <v>2.7284519914370298E-2</v>
      </c>
      <c r="U20">
        <f t="shared" si="5"/>
        <v>0.70802236316444289</v>
      </c>
      <c r="V20" s="7">
        <f t="shared" si="6"/>
        <v>-8.8823608685366295</v>
      </c>
      <c r="W20" s="7">
        <f t="shared" si="11"/>
        <v>-8.8096317068656198</v>
      </c>
      <c r="X20" s="7">
        <f t="shared" si="12"/>
        <v>-8.955090030207641</v>
      </c>
      <c r="Z20">
        <f t="shared" si="9"/>
        <v>-8.8782556048361414</v>
      </c>
      <c r="AA20" s="7">
        <f t="shared" si="10"/>
        <v>-4.1052637004881376E-3</v>
      </c>
    </row>
    <row r="21" spans="1:27" x14ac:dyDescent="0.25">
      <c r="A21" s="16">
        <v>80</v>
      </c>
      <c r="B21">
        <f t="shared" si="7"/>
        <v>353.15</v>
      </c>
      <c r="C21">
        <f t="shared" si="8"/>
        <v>2.831657935721365E-3</v>
      </c>
      <c r="D21" s="7">
        <v>-8.8759999999999994</v>
      </c>
      <c r="E21" s="3">
        <f t="shared" si="0"/>
        <v>-8.8759999999999994</v>
      </c>
      <c r="F21" s="2">
        <v>0.04</v>
      </c>
      <c r="O21">
        <f t="shared" si="1"/>
        <v>2.7284519914370298E-2</v>
      </c>
      <c r="P21">
        <f t="shared" si="2"/>
        <v>0.70802236316444289</v>
      </c>
      <c r="R21">
        <v>95</v>
      </c>
      <c r="S21">
        <f t="shared" si="3"/>
        <v>368.15</v>
      </c>
      <c r="T21">
        <f t="shared" si="4"/>
        <v>3.3310877460678859E-2</v>
      </c>
      <c r="U21">
        <f t="shared" si="5"/>
        <v>1.0840430414099647</v>
      </c>
      <c r="V21" s="7">
        <f t="shared" si="6"/>
        <v>-9.0860020007846121</v>
      </c>
      <c r="W21" s="7">
        <f t="shared" si="11"/>
        <v>-9.004079484661192</v>
      </c>
      <c r="X21" s="7">
        <f t="shared" si="12"/>
        <v>-9.1679245169080357</v>
      </c>
      <c r="Z21">
        <f t="shared" si="9"/>
        <v>-9.0897083681892354</v>
      </c>
      <c r="AA21" s="7">
        <f t="shared" si="10"/>
        <v>3.7063674046233785E-3</v>
      </c>
    </row>
    <row r="22" spans="1:27" x14ac:dyDescent="0.25">
      <c r="A22" s="16">
        <v>90</v>
      </c>
      <c r="B22">
        <f t="shared" si="7"/>
        <v>363.15</v>
      </c>
      <c r="C22">
        <f t="shared" si="8"/>
        <v>2.7536830510808208E-3</v>
      </c>
      <c r="D22" s="7">
        <v>-9.0210000000000008</v>
      </c>
      <c r="E22" s="3">
        <f t="shared" si="0"/>
        <v>-9.0210000000000008</v>
      </c>
      <c r="F22" s="2">
        <v>0.04</v>
      </c>
      <c r="O22">
        <f t="shared" si="1"/>
        <v>3.1357407207359418E-2</v>
      </c>
      <c r="P22">
        <f t="shared" si="2"/>
        <v>0.95220605976622086</v>
      </c>
    </row>
    <row r="25" spans="1:27" ht="15.6" x14ac:dyDescent="0.35">
      <c r="B25" s="12" t="s">
        <v>16</v>
      </c>
      <c r="C25" s="12" t="s">
        <v>17</v>
      </c>
      <c r="D25" s="13" t="s">
        <v>18</v>
      </c>
    </row>
    <row r="26" spans="1:27" ht="15.6" x14ac:dyDescent="0.25">
      <c r="B26" s="11" t="s">
        <v>19</v>
      </c>
      <c r="C26" s="10" t="s">
        <v>20</v>
      </c>
      <c r="D26" s="11"/>
      <c r="E26" s="3"/>
      <c r="F26" s="3"/>
      <c r="G26" s="3"/>
    </row>
    <row r="27" spans="1:27" ht="15.6" x14ac:dyDescent="0.35">
      <c r="A27" s="10" t="s">
        <v>21</v>
      </c>
      <c r="B27" s="1">
        <f t="array" ref="B27:D31">LINEST(D12:D22,O12:P22,TRUE,TRUE)</f>
        <v>-0.36622865785692765</v>
      </c>
      <c r="C27" s="1">
        <v>-10.940536372266784</v>
      </c>
      <c r="D27" s="1">
        <v>-8.3245555062192214</v>
      </c>
      <c r="E27" s="14" t="s">
        <v>22</v>
      </c>
      <c r="F27" s="14"/>
    </row>
    <row r="28" spans="1:27" x14ac:dyDescent="0.25">
      <c r="A28" s="10"/>
      <c r="B28">
        <v>9.4652212532220972E-3</v>
      </c>
      <c r="C28">
        <v>0.1724792283167923</v>
      </c>
      <c r="D28">
        <v>2.6043591118526215E-3</v>
      </c>
      <c r="E28" s="14"/>
      <c r="F28" s="14"/>
    </row>
    <row r="29" spans="1:27" x14ac:dyDescent="0.25">
      <c r="A29" s="10" t="s">
        <v>23</v>
      </c>
      <c r="B29">
        <v>0.99962635458023719</v>
      </c>
      <c r="C29">
        <v>5.9964561815128532E-3</v>
      </c>
      <c r="D29" t="e">
        <v>#N/A</v>
      </c>
      <c r="E29" s="14" t="s">
        <v>24</v>
      </c>
      <c r="F29" s="14"/>
    </row>
    <row r="30" spans="1:27" x14ac:dyDescent="0.25">
      <c r="A30" s="10" t="s">
        <v>25</v>
      </c>
      <c r="B30">
        <v>10701.336633163624</v>
      </c>
      <c r="C30">
        <v>8</v>
      </c>
      <c r="D30" t="e">
        <v>#N/A</v>
      </c>
      <c r="E30" s="14" t="s">
        <v>26</v>
      </c>
      <c r="F30" s="14"/>
    </row>
    <row r="31" spans="1:27" x14ac:dyDescent="0.25">
      <c r="A31" s="9"/>
      <c r="B31">
        <v>0.76958634010610538</v>
      </c>
      <c r="C31">
        <v>2.8765989389442967E-4</v>
      </c>
      <c r="D31" t="e">
        <v>#N/A</v>
      </c>
      <c r="E31" s="14" t="s">
        <v>27</v>
      </c>
      <c r="F31" s="14"/>
    </row>
    <row r="33" spans="1:5" x14ac:dyDescent="0.25">
      <c r="B33">
        <f>B28*2</f>
        <v>1.8930442506444194E-2</v>
      </c>
      <c r="C33">
        <f>C28*2</f>
        <v>0.3449584566335846</v>
      </c>
      <c r="D33">
        <f>D28*2</f>
        <v>5.2087182237052429E-3</v>
      </c>
    </row>
    <row r="34" spans="1:5" ht="13.8" x14ac:dyDescent="0.3">
      <c r="A34" s="8" t="s">
        <v>28</v>
      </c>
      <c r="B34" s="1">
        <v>1.9E-2</v>
      </c>
      <c r="C34" s="17">
        <v>0.34</v>
      </c>
      <c r="D34" s="1">
        <v>0.05</v>
      </c>
    </row>
    <row r="35" spans="1:5" ht="3.75" customHeight="1" x14ac:dyDescent="0.25"/>
    <row r="39" spans="1:5" x14ac:dyDescent="0.25">
      <c r="C39" s="7">
        <f>-2.589*4.184</f>
        <v>-10.832376</v>
      </c>
      <c r="D39" s="7">
        <v>-8.3360000000000003</v>
      </c>
      <c r="E39" s="18" t="s">
        <v>39</v>
      </c>
    </row>
    <row r="40" spans="1:5" x14ac:dyDescent="0.25">
      <c r="E40" s="2" t="s">
        <v>32</v>
      </c>
    </row>
  </sheetData>
  <pageMargins left="0.75" right="0.75" top="1" bottom="1" header="0.5" footer="0.5"/>
  <pageSetup paperSize="9" orientation="portrait" horizontalDpi="3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4"/>
  <sheetViews>
    <sheetView workbookViewId="0"/>
  </sheetViews>
  <sheetFormatPr defaultColWidth="11.5546875" defaultRowHeight="13.2" x14ac:dyDescent="0.25"/>
  <cols>
    <col min="1" max="256" width="8.77734375" customWidth="1"/>
  </cols>
  <sheetData>
    <row r="1" spans="1:28" ht="16.8" x14ac:dyDescent="0.35">
      <c r="A1" s="1" t="s">
        <v>46</v>
      </c>
    </row>
    <row r="3" spans="1:28" ht="15.6" x14ac:dyDescent="0.25">
      <c r="A3" t="s">
        <v>0</v>
      </c>
      <c r="B3">
        <v>8.3145100000000007E-3</v>
      </c>
      <c r="C3" s="2" t="s">
        <v>1</v>
      </c>
    </row>
    <row r="4" spans="1:28" x14ac:dyDescent="0.25">
      <c r="A4" t="s">
        <v>2</v>
      </c>
      <c r="B4">
        <v>298.14999999999998</v>
      </c>
      <c r="C4" s="2" t="s">
        <v>3</v>
      </c>
    </row>
    <row r="5" spans="1:28" x14ac:dyDescent="0.25">
      <c r="A5" t="s">
        <v>4</v>
      </c>
      <c r="B5">
        <f>LN(10)</f>
        <v>2.3025850929940459</v>
      </c>
    </row>
    <row r="7" spans="1:28" x14ac:dyDescent="0.25">
      <c r="A7" s="2" t="s">
        <v>5</v>
      </c>
      <c r="B7">
        <f>B3*B5</f>
        <v>1.9144866781549925E-2</v>
      </c>
    </row>
    <row r="8" spans="1:28" x14ac:dyDescent="0.25">
      <c r="A8" t="s">
        <v>6</v>
      </c>
      <c r="B8">
        <f>B3*B4*B5</f>
        <v>5.7080420309191107</v>
      </c>
      <c r="E8" s="2"/>
      <c r="F8" s="2"/>
    </row>
    <row r="9" spans="1:28" x14ac:dyDescent="0.25">
      <c r="V9" s="4" t="s">
        <v>7</v>
      </c>
    </row>
    <row r="10" spans="1:28" ht="15.6" x14ac:dyDescent="0.35">
      <c r="A10" s="4" t="s">
        <v>2</v>
      </c>
      <c r="B10" s="4" t="s">
        <v>2</v>
      </c>
      <c r="C10" s="5" t="s">
        <v>8</v>
      </c>
      <c r="D10" s="4" t="s">
        <v>9</v>
      </c>
      <c r="E10" s="18" t="s">
        <v>37</v>
      </c>
      <c r="O10" s="4" t="s">
        <v>10</v>
      </c>
      <c r="P10" s="4" t="s">
        <v>11</v>
      </c>
      <c r="R10" s="4" t="s">
        <v>2</v>
      </c>
      <c r="S10" s="4" t="s">
        <v>2</v>
      </c>
      <c r="T10" s="4" t="s">
        <v>10</v>
      </c>
      <c r="U10" s="4" t="s">
        <v>11</v>
      </c>
      <c r="V10" s="4" t="s">
        <v>9</v>
      </c>
      <c r="W10" s="6" t="s">
        <v>12</v>
      </c>
      <c r="X10" s="6" t="s">
        <v>13</v>
      </c>
      <c r="AA10" s="18" t="s">
        <v>37</v>
      </c>
    </row>
    <row r="11" spans="1:28" ht="13.8" x14ac:dyDescent="0.3">
      <c r="A11" s="4" t="s">
        <v>14</v>
      </c>
      <c r="B11" s="4" t="s">
        <v>15</v>
      </c>
      <c r="C11" s="4" t="s">
        <v>15</v>
      </c>
      <c r="F11" s="19" t="s">
        <v>28</v>
      </c>
      <c r="R11" s="4" t="s">
        <v>14</v>
      </c>
      <c r="S11" s="4" t="s">
        <v>15</v>
      </c>
      <c r="V11" s="4" t="s">
        <v>31</v>
      </c>
      <c r="AB11" s="2" t="s">
        <v>41</v>
      </c>
    </row>
    <row r="12" spans="1:28" x14ac:dyDescent="0.25">
      <c r="A12" s="16">
        <v>0</v>
      </c>
      <c r="B12">
        <f>273.15+$A12</f>
        <v>273.14999999999998</v>
      </c>
      <c r="C12">
        <f>1/B12</f>
        <v>3.6609921288669233E-3</v>
      </c>
      <c r="D12" s="7">
        <v>-7.7389999999999999</v>
      </c>
      <c r="E12" s="7">
        <f t="shared" ref="E12:E22" si="0">D12</f>
        <v>-7.7389999999999999</v>
      </c>
      <c r="F12" s="2">
        <v>0.04</v>
      </c>
      <c r="O12">
        <f t="shared" ref="O12:O22" si="1">(1/$B$4-1/$B12)/$B$7</f>
        <v>-1.6034360420947306E-2</v>
      </c>
      <c r="P12">
        <f t="shared" ref="P12:P22" si="2">($B$4/$B12-1+LN($B12/$B$4))/$B$7</f>
        <v>0.20627892266613621</v>
      </c>
      <c r="R12">
        <v>0.5</v>
      </c>
      <c r="S12">
        <f t="shared" ref="S12:S21" si="3">273.15+$R12</f>
        <v>273.64999999999998</v>
      </c>
      <c r="T12">
        <f t="shared" ref="T12:T21" si="4">(1/$B$4-1/$S12)/$B$7</f>
        <v>-1.5684961951405514E-2</v>
      </c>
      <c r="U12">
        <f t="shared" ref="U12:U21" si="5">($B$4/$S12-1+LN($S12/$B$4))/$B$7</f>
        <v>0.19763125729599004</v>
      </c>
      <c r="V12" s="7">
        <f t="shared" ref="V12:V21" si="6">$D$27+$C$27*$T12+$B$27*$U12</f>
        <v>-7.7360443809340174</v>
      </c>
      <c r="W12" s="7">
        <f>($D$27+$D$34+($C$27-$C$34)*$T12+($B$27-$B$34)*$U12)</f>
        <v>-7.680611136635549</v>
      </c>
      <c r="X12" s="7">
        <f>($D$27-$D$34+($C$27+$C$34)*$T12+($B$27+$B$34)*$U12)</f>
        <v>-7.7914776252324867</v>
      </c>
      <c r="AA12" s="7">
        <f>-172.1295-0.077993*S12+3074.688/S12+71.595*LOG(S12)</f>
        <v>-7.7454346265477625</v>
      </c>
      <c r="AB12" s="7">
        <f>V12-AA12</f>
        <v>9.3902456137451296E-3</v>
      </c>
    </row>
    <row r="13" spans="1:28" x14ac:dyDescent="0.25">
      <c r="A13" s="16">
        <v>15.3</v>
      </c>
      <c r="B13">
        <f t="shared" ref="B13:B22" si="7">273.15+$A13</f>
        <v>288.45</v>
      </c>
      <c r="C13">
        <f t="shared" ref="C13:C22" si="8">1/B13</f>
        <v>3.4668053388802219E-3</v>
      </c>
      <c r="D13" s="7">
        <v>-7.8369999999999997</v>
      </c>
      <c r="E13" s="7">
        <f t="shared" si="0"/>
        <v>-7.8369999999999997</v>
      </c>
      <c r="F13" s="2">
        <v>0.04</v>
      </c>
      <c r="O13">
        <f t="shared" si="1"/>
        <v>-5.8913392026518187E-3</v>
      </c>
      <c r="P13">
        <f t="shared" si="2"/>
        <v>2.8888000487663941E-2</v>
      </c>
      <c r="R13">
        <v>5</v>
      </c>
      <c r="S13">
        <f t="shared" si="3"/>
        <v>278.14999999999998</v>
      </c>
      <c r="T13">
        <f t="shared" si="4"/>
        <v>-1.2596902531675022E-2</v>
      </c>
      <c r="U13">
        <f t="shared" si="5"/>
        <v>0.12888415942165576</v>
      </c>
      <c r="V13" s="7">
        <f t="shared" si="6"/>
        <v>-7.7615323390078093</v>
      </c>
      <c r="W13" s="7">
        <f>($D$27+$D$34+($C$27-$C$34)*$T13+($B$27-$B$34)*$U13)</f>
        <v>-7.7060946467216489</v>
      </c>
      <c r="X13" s="7">
        <f>($D$27-$D$34+($C$27+$C$34)*$T13+($B$27+$B$34)*$U13)</f>
        <v>-7.8169700312939696</v>
      </c>
      <c r="AA13" s="7">
        <f t="shared" ref="AA13:AA21" si="9">-172.1295-0.077993*S13+3074.688/S13+71.595*LOG(S13)</f>
        <v>-7.771028989333189</v>
      </c>
      <c r="AB13" s="7">
        <f t="shared" ref="AB13:AB21" si="10">V13-AA13</f>
        <v>9.4966503253797185E-3</v>
      </c>
    </row>
    <row r="14" spans="1:28" x14ac:dyDescent="0.25">
      <c r="A14" s="16">
        <v>25.1</v>
      </c>
      <c r="B14">
        <f t="shared" si="7"/>
        <v>298.25</v>
      </c>
      <c r="C14">
        <f t="shared" si="8"/>
        <v>3.3528918692372171E-3</v>
      </c>
      <c r="D14" s="7">
        <v>-7.9020000000000001</v>
      </c>
      <c r="E14" s="7">
        <f t="shared" si="0"/>
        <v>-7.9020000000000001</v>
      </c>
      <c r="F14" s="2">
        <v>0.04</v>
      </c>
      <c r="O14">
        <f t="shared" si="1"/>
        <v>5.8739789424752531E-5</v>
      </c>
      <c r="P14">
        <f t="shared" si="2"/>
        <v>2.9366611733655835E-6</v>
      </c>
      <c r="R14">
        <v>15</v>
      </c>
      <c r="S14">
        <f t="shared" si="3"/>
        <v>288.14999999999998</v>
      </c>
      <c r="T14">
        <f t="shared" si="4"/>
        <v>-6.0798688863185945E-3</v>
      </c>
      <c r="U14">
        <f t="shared" si="5"/>
        <v>3.0745027680825151E-2</v>
      </c>
      <c r="V14" s="7">
        <f t="shared" si="6"/>
        <v>-7.8304130456998706</v>
      </c>
      <c r="W14" s="7">
        <f>($D$27+$D$34+($C$27-$C$34)*$T14+($B$27-$B$34)*$U14)</f>
        <v>-7.776655971587326</v>
      </c>
      <c r="X14" s="7">
        <f>($D$27-$D$34+($C$27+$C$34)*$T14+($B$27+$B$34)*$U14)</f>
        <v>-7.8841701198124161</v>
      </c>
      <c r="AA14" s="7">
        <f t="shared" si="9"/>
        <v>-7.8363450927594442</v>
      </c>
      <c r="AB14" s="7">
        <f t="shared" si="10"/>
        <v>5.9320470595736197E-3</v>
      </c>
    </row>
    <row r="15" spans="1:28" x14ac:dyDescent="0.25">
      <c r="A15" s="16">
        <v>25.1</v>
      </c>
      <c r="B15">
        <f t="shared" si="7"/>
        <v>298.25</v>
      </c>
      <c r="C15">
        <f t="shared" si="8"/>
        <v>3.3528918692372171E-3</v>
      </c>
      <c r="D15" s="7">
        <v>-7.9</v>
      </c>
      <c r="E15" s="7">
        <f t="shared" si="0"/>
        <v>-7.9</v>
      </c>
      <c r="F15" s="2">
        <v>0.04</v>
      </c>
      <c r="O15">
        <f t="shared" si="1"/>
        <v>5.8739789424752531E-5</v>
      </c>
      <c r="P15">
        <f t="shared" si="2"/>
        <v>2.9366611733655835E-6</v>
      </c>
      <c r="R15">
        <v>25</v>
      </c>
      <c r="S15">
        <f t="shared" si="3"/>
        <v>298.14999999999998</v>
      </c>
      <c r="T15">
        <f t="shared" si="4"/>
        <v>0</v>
      </c>
      <c r="U15">
        <f t="shared" si="5"/>
        <v>0</v>
      </c>
      <c r="V15" s="7">
        <f t="shared" si="6"/>
        <v>-7.914221703513892</v>
      </c>
      <c r="W15" s="7">
        <f>($D$27+$D$34+($C$27-$C$34)*$T15+($B$27-$B$34)*$U15)</f>
        <v>-7.8642217035138922</v>
      </c>
      <c r="X15" s="7">
        <f>($D$27-$D$34+($C$27+$C$34)*$T15+($B$27+$B$34)*$U15)</f>
        <v>-7.9642217035138918</v>
      </c>
      <c r="AA15" s="7">
        <f t="shared" si="9"/>
        <v>-7.9133983809395261</v>
      </c>
      <c r="AB15" s="7">
        <f t="shared" si="10"/>
        <v>-8.2332257436590339E-4</v>
      </c>
    </row>
    <row r="16" spans="1:28" x14ac:dyDescent="0.25">
      <c r="A16" s="16">
        <v>35</v>
      </c>
      <c r="B16">
        <f t="shared" si="7"/>
        <v>308.14999999999998</v>
      </c>
      <c r="C16">
        <f t="shared" si="8"/>
        <v>3.2451728054518907E-3</v>
      </c>
      <c r="D16" s="7">
        <v>-8.0210000000000008</v>
      </c>
      <c r="E16" s="7">
        <f t="shared" si="0"/>
        <v>-8.0210000000000008</v>
      </c>
      <c r="F16" s="2">
        <v>0.04</v>
      </c>
      <c r="O16">
        <f t="shared" si="1"/>
        <v>5.6852643829067113E-3</v>
      </c>
      <c r="P16">
        <f t="shared" si="2"/>
        <v>2.8113738829310959E-2</v>
      </c>
      <c r="R16">
        <v>35</v>
      </c>
      <c r="S16">
        <f t="shared" si="3"/>
        <v>308.14999999999998</v>
      </c>
      <c r="T16">
        <f t="shared" si="4"/>
        <v>5.6852643829067113E-3</v>
      </c>
      <c r="U16">
        <f t="shared" si="5"/>
        <v>2.8113738829310959E-2</v>
      </c>
      <c r="V16" s="7">
        <f t="shared" si="6"/>
        <v>-8.0108703745009553</v>
      </c>
      <c r="W16" s="7">
        <f t="shared" ref="W16:W21" si="11">($D$27+$D$34+($C$27+$C$34)*$T16+($B$27+$B$34)*$U16)</f>
        <v>-7.9553100683967761</v>
      </c>
      <c r="X16" s="7">
        <f t="shared" ref="X16:X21" si="12">($D$27-$D$34+($C$27-$C$34)*$T16+($B$27-$B$34)*$U16)</f>
        <v>-8.0664306806051371</v>
      </c>
      <c r="AA16" s="7">
        <f t="shared" si="9"/>
        <v>-8.0022213580357686</v>
      </c>
      <c r="AB16" s="7">
        <f t="shared" si="10"/>
        <v>-8.6490164651866763E-3</v>
      </c>
    </row>
    <row r="17" spans="1:28" x14ac:dyDescent="0.25">
      <c r="A17" s="16">
        <v>45</v>
      </c>
      <c r="B17">
        <f t="shared" si="7"/>
        <v>318.14999999999998</v>
      </c>
      <c r="C17">
        <f t="shared" si="8"/>
        <v>3.1431714600031434E-3</v>
      </c>
      <c r="D17" s="7">
        <v>-8.1270000000000007</v>
      </c>
      <c r="E17" s="7">
        <f t="shared" si="0"/>
        <v>-8.1270000000000007</v>
      </c>
      <c r="F17" s="2">
        <v>0.04</v>
      </c>
      <c r="O17">
        <f t="shared" si="1"/>
        <v>1.1013133550794935E-2</v>
      </c>
      <c r="P17">
        <f t="shared" si="2"/>
        <v>0.10774819867701339</v>
      </c>
      <c r="R17">
        <v>45</v>
      </c>
      <c r="S17">
        <f t="shared" si="3"/>
        <v>318.14999999999998</v>
      </c>
      <c r="T17">
        <f t="shared" si="4"/>
        <v>1.1013133550794935E-2</v>
      </c>
      <c r="U17">
        <f t="shared" si="5"/>
        <v>0.10774819867701339</v>
      </c>
      <c r="V17" s="7">
        <f t="shared" si="6"/>
        <v>-8.1185735470121898</v>
      </c>
      <c r="W17" s="7">
        <f t="shared" si="11"/>
        <v>-8.0558841050191834</v>
      </c>
      <c r="X17" s="7">
        <f t="shared" si="12"/>
        <v>-8.1812629890051998</v>
      </c>
      <c r="AA17" s="7">
        <f t="shared" si="9"/>
        <v>-8.1027685254511255</v>
      </c>
      <c r="AB17" s="7">
        <f t="shared" si="10"/>
        <v>-1.5805021561064336E-2</v>
      </c>
    </row>
    <row r="18" spans="1:28" x14ac:dyDescent="0.25">
      <c r="A18" s="16">
        <v>55</v>
      </c>
      <c r="B18">
        <f t="shared" si="7"/>
        <v>328.15</v>
      </c>
      <c r="C18">
        <f t="shared" si="8"/>
        <v>3.0473868657626088E-3</v>
      </c>
      <c r="D18" s="7">
        <v>-8.2319999999999993</v>
      </c>
      <c r="E18" s="7">
        <f t="shared" si="0"/>
        <v>-8.2319999999999993</v>
      </c>
      <c r="F18" s="2">
        <v>0.04</v>
      </c>
      <c r="O18">
        <f t="shared" si="1"/>
        <v>1.601628114818867E-2</v>
      </c>
      <c r="P18">
        <f t="shared" si="2"/>
        <v>0.23256883573771028</v>
      </c>
      <c r="R18">
        <v>55</v>
      </c>
      <c r="S18">
        <f t="shared" si="3"/>
        <v>328.15</v>
      </c>
      <c r="T18">
        <f t="shared" si="4"/>
        <v>1.601628114818867E-2</v>
      </c>
      <c r="U18">
        <f t="shared" si="5"/>
        <v>0.23256883573771028</v>
      </c>
      <c r="V18" s="7">
        <f t="shared" si="6"/>
        <v>-8.2357984034501861</v>
      </c>
      <c r="W18" s="7">
        <f t="shared" si="11"/>
        <v>-8.1646129004450767</v>
      </c>
      <c r="X18" s="7">
        <f t="shared" si="12"/>
        <v>-8.3069839064552937</v>
      </c>
      <c r="AA18" s="7">
        <f t="shared" si="9"/>
        <v>-8.2149350292704355</v>
      </c>
      <c r="AB18" s="7">
        <f t="shared" si="10"/>
        <v>-2.0863374179750593E-2</v>
      </c>
    </row>
    <row r="19" spans="1:28" x14ac:dyDescent="0.25">
      <c r="A19" s="16">
        <v>65</v>
      </c>
      <c r="B19">
        <f t="shared" si="7"/>
        <v>338.15</v>
      </c>
      <c r="C19">
        <f t="shared" si="8"/>
        <v>2.9572674848440043E-3</v>
      </c>
      <c r="D19" s="7">
        <v>-8.3640000000000008</v>
      </c>
      <c r="E19" s="7">
        <f t="shared" si="0"/>
        <v>-8.3640000000000008</v>
      </c>
      <c r="F19" s="2">
        <v>0.06</v>
      </c>
      <c r="O19">
        <f t="shared" si="1"/>
        <v>2.0723515831349446E-2</v>
      </c>
      <c r="P19">
        <f t="shared" si="2"/>
        <v>0.39708654778419117</v>
      </c>
      <c r="R19">
        <v>65</v>
      </c>
      <c r="S19">
        <f t="shared" si="3"/>
        <v>338.15</v>
      </c>
      <c r="T19">
        <f t="shared" si="4"/>
        <v>2.0723515831349446E-2</v>
      </c>
      <c r="U19">
        <f t="shared" si="5"/>
        <v>0.39708654778419117</v>
      </c>
      <c r="V19" s="7">
        <f t="shared" si="6"/>
        <v>-8.3612243446394992</v>
      </c>
      <c r="W19" s="7">
        <f t="shared" si="11"/>
        <v>-8.2803504162541888</v>
      </c>
      <c r="X19" s="7">
        <f t="shared" si="12"/>
        <v>-8.4420982730248078</v>
      </c>
      <c r="AA19" s="7">
        <f t="shared" si="9"/>
        <v>-8.3385711984052477</v>
      </c>
      <c r="AB19" s="7">
        <f t="shared" si="10"/>
        <v>-2.2653146234251409E-2</v>
      </c>
    </row>
    <row r="20" spans="1:28" x14ac:dyDescent="0.25">
      <c r="A20" s="16">
        <v>80</v>
      </c>
      <c r="B20">
        <f t="shared" si="7"/>
        <v>353.15</v>
      </c>
      <c r="C20">
        <f t="shared" si="8"/>
        <v>2.831657935721365E-3</v>
      </c>
      <c r="D20" s="7">
        <v>-8.5630000000000006</v>
      </c>
      <c r="E20" s="7">
        <f t="shared" si="0"/>
        <v>-8.5630000000000006</v>
      </c>
      <c r="F20" s="2">
        <v>0.06</v>
      </c>
      <c r="O20">
        <f t="shared" si="1"/>
        <v>2.7284519914370298E-2</v>
      </c>
      <c r="P20">
        <f t="shared" si="2"/>
        <v>0.70802236316444289</v>
      </c>
      <c r="R20">
        <v>80</v>
      </c>
      <c r="S20">
        <f t="shared" si="3"/>
        <v>353.15</v>
      </c>
      <c r="T20">
        <f t="shared" si="4"/>
        <v>2.7284519914370298E-2</v>
      </c>
      <c r="U20">
        <f t="shared" si="5"/>
        <v>0.70802236316444289</v>
      </c>
      <c r="V20" s="7">
        <f t="shared" si="6"/>
        <v>-8.5622853576855196</v>
      </c>
      <c r="W20" s="7">
        <f t="shared" si="11"/>
        <v>-8.4649689366801031</v>
      </c>
      <c r="X20" s="7">
        <f t="shared" si="12"/>
        <v>-8.6596017786909343</v>
      </c>
      <c r="AA20" s="7">
        <f t="shared" si="9"/>
        <v>-8.5451235929431846</v>
      </c>
      <c r="AB20" s="7">
        <f t="shared" si="10"/>
        <v>-1.7161764742334995E-2</v>
      </c>
    </row>
    <row r="21" spans="1:28" x14ac:dyDescent="0.25">
      <c r="A21" s="16">
        <v>80</v>
      </c>
      <c r="B21">
        <f t="shared" si="7"/>
        <v>353.15</v>
      </c>
      <c r="C21">
        <f t="shared" si="8"/>
        <v>2.831657935721365E-3</v>
      </c>
      <c r="D21" s="7">
        <v>-8.5760000000000005</v>
      </c>
      <c r="E21" s="7">
        <f t="shared" si="0"/>
        <v>-8.5760000000000005</v>
      </c>
      <c r="F21" s="2">
        <v>0.06</v>
      </c>
      <c r="O21">
        <f t="shared" si="1"/>
        <v>2.7284519914370298E-2</v>
      </c>
      <c r="P21">
        <f t="shared" si="2"/>
        <v>0.70802236316444289</v>
      </c>
      <c r="R21">
        <v>95</v>
      </c>
      <c r="S21">
        <f t="shared" si="3"/>
        <v>368.15</v>
      </c>
      <c r="T21">
        <f t="shared" si="4"/>
        <v>3.3310877460678859E-2</v>
      </c>
      <c r="U21">
        <f t="shared" si="5"/>
        <v>1.0840430414099647</v>
      </c>
      <c r="V21" s="7">
        <f t="shared" si="6"/>
        <v>-8.7760297700088561</v>
      </c>
      <c r="W21" s="7">
        <f t="shared" si="11"/>
        <v>-8.6603555185495562</v>
      </c>
      <c r="X21" s="7">
        <f t="shared" si="12"/>
        <v>-8.8917040214681577</v>
      </c>
      <c r="AA21" s="7">
        <f t="shared" si="9"/>
        <v>-8.7763508508729444</v>
      </c>
      <c r="AB21" s="7">
        <f t="shared" si="10"/>
        <v>3.2108086408833003E-4</v>
      </c>
    </row>
    <row r="22" spans="1:28" x14ac:dyDescent="0.25">
      <c r="A22" s="16">
        <v>90</v>
      </c>
      <c r="B22">
        <f t="shared" si="7"/>
        <v>363.15</v>
      </c>
      <c r="C22">
        <f t="shared" si="8"/>
        <v>2.7536830510808208E-3</v>
      </c>
      <c r="D22" s="7">
        <v>-8.69</v>
      </c>
      <c r="E22" s="7">
        <f t="shared" si="0"/>
        <v>-8.69</v>
      </c>
      <c r="F22" s="2">
        <v>0.04</v>
      </c>
      <c r="O22">
        <f t="shared" si="1"/>
        <v>3.1357407207359418E-2</v>
      </c>
      <c r="P22">
        <f t="shared" si="2"/>
        <v>0.95220605976622086</v>
      </c>
    </row>
    <row r="25" spans="1:28" ht="15.6" x14ac:dyDescent="0.35">
      <c r="B25" s="12" t="s">
        <v>16</v>
      </c>
      <c r="C25" s="12" t="s">
        <v>17</v>
      </c>
      <c r="D25" s="13" t="s">
        <v>18</v>
      </c>
    </row>
    <row r="26" spans="1:28" ht="15.6" x14ac:dyDescent="0.25">
      <c r="B26" s="11" t="s">
        <v>19</v>
      </c>
      <c r="C26" s="10" t="s">
        <v>20</v>
      </c>
      <c r="D26" s="11"/>
      <c r="E26" s="3"/>
      <c r="F26" s="3"/>
      <c r="G26" s="3"/>
    </row>
    <row r="27" spans="1:28" ht="15.6" x14ac:dyDescent="0.35">
      <c r="A27" s="10" t="s">
        <v>21</v>
      </c>
      <c r="B27" s="1">
        <f t="array" ref="B27:D31">LINEST(D12:D22,O12:P22,TRUE,TRUE)</f>
        <v>-0.32146361817964586</v>
      </c>
      <c r="C27" s="1">
        <v>-15.410211536660864</v>
      </c>
      <c r="D27" s="1">
        <v>-7.914221703513892</v>
      </c>
      <c r="E27" s="14" t="s">
        <v>22</v>
      </c>
      <c r="F27" s="14"/>
    </row>
    <row r="28" spans="1:28" x14ac:dyDescent="0.25">
      <c r="A28" s="10"/>
      <c r="B28">
        <v>1.8247409114999464E-2</v>
      </c>
      <c r="C28">
        <v>0.40302364122109924</v>
      </c>
      <c r="D28">
        <v>4.6970374710136554E-3</v>
      </c>
      <c r="E28" s="14"/>
      <c r="F28" s="14"/>
    </row>
    <row r="29" spans="1:28" x14ac:dyDescent="0.25">
      <c r="A29" s="10" t="s">
        <v>23</v>
      </c>
      <c r="B29">
        <v>0.99907093907941136</v>
      </c>
      <c r="C29">
        <v>1.128186511197431E-2</v>
      </c>
      <c r="D29" t="e">
        <v>#N/A</v>
      </c>
      <c r="E29" s="14" t="s">
        <v>24</v>
      </c>
      <c r="F29" s="14"/>
    </row>
    <row r="30" spans="1:28" x14ac:dyDescent="0.25">
      <c r="A30" s="10" t="s">
        <v>25</v>
      </c>
      <c r="B30">
        <v>4301.4227245569036</v>
      </c>
      <c r="C30">
        <v>8</v>
      </c>
      <c r="D30" t="e">
        <v>#N/A</v>
      </c>
      <c r="E30" s="14" t="s">
        <v>26</v>
      </c>
      <c r="F30" s="14"/>
    </row>
    <row r="31" spans="1:28" x14ac:dyDescent="0.25">
      <c r="A31" s="9"/>
      <c r="B31">
        <v>1.0949743016113076</v>
      </c>
      <c r="C31">
        <v>1.0182438432382651E-3</v>
      </c>
      <c r="D31" t="e">
        <v>#N/A</v>
      </c>
      <c r="E31" s="14" t="s">
        <v>27</v>
      </c>
      <c r="F31" s="14"/>
    </row>
    <row r="33" spans="1:4" x14ac:dyDescent="0.25">
      <c r="B33">
        <f>B28*2</f>
        <v>3.6494818229998928E-2</v>
      </c>
      <c r="C33">
        <f>C28*2</f>
        <v>0.80604728244219848</v>
      </c>
      <c r="D33">
        <f>D28*2</f>
        <v>9.3940749420273108E-3</v>
      </c>
    </row>
    <row r="34" spans="1:4" ht="13.8" x14ac:dyDescent="0.3">
      <c r="A34" s="8" t="s">
        <v>28</v>
      </c>
      <c r="B34" s="1">
        <v>3.5999999999999997E-2</v>
      </c>
      <c r="C34" s="15">
        <v>0.8</v>
      </c>
      <c r="D34" s="1">
        <v>0.05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Calcite</vt:lpstr>
      <vt:lpstr>Aragonite</vt:lpstr>
      <vt:lpstr>Vaterite</vt:lpstr>
    </vt:vector>
  </TitlesOfParts>
  <Company>Paul Scherrer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Hummel</dc:creator>
  <cp:lastModifiedBy>Josep Bonet</cp:lastModifiedBy>
  <cp:lastPrinted>2001-11-28T13:26:59Z</cp:lastPrinted>
  <dcterms:created xsi:type="dcterms:W3CDTF">2001-11-28T13:43:01Z</dcterms:created>
  <dcterms:modified xsi:type="dcterms:W3CDTF">2023-11-30T14:51:47Z</dcterms:modified>
</cp:coreProperties>
</file>