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D6052D4D-213F-48C7-9F6B-330D08DD5C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olomite" sheetId="1" r:id="rId1"/>
  </sheets>
  <definedNames>
    <definedName name="_Regression_Out" hidden="1">Dolomite!$B$154:$B$154</definedName>
    <definedName name="_Regression_X" hidden="1">Dolomite!$E$149:$E$151</definedName>
    <definedName name="_Regression_Y" hidden="1">Dolomite!$F$149:$F$151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E24" i="1"/>
  <c r="E65" i="1" s="1"/>
  <c r="H24" i="1"/>
  <c r="H65" i="1" s="1"/>
  <c r="E25" i="1"/>
  <c r="E66" i="1" s="1"/>
  <c r="H25" i="1"/>
  <c r="H66" i="1" s="1"/>
  <c r="K26" i="1"/>
  <c r="L26" i="1"/>
  <c r="N26" i="1"/>
  <c r="O26" i="1"/>
  <c r="H44" i="1"/>
  <c r="I44" i="1"/>
  <c r="K45" i="1"/>
  <c r="L45" i="1"/>
  <c r="K46" i="1"/>
  <c r="L46" i="1"/>
  <c r="E63" i="1"/>
  <c r="H63" i="1"/>
  <c r="E64" i="1"/>
  <c r="H64" i="1"/>
  <c r="H68" i="1"/>
  <c r="E69" i="1"/>
  <c r="F69" i="1"/>
  <c r="H69" i="1"/>
  <c r="I69" i="1"/>
  <c r="E70" i="1"/>
  <c r="F70" i="1"/>
  <c r="H70" i="1"/>
  <c r="I70" i="1"/>
  <c r="H72" i="1"/>
  <c r="B76" i="1"/>
  <c r="B78" i="1" s="1"/>
  <c r="D85" i="1" s="1"/>
  <c r="D80" i="1" l="1"/>
  <c r="D83" i="1"/>
  <c r="F84" i="1"/>
  <c r="D81" i="1"/>
  <c r="E44" i="1"/>
  <c r="E68" i="1" s="1"/>
  <c r="F92" i="1" s="1"/>
  <c r="D86" i="1"/>
  <c r="F44" i="1"/>
  <c r="F68" i="1" s="1"/>
  <c r="F86" i="1"/>
  <c r="E72" i="1"/>
  <c r="D88" i="1" s="1"/>
  <c r="H71" i="1"/>
  <c r="E43" i="1"/>
  <c r="D82" i="1"/>
  <c r="I68" i="1"/>
  <c r="E71" i="1"/>
  <c r="D87" i="1" s="1"/>
  <c r="E85" i="1" l="1"/>
  <c r="D91" i="1"/>
  <c r="F90" i="1"/>
  <c r="E91" i="1" s="1"/>
</calcChain>
</file>

<file path=xl/sharedStrings.xml><?xml version="1.0" encoding="utf-8"?>
<sst xmlns="http://schemas.openxmlformats.org/spreadsheetml/2006/main" count="156" uniqueCount="69">
  <si>
    <t xml:space="preserve">Dolomite </t>
  </si>
  <si>
    <r>
      <t>CaMg(CO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(s) = Ca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 xml:space="preserve"> + Mg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 xml:space="preserve"> + 2 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2-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</si>
  <si>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</si>
  <si>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±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</si>
  <si>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</si>
  <si>
    <r>
      <t>S</t>
    </r>
    <r>
      <rPr>
        <sz val="10"/>
        <rFont val="Calibri"/>
        <family val="2"/>
      </rPr>
      <t>°</t>
    </r>
  </si>
  <si>
    <r>
      <t>C</t>
    </r>
    <r>
      <rPr>
        <vertAlign val="subscript"/>
        <sz val="10"/>
        <rFont val="Arial"/>
        <family val="2"/>
      </rPr>
      <t>p</t>
    </r>
    <r>
      <rPr>
        <sz val="10"/>
        <rFont val="Calibri"/>
        <family val="2"/>
      </rPr>
      <t>°</t>
    </r>
  </si>
  <si>
    <r>
      <t>kJ  mol</t>
    </r>
    <r>
      <rPr>
        <vertAlign val="superscript"/>
        <sz val="10"/>
        <rFont val="Arial"/>
        <family val="2"/>
      </rPr>
      <t>-1</t>
    </r>
  </si>
  <si>
    <r>
      <t>J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</si>
  <si>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r>
      <t>CaMg(CO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(s)</t>
    </r>
  </si>
  <si>
    <t>Robie &amp; Hemingway (1995)</t>
  </si>
  <si>
    <t>Robie et al. (1979)</t>
  </si>
  <si>
    <r>
      <t>CaMg(CO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(ordered)</t>
    </r>
  </si>
  <si>
    <t>Helgeson et al. (1978)</t>
  </si>
  <si>
    <r>
      <t>CaMg(CO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(disordered)</t>
    </r>
  </si>
  <si>
    <t>Stout &amp; Robie (1963)</t>
  </si>
  <si>
    <r>
      <rPr>
        <sz val="10"/>
        <rFont val="Arial"/>
      </rPr>
      <t>Ca</t>
    </r>
    <r>
      <rPr>
        <vertAlign val="superscript"/>
        <sz val="10"/>
        <rFont val="Arial"/>
        <family val="2"/>
      </rPr>
      <t>2+</t>
    </r>
  </si>
  <si>
    <t>CODATA</t>
  </si>
  <si>
    <r>
      <rPr>
        <sz val="10"/>
        <rFont val="Arial"/>
      </rPr>
      <t>Mg</t>
    </r>
    <r>
      <rPr>
        <vertAlign val="superscript"/>
        <sz val="10"/>
        <rFont val="Arial"/>
        <family val="2"/>
      </rPr>
      <t>2+</t>
    </r>
  </si>
  <si>
    <r>
      <rPr>
        <sz val="10"/>
        <rFont val="Arial"/>
      </rPr>
      <t>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2-</t>
    </r>
  </si>
  <si>
    <t>Ca(cr)</t>
  </si>
  <si>
    <t>Mg(cr)</t>
  </si>
  <si>
    <t>CaO(cr)</t>
  </si>
  <si>
    <t>MgO(cr)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</si>
  <si>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(g)</t>
    </r>
  </si>
  <si>
    <t>C(cr)</t>
  </si>
  <si>
    <t>O2(g)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</si>
  <si>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sz val="10"/>
        <rFont val="Calibri"/>
        <family val="2"/>
      </rPr>
      <t>°</t>
    </r>
  </si>
  <si>
    <r>
      <t>kJ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</si>
  <si>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r>
      <t>CaO(cr) + MgO(cr) + 2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(g) = 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(cr)</t>
    </r>
  </si>
  <si>
    <t>Hemingway &amp; Robie (1994)</t>
  </si>
  <si>
    <r>
      <t>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(cr)</t>
    </r>
  </si>
  <si>
    <t>Hemingway &amp; Robie (1994) + CODATA</t>
  </si>
  <si>
    <r>
      <t>Ca(cr) + Mg(cr) + 2 C(cr) + 3 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(g) = 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(cr)</t>
    </r>
  </si>
  <si>
    <t>Robie &amp; Hemingway (1995) + CODATA</t>
  </si>
  <si>
    <t>Robie et al. (1979) + CODATA</t>
  </si>
  <si>
    <t>Wagman et al. (1982)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</si>
  <si>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</si>
  <si>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H</t>
    </r>
    <r>
      <rPr>
        <sz val="10"/>
        <rFont val="Calibri"/>
        <family val="2"/>
      </rPr>
      <t>°</t>
    </r>
  </si>
  <si>
    <r>
      <t>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(s) = Ca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Mg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+ 2 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2-</t>
    </r>
  </si>
  <si>
    <r>
      <t>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(ordered) = Ca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Mg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+ 2 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2-</t>
    </r>
  </si>
  <si>
    <r>
      <t>CaMg(CO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(disordered) = Ca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Mg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+ 2 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2-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</si>
  <si>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</si>
  <si>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</si>
  <si>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</si>
  <si>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</si>
  <si>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</si>
  <si>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</si>
  <si>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</si>
  <si>
    <t>Hummel W. &amp; Thoenen T. (2023): The PSI Chemical Thermodynamic Database 2020 (TDB 2020), Nagra Technical Report NTB 21-03</t>
  </si>
  <si>
    <t>References</t>
  </si>
  <si>
    <t>Chapter 4.2.6.2 Calcium(II) carbonate compounds</t>
  </si>
  <si>
    <t>Recalculation of dolomite data</t>
  </si>
  <si>
    <t>Stout, J.W. &amp; Robie, R.A. (1963): Heat capacity from 11 to 300°K, entropy, and heat of formation of dolomite. Journal of Physical Chemistry, 67, 2248–2252.</t>
  </si>
  <si>
    <t>1963STO/ROB</t>
  </si>
  <si>
    <t>Helgeson, H.C., Delany, J.M., Nesbitt, H.W. &amp; Bird, D.K. (1978): Summary and critique of the thermodynamic properties of rock-forming minerals. American Journal of Science, 278-A, 1–229.</t>
  </si>
  <si>
    <t>1978HEL/DEL</t>
  </si>
  <si>
    <r>
      <t>Robie, R.A., Hemingway, B.S. &amp; Fisher, J.R. (1979): Thermodynamic Properties of Minerals and Related Substances at 298.15 K and 1 Bar (10</t>
    </r>
    <r>
      <rPr>
        <vertAlign val="superscript"/>
        <sz val="10"/>
        <rFont val="Arial"/>
        <family val="2"/>
      </rPr>
      <t>5</t>
    </r>
    <r>
      <rPr>
        <sz val="10"/>
        <rFont val="Arial"/>
      </rPr>
      <t xml:space="preserve"> Pascals) Pressure and at Higher Temperatures. United States Geological Survey Bulletin, 1452, Reprinted with corrections, 464 pp. </t>
    </r>
  </si>
  <si>
    <t>1979ROB/HEM</t>
  </si>
  <si>
    <r>
      <t>Hemingway, B.S. &amp; Robie, R.A. (1994): Enthalpy and Gibbs energy of formation of dolomite, CaMg(CO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, at 298.15 K from HCl solution chemistry. United States Geological Survey Open-file Report 94-575, 12 pp. </t>
    </r>
  </si>
  <si>
    <t>1994ROB/HEM</t>
  </si>
  <si>
    <r>
      <t>Robie, R.A. &amp; Hemingway, B.S. (1995): Thermodynamic Properties of Minerals and Related Substances at 298.15 K and 1 Bar (10</t>
    </r>
    <r>
      <rPr>
        <vertAlign val="superscript"/>
        <sz val="10"/>
        <rFont val="Arial"/>
        <family val="2"/>
      </rPr>
      <t>5</t>
    </r>
    <r>
      <rPr>
        <sz val="10"/>
        <rFont val="Arial"/>
      </rPr>
      <t xml:space="preserve"> Pascals) Pressure and at Higher Temperatures. United States Geological Survey Bulletin, 2131, 470 pp. </t>
    </r>
  </si>
  <si>
    <t>1995ROB/HEM</t>
  </si>
  <si>
    <t>Wagman, D.D., Evans, W.H., Parker, V.B., Schumm, R.H., Halow, I., Bailey, S.M., Churney, K.L. &amp; Nuttall, R.L. (1982): The NBS tables of chemical thermodynamic properties: Selected values for inorganic and C1 and C2 organic substances in SI units. Journal of Physical and Chemical Reference Data, 11, Supplement No. 2, 1–392.</t>
  </si>
  <si>
    <t>1982WAG/EVA</t>
  </si>
  <si>
    <t>doi:10.1021/j100805a002</t>
  </si>
  <si>
    <t>doi:10.3133/b1452</t>
  </si>
  <si>
    <t>doi:10.3133/ofr94575</t>
  </si>
  <si>
    <t>doi:10.3133/b2131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</si>
</sst>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sz val="9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0" fontId="7" fillId="0" borderId="0" xfId="0" applyFon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11" fillId="0" borderId="0" xfId="2"/>
  </cellXfs>
  <cellStyles count="3">
    <cellStyle name="Enllaç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133/ofr94575" TargetMode="External"/><Relationship Id="rId2" Type="http://schemas.openxmlformats.org/officeDocument/2006/relationships/hyperlink" Target="https://doi.org/10.3133/b1452" TargetMode="External"/><Relationship Id="rId1" Type="http://schemas.openxmlformats.org/officeDocument/2006/relationships/hyperlink" Target="https://doi.org/10.1021/j100805a00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3133/b21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"/>
  <sheetViews>
    <sheetView tabSelected="1" workbookViewId="0">
      <selection activeCell="B14" sqref="B14"/>
    </sheetView>
  </sheetViews>
  <sheetFormatPr defaultColWidth="11.5546875" defaultRowHeight="13.2" x14ac:dyDescent="0.25"/>
  <cols>
    <col min="1" max="1" width="8.77734375" customWidth="1"/>
    <col min="2" max="4" width="10.77734375" customWidth="1"/>
    <col min="5" max="5" width="9.6640625" customWidth="1"/>
    <col min="6" max="6" width="8.77734375" customWidth="1"/>
    <col min="7" max="7" width="12.44140625" customWidth="1"/>
    <col min="8" max="256" width="8.77734375" customWidth="1"/>
  </cols>
  <sheetData>
    <row r="1" spans="1:3" x14ac:dyDescent="0.25">
      <c r="A1" s="2" t="s">
        <v>49</v>
      </c>
    </row>
    <row r="3" spans="1:3" x14ac:dyDescent="0.25">
      <c r="A3" t="s">
        <v>51</v>
      </c>
    </row>
    <row r="6" spans="1:3" x14ac:dyDescent="0.25">
      <c r="A6" s="2" t="s">
        <v>52</v>
      </c>
    </row>
    <row r="8" spans="1:3" x14ac:dyDescent="0.25">
      <c r="A8" t="s">
        <v>50</v>
      </c>
    </row>
    <row r="9" spans="1:3" x14ac:dyDescent="0.25">
      <c r="A9" s="15" t="s">
        <v>54</v>
      </c>
      <c r="B9" s="16" t="s">
        <v>65</v>
      </c>
      <c r="C9" t="s">
        <v>53</v>
      </c>
    </row>
    <row r="10" spans="1:3" x14ac:dyDescent="0.25">
      <c r="A10" s="15" t="s">
        <v>56</v>
      </c>
      <c r="C10" t="s">
        <v>55</v>
      </c>
    </row>
    <row r="11" spans="1:3" ht="15.6" x14ac:dyDescent="0.25">
      <c r="A11" s="15" t="s">
        <v>58</v>
      </c>
      <c r="B11" s="16" t="s">
        <v>66</v>
      </c>
      <c r="C11" s="2" t="s">
        <v>57</v>
      </c>
    </row>
    <row r="12" spans="1:3" x14ac:dyDescent="0.25">
      <c r="A12" s="15" t="s">
        <v>64</v>
      </c>
      <c r="C12" s="2" t="s">
        <v>63</v>
      </c>
    </row>
    <row r="13" spans="1:3" ht="15.6" x14ac:dyDescent="0.35">
      <c r="A13" s="15" t="s">
        <v>60</v>
      </c>
      <c r="B13" s="16" t="s">
        <v>67</v>
      </c>
      <c r="C13" s="2" t="s">
        <v>59</v>
      </c>
    </row>
    <row r="14" spans="1:3" ht="15.6" x14ac:dyDescent="0.25">
      <c r="A14" s="15" t="s">
        <v>62</v>
      </c>
      <c r="B14" s="16" t="s">
        <v>68</v>
      </c>
      <c r="C14" s="2" t="s">
        <v>61</v>
      </c>
    </row>
    <row r="15" spans="1:3" x14ac:dyDescent="0.25">
      <c r="A15" s="15"/>
      <c r="C15" s="2"/>
    </row>
    <row r="16" spans="1:3" x14ac:dyDescent="0.25">
      <c r="A16" s="15"/>
      <c r="C16" s="2"/>
    </row>
    <row r="18" spans="1:16" ht="16.8" x14ac:dyDescent="0.35">
      <c r="A18" s="1" t="s">
        <v>0</v>
      </c>
      <c r="B18" s="2" t="s">
        <v>1</v>
      </c>
    </row>
    <row r="19" spans="1:16" x14ac:dyDescent="0.25">
      <c r="A19" s="1"/>
      <c r="N19">
        <f>37.09*4.184</f>
        <v>155.18456000000003</v>
      </c>
    </row>
    <row r="20" spans="1:16" ht="15.6" x14ac:dyDescent="0.35">
      <c r="E20" s="3" t="s">
        <v>2</v>
      </c>
      <c r="F20" s="6" t="s">
        <v>3</v>
      </c>
      <c r="H20" s="3" t="s">
        <v>4</v>
      </c>
      <c r="K20" s="2" t="s">
        <v>5</v>
      </c>
      <c r="N20" s="2" t="s">
        <v>6</v>
      </c>
    </row>
    <row r="21" spans="1:16" ht="16.2" x14ac:dyDescent="0.3">
      <c r="E21" s="3" t="s">
        <v>7</v>
      </c>
      <c r="F21" s="6"/>
      <c r="H21" s="3" t="s">
        <v>7</v>
      </c>
      <c r="K21" s="2" t="s">
        <v>8</v>
      </c>
    </row>
    <row r="22" spans="1:16" ht="15.6" x14ac:dyDescent="0.35">
      <c r="A22" s="2" t="s">
        <v>9</v>
      </c>
      <c r="E22">
        <v>-2161.3000000000002</v>
      </c>
      <c r="F22">
        <v>1.7</v>
      </c>
      <c r="H22">
        <v>-2324.5</v>
      </c>
      <c r="I22">
        <v>1.5</v>
      </c>
      <c r="K22">
        <v>155.19999999999999</v>
      </c>
      <c r="L22">
        <v>0.3</v>
      </c>
      <c r="P22" s="2" t="s">
        <v>10</v>
      </c>
    </row>
    <row r="23" spans="1:16" ht="15.6" x14ac:dyDescent="0.35">
      <c r="A23" s="2" t="s">
        <v>9</v>
      </c>
      <c r="E23" s="10">
        <v>-2161.672</v>
      </c>
      <c r="F23">
        <v>1.67</v>
      </c>
      <c r="H23">
        <v>-2324.48</v>
      </c>
      <c r="I23">
        <v>1.46</v>
      </c>
      <c r="K23" s="11">
        <v>155.18</v>
      </c>
      <c r="L23" s="11">
        <v>0.28999999999999998</v>
      </c>
      <c r="P23" s="2" t="s">
        <v>11</v>
      </c>
    </row>
    <row r="24" spans="1:16" ht="15.6" x14ac:dyDescent="0.35">
      <c r="A24" s="2" t="s">
        <v>12</v>
      </c>
      <c r="E24">
        <f>-517.98*4.184</f>
        <v>-2167.2283200000002</v>
      </c>
      <c r="H24">
        <f>-556.851*4.184</f>
        <v>-2329.8645839999999</v>
      </c>
      <c r="P24" s="2" t="s">
        <v>13</v>
      </c>
    </row>
    <row r="25" spans="1:16" ht="15.6" x14ac:dyDescent="0.35">
      <c r="A25" s="2" t="s">
        <v>14</v>
      </c>
      <c r="E25">
        <f>-515.873*4.184</f>
        <v>-2158.4126320000005</v>
      </c>
      <c r="H25">
        <f>-553.924*4.184</f>
        <v>-2317.6180159999999</v>
      </c>
      <c r="P25" s="2" t="s">
        <v>13</v>
      </c>
    </row>
    <row r="26" spans="1:16" x14ac:dyDescent="0.25">
      <c r="A26" s="2"/>
      <c r="K26">
        <f>37.09*4.184</f>
        <v>155.18456000000003</v>
      </c>
      <c r="L26">
        <f>0.1*4.184</f>
        <v>0.41840000000000005</v>
      </c>
      <c r="N26" s="2">
        <f>37.65*4.184</f>
        <v>157.52760000000001</v>
      </c>
      <c r="O26">
        <f>0.1*4.184</f>
        <v>0.41840000000000005</v>
      </c>
      <c r="P26" s="2" t="s">
        <v>15</v>
      </c>
    </row>
    <row r="27" spans="1:16" x14ac:dyDescent="0.25">
      <c r="A27" s="2"/>
    </row>
    <row r="28" spans="1:16" ht="15.6" x14ac:dyDescent="0.25">
      <c r="A28" s="2" t="s">
        <v>16</v>
      </c>
      <c r="E28">
        <v>-552.80600000000004</v>
      </c>
      <c r="F28">
        <v>1.05</v>
      </c>
      <c r="H28" s="7">
        <v>-543</v>
      </c>
      <c r="I28" s="7">
        <v>1</v>
      </c>
      <c r="N28" s="2" t="s">
        <v>17</v>
      </c>
    </row>
    <row r="29" spans="1:16" ht="15.6" x14ac:dyDescent="0.25">
      <c r="A29" s="2" t="s">
        <v>18</v>
      </c>
      <c r="E29">
        <v>-455.375</v>
      </c>
      <c r="F29">
        <v>1.335</v>
      </c>
      <c r="H29" s="7">
        <v>-467</v>
      </c>
      <c r="I29">
        <v>0.6</v>
      </c>
      <c r="N29" s="2" t="s">
        <v>17</v>
      </c>
    </row>
    <row r="30" spans="1:16" ht="16.8" x14ac:dyDescent="0.35">
      <c r="A30" s="2" t="s">
        <v>19</v>
      </c>
      <c r="E30">
        <v>-527.9</v>
      </c>
      <c r="F30">
        <v>0.39</v>
      </c>
      <c r="H30">
        <v>-675.23</v>
      </c>
      <c r="I30">
        <v>0.25</v>
      </c>
      <c r="N30" s="2" t="s">
        <v>17</v>
      </c>
    </row>
    <row r="31" spans="1:16" x14ac:dyDescent="0.25">
      <c r="A31" s="2" t="s">
        <v>20</v>
      </c>
      <c r="E31">
        <v>0</v>
      </c>
      <c r="H31">
        <v>0</v>
      </c>
      <c r="K31">
        <v>32.67</v>
      </c>
      <c r="L31">
        <v>0.1</v>
      </c>
      <c r="N31" s="2" t="s">
        <v>17</v>
      </c>
    </row>
    <row r="32" spans="1:16" x14ac:dyDescent="0.25">
      <c r="A32" s="2" t="s">
        <v>21</v>
      </c>
      <c r="E32">
        <v>0</v>
      </c>
      <c r="H32">
        <v>0</v>
      </c>
      <c r="K32">
        <v>41.59</v>
      </c>
      <c r="L32">
        <v>0.4</v>
      </c>
      <c r="N32" s="2" t="s">
        <v>17</v>
      </c>
    </row>
    <row r="33" spans="1:14" x14ac:dyDescent="0.25">
      <c r="A33" s="2" t="s">
        <v>22</v>
      </c>
      <c r="E33">
        <v>-603.29600000000005</v>
      </c>
      <c r="F33">
        <v>0.91600000000000004</v>
      </c>
      <c r="H33">
        <v>-634.91999999999996</v>
      </c>
      <c r="I33">
        <v>0.9</v>
      </c>
      <c r="N33" s="2" t="s">
        <v>17</v>
      </c>
    </row>
    <row r="34" spans="1:14" x14ac:dyDescent="0.25">
      <c r="A34" s="2" t="s">
        <v>23</v>
      </c>
      <c r="E34">
        <v>-569.31200000000001</v>
      </c>
      <c r="F34">
        <v>0.30499999999999999</v>
      </c>
      <c r="H34">
        <v>-601.6</v>
      </c>
      <c r="I34">
        <v>0.3</v>
      </c>
      <c r="N34" s="2" t="s">
        <v>17</v>
      </c>
    </row>
    <row r="35" spans="1:14" ht="15.6" x14ac:dyDescent="0.35">
      <c r="A35" s="2" t="s">
        <v>24</v>
      </c>
      <c r="E35">
        <v>-394.37299999999999</v>
      </c>
      <c r="F35">
        <v>0.13300000000000001</v>
      </c>
      <c r="H35">
        <v>-393.51</v>
      </c>
      <c r="I35">
        <v>0.13</v>
      </c>
      <c r="N35" s="2" t="s">
        <v>17</v>
      </c>
    </row>
    <row r="36" spans="1:14" x14ac:dyDescent="0.25">
      <c r="A36" s="2" t="s">
        <v>25</v>
      </c>
      <c r="E36">
        <v>0</v>
      </c>
      <c r="H36">
        <v>0</v>
      </c>
      <c r="K36">
        <v>5.74</v>
      </c>
      <c r="L36">
        <v>0.1</v>
      </c>
      <c r="N36" s="2" t="s">
        <v>17</v>
      </c>
    </row>
    <row r="37" spans="1:14" x14ac:dyDescent="0.25">
      <c r="A37" s="2" t="s">
        <v>26</v>
      </c>
      <c r="E37">
        <v>0</v>
      </c>
      <c r="H37">
        <v>0</v>
      </c>
      <c r="K37" s="2">
        <v>205.15199999999999</v>
      </c>
      <c r="L37">
        <v>5.0000000000000001E-3</v>
      </c>
      <c r="N37" s="2" t="s">
        <v>17</v>
      </c>
    </row>
    <row r="38" spans="1:14" x14ac:dyDescent="0.25">
      <c r="A38" s="2"/>
      <c r="K38" s="2"/>
      <c r="N38" s="2"/>
    </row>
    <row r="39" spans="1:14" ht="15.6" x14ac:dyDescent="0.35">
      <c r="A39" s="2"/>
      <c r="K39" s="3" t="s">
        <v>27</v>
      </c>
    </row>
    <row r="40" spans="1:14" ht="15.6" x14ac:dyDescent="0.25">
      <c r="A40" s="2"/>
      <c r="K40" s="2" t="s">
        <v>28</v>
      </c>
    </row>
    <row r="41" spans="1:14" ht="15.6" x14ac:dyDescent="0.35">
      <c r="A41" s="1" t="s">
        <v>29</v>
      </c>
      <c r="H41">
        <v>-300.94</v>
      </c>
      <c r="I41">
        <v>0.49</v>
      </c>
      <c r="N41" s="2" t="s">
        <v>30</v>
      </c>
    </row>
    <row r="42" spans="1:14" ht="15.6" x14ac:dyDescent="0.35">
      <c r="A42" s="1" t="s">
        <v>31</v>
      </c>
      <c r="E42">
        <v>-2161.6999999999998</v>
      </c>
      <c r="F42">
        <v>1.1000000000000001</v>
      </c>
      <c r="H42" s="1">
        <v>-2324.5</v>
      </c>
      <c r="I42" s="1">
        <v>1.1000000000000001</v>
      </c>
      <c r="N42" s="2" t="s">
        <v>30</v>
      </c>
    </row>
    <row r="43" spans="1:14" ht="15.6" x14ac:dyDescent="0.35">
      <c r="A43" s="1" t="s">
        <v>31</v>
      </c>
      <c r="E43">
        <f>H$44-$B$75*K45</f>
        <v>-2161.6912926</v>
      </c>
      <c r="H43" s="1"/>
      <c r="I43" s="1"/>
      <c r="N43" s="2"/>
    </row>
    <row r="44" spans="1:14" ht="15.6" x14ac:dyDescent="0.35">
      <c r="A44" s="1" t="s">
        <v>31</v>
      </c>
      <c r="E44" s="11">
        <f>H$44-$B$75*K46</f>
        <v>-2161.6853295999999</v>
      </c>
      <c r="F44" s="14">
        <f>SQRT(I44^2+(L46*$B$75)^2)</f>
        <v>1.0983432850516315</v>
      </c>
      <c r="H44" s="11">
        <f>H41+H33+H34+2*H35</f>
        <v>-2324.48</v>
      </c>
      <c r="I44" s="13">
        <f>SQRT(I41^2+I33^2+I34^2+2*I35^2)</f>
        <v>1.0834666584625483</v>
      </c>
      <c r="N44" s="2" t="s">
        <v>32</v>
      </c>
    </row>
    <row r="45" spans="1:14" ht="15.6" x14ac:dyDescent="0.35">
      <c r="A45" s="1" t="s">
        <v>33</v>
      </c>
      <c r="H45" s="1"/>
      <c r="I45" s="8"/>
      <c r="K45">
        <f>(K22-K$31-K$32-2*K$36-3*K$37)/1000</f>
        <v>-0.54599599999999981</v>
      </c>
      <c r="L45">
        <f>SQRT(L22^9+L$31^2+L$32^2+2*L$36^2+3*L$37^2)/1000</f>
        <v>4.3599848967628324E-4</v>
      </c>
      <c r="N45" s="2" t="s">
        <v>34</v>
      </c>
    </row>
    <row r="46" spans="1:14" ht="15.6" x14ac:dyDescent="0.35">
      <c r="A46" s="1" t="s">
        <v>33</v>
      </c>
      <c r="H46" s="1"/>
      <c r="I46" s="8"/>
      <c r="K46" s="11">
        <f>(K23-K$31-K$32-2*K$36-3*K$37)/1000</f>
        <v>-0.54601599999999983</v>
      </c>
      <c r="L46" s="11">
        <f>SQRT(L26^2+L$31^2+L$32^2+2*L$36^2+3*L$37^2)/1000</f>
        <v>6.0426282361237497E-4</v>
      </c>
      <c r="N46" s="2" t="s">
        <v>35</v>
      </c>
    </row>
    <row r="47" spans="1:14" x14ac:dyDescent="0.25">
      <c r="A47" s="2"/>
      <c r="K47" s="2"/>
    </row>
    <row r="48" spans="1:14" ht="15.6" x14ac:dyDescent="0.25">
      <c r="A48" s="2" t="s">
        <v>16</v>
      </c>
      <c r="E48">
        <v>-553.54</v>
      </c>
      <c r="F48">
        <v>1.2</v>
      </c>
      <c r="H48">
        <v>-542.83000000000004</v>
      </c>
      <c r="I48">
        <v>1.2</v>
      </c>
      <c r="K48" s="2" t="s">
        <v>11</v>
      </c>
    </row>
    <row r="49" spans="1:14" ht="15.6" x14ac:dyDescent="0.25">
      <c r="A49" s="2" t="s">
        <v>18</v>
      </c>
      <c r="E49">
        <v>-454.8</v>
      </c>
      <c r="F49">
        <v>1.67</v>
      </c>
      <c r="H49">
        <v>-466.85</v>
      </c>
      <c r="I49">
        <v>0.84</v>
      </c>
      <c r="K49" s="2" t="s">
        <v>11</v>
      </c>
    </row>
    <row r="50" spans="1:14" ht="16.8" x14ac:dyDescent="0.35">
      <c r="A50" s="2" t="s">
        <v>19</v>
      </c>
      <c r="E50">
        <v>-527.9</v>
      </c>
      <c r="F50">
        <v>0.12</v>
      </c>
      <c r="H50">
        <v>-677.14</v>
      </c>
      <c r="I50">
        <v>0.12</v>
      </c>
      <c r="K50" s="2" t="s">
        <v>11</v>
      </c>
    </row>
    <row r="51" spans="1:14" x14ac:dyDescent="0.25">
      <c r="A51" s="2"/>
      <c r="K51" s="2"/>
    </row>
    <row r="52" spans="1:14" ht="15.6" x14ac:dyDescent="0.25">
      <c r="A52" s="2" t="s">
        <v>16</v>
      </c>
      <c r="E52">
        <v>-553.6</v>
      </c>
      <c r="H52" s="7">
        <v>-543</v>
      </c>
      <c r="I52" s="7">
        <v>1</v>
      </c>
      <c r="K52" s="2" t="s">
        <v>10</v>
      </c>
    </row>
    <row r="53" spans="1:14" ht="15.6" x14ac:dyDescent="0.25">
      <c r="A53" s="2" t="s">
        <v>18</v>
      </c>
      <c r="E53">
        <v>-455.4</v>
      </c>
      <c r="F53">
        <v>0.6</v>
      </c>
      <c r="H53" s="7">
        <v>-467</v>
      </c>
      <c r="I53">
        <v>0.6</v>
      </c>
      <c r="K53" s="2" t="s">
        <v>10</v>
      </c>
    </row>
    <row r="54" spans="1:14" ht="16.8" x14ac:dyDescent="0.35">
      <c r="A54" s="2" t="s">
        <v>19</v>
      </c>
      <c r="K54" s="2" t="s">
        <v>10</v>
      </c>
    </row>
    <row r="55" spans="1:14" x14ac:dyDescent="0.25">
      <c r="A55" s="2"/>
      <c r="K55" s="2"/>
    </row>
    <row r="56" spans="1:14" ht="15.6" x14ac:dyDescent="0.25">
      <c r="A56" s="2" t="s">
        <v>16</v>
      </c>
      <c r="E56">
        <v>-553.58000000000004</v>
      </c>
      <c r="H56">
        <v>-542.83000000000004</v>
      </c>
      <c r="K56" s="2" t="s">
        <v>36</v>
      </c>
    </row>
    <row r="57" spans="1:14" ht="15.6" x14ac:dyDescent="0.25">
      <c r="A57" s="2" t="s">
        <v>18</v>
      </c>
      <c r="E57">
        <v>-454.8</v>
      </c>
      <c r="H57">
        <v>-466.85</v>
      </c>
      <c r="K57" s="2" t="s">
        <v>36</v>
      </c>
    </row>
    <row r="58" spans="1:14" ht="16.8" x14ac:dyDescent="0.35">
      <c r="A58" s="2" t="s">
        <v>19</v>
      </c>
      <c r="E58">
        <v>-527.80999999999995</v>
      </c>
      <c r="H58">
        <v>-677.14</v>
      </c>
      <c r="K58" s="2" t="s">
        <v>36</v>
      </c>
    </row>
    <row r="59" spans="1:14" x14ac:dyDescent="0.25">
      <c r="A59" s="2"/>
    </row>
    <row r="60" spans="1:14" ht="15.6" x14ac:dyDescent="0.35">
      <c r="E60" s="3" t="s">
        <v>37</v>
      </c>
      <c r="F60" s="4" t="s">
        <v>3</v>
      </c>
      <c r="H60" s="3" t="s">
        <v>38</v>
      </c>
      <c r="I60" s="4" t="s">
        <v>3</v>
      </c>
    </row>
    <row r="61" spans="1:14" ht="16.2" x14ac:dyDescent="0.3">
      <c r="E61" s="3" t="s">
        <v>7</v>
      </c>
      <c r="F61" s="6"/>
      <c r="H61" s="3" t="s">
        <v>7</v>
      </c>
    </row>
    <row r="62" spans="1:14" ht="13.8" x14ac:dyDescent="0.3">
      <c r="E62" s="3"/>
      <c r="F62" s="6"/>
      <c r="H62" s="3"/>
    </row>
    <row r="63" spans="1:14" ht="16.8" x14ac:dyDescent="0.35">
      <c r="A63" s="1" t="s">
        <v>39</v>
      </c>
      <c r="E63" s="1">
        <f>E$56+E$57+2*E$58-E22</f>
        <v>97.300000000000182</v>
      </c>
      <c r="H63" s="1">
        <f>H$56+H$57+2*H$58-H22</f>
        <v>-39.460000000000036</v>
      </c>
      <c r="K63" s="2" t="s">
        <v>10</v>
      </c>
      <c r="N63" s="2" t="s">
        <v>36</v>
      </c>
    </row>
    <row r="64" spans="1:14" ht="16.8" x14ac:dyDescent="0.35">
      <c r="A64" s="1" t="s">
        <v>39</v>
      </c>
      <c r="E64" s="1">
        <f>E$56+E$57+2*E$58-E23</f>
        <v>97.672000000000025</v>
      </c>
      <c r="H64" s="1">
        <f>H$56+H$57+2*H$58-H23</f>
        <v>-39.480000000000018</v>
      </c>
      <c r="K64" s="2" t="s">
        <v>11</v>
      </c>
      <c r="N64" s="2" t="s">
        <v>36</v>
      </c>
    </row>
    <row r="65" spans="1:14" ht="16.8" x14ac:dyDescent="0.35">
      <c r="A65" s="1" t="s">
        <v>40</v>
      </c>
      <c r="E65" s="1">
        <f>E$56+E$57+2*E$58-E24</f>
        <v>103.22832000000017</v>
      </c>
      <c r="H65" s="1">
        <f>H$56+H$57+2*H$58-H24</f>
        <v>-34.095416000000114</v>
      </c>
      <c r="K65" s="2" t="s">
        <v>13</v>
      </c>
      <c r="N65" s="2" t="s">
        <v>36</v>
      </c>
    </row>
    <row r="66" spans="1:14" ht="16.8" x14ac:dyDescent="0.35">
      <c r="A66" s="1" t="s">
        <v>41</v>
      </c>
      <c r="E66" s="1">
        <f>E$56+E$57+2*E$58-E25</f>
        <v>94.412632000000485</v>
      </c>
      <c r="H66" s="1">
        <f>H$56+H$57+2*H$58-H25</f>
        <v>-46.341984000000139</v>
      </c>
      <c r="K66" s="2" t="s">
        <v>13</v>
      </c>
      <c r="N66" s="2" t="s">
        <v>36</v>
      </c>
    </row>
    <row r="67" spans="1:14" x14ac:dyDescent="0.25">
      <c r="A67" s="1"/>
      <c r="E67" s="1"/>
      <c r="H67" s="1"/>
      <c r="K67" s="2"/>
      <c r="N67" s="2"/>
    </row>
    <row r="68" spans="1:14" ht="16.8" x14ac:dyDescent="0.35">
      <c r="A68" s="1" t="s">
        <v>39</v>
      </c>
      <c r="E68" s="11">
        <f>E$28+E$29+2*E$30-E44</f>
        <v>97.704329600000165</v>
      </c>
      <c r="F68" s="13">
        <f>SQRT(F44^2+F$28^2+F$29^2+2*F$30^2)</f>
        <v>2.0964930173549372</v>
      </c>
      <c r="H68" s="11">
        <f>H$28+H$29+2*H$30-H44</f>
        <v>-35.980000000000018</v>
      </c>
      <c r="I68" s="12">
        <f>SQRT(I44^2+I$28^2+I$29^2+2*I$30^2)</f>
        <v>1.630613381522426</v>
      </c>
      <c r="K68" s="2" t="s">
        <v>32</v>
      </c>
      <c r="N68" s="2"/>
    </row>
    <row r="69" spans="1:14" ht="16.8" x14ac:dyDescent="0.35">
      <c r="A69" s="1" t="s">
        <v>39</v>
      </c>
      <c r="E69" s="1">
        <f>E$28+E$29+2*E$30-E22</f>
        <v>97.319000000000415</v>
      </c>
      <c r="F69" s="9">
        <f>SQRT(F22^2+F$28^2+F$29^2+2*F$30^2)</f>
        <v>2.4655476065166537</v>
      </c>
      <c r="H69" s="1">
        <f>H$28+H$29+2*H$30-H22</f>
        <v>-35.960000000000036</v>
      </c>
      <c r="I69" s="8">
        <f>SQRT(I22^2+I$28^2+I$29^2+2*I$30^2)</f>
        <v>1.9326148090087687</v>
      </c>
      <c r="K69" s="2" t="s">
        <v>10</v>
      </c>
      <c r="N69" s="2" t="s">
        <v>17</v>
      </c>
    </row>
    <row r="70" spans="1:14" ht="16.8" x14ac:dyDescent="0.35">
      <c r="A70" s="1" t="s">
        <v>39</v>
      </c>
      <c r="E70" s="1">
        <f>E$28+E$29+2*E$30-E23</f>
        <v>97.691000000000258</v>
      </c>
      <c r="F70" s="9">
        <f>SQRT(F23^2+F28^2+F29^2+2*F30^2)</f>
        <v>2.4449590998624084</v>
      </c>
      <c r="H70" s="1">
        <f>H$28+H$29+2*H$30-H23</f>
        <v>-35.980000000000018</v>
      </c>
      <c r="I70" s="8">
        <f>SQRT(I23^2+I28^2+I29^2+2*I30^2)</f>
        <v>1.9017360489826129</v>
      </c>
      <c r="K70" s="2" t="s">
        <v>11</v>
      </c>
      <c r="N70" s="2" t="s">
        <v>17</v>
      </c>
    </row>
    <row r="71" spans="1:14" ht="16.8" x14ac:dyDescent="0.35">
      <c r="A71" s="1" t="s">
        <v>40</v>
      </c>
      <c r="E71" s="1">
        <f>E$28+E$29+2*E$30-E24</f>
        <v>103.2473200000004</v>
      </c>
      <c r="H71" s="1">
        <f>H$28+H$29+2*H$30-H24</f>
        <v>-30.595416000000114</v>
      </c>
      <c r="K71" s="2" t="s">
        <v>13</v>
      </c>
      <c r="N71" s="2" t="s">
        <v>17</v>
      </c>
    </row>
    <row r="72" spans="1:14" ht="16.8" x14ac:dyDescent="0.35">
      <c r="A72" s="1" t="s">
        <v>41</v>
      </c>
      <c r="E72" s="1">
        <f>E$28+E$29+2*E$30-E25</f>
        <v>94.431632000000718</v>
      </c>
      <c r="H72" s="1">
        <f>H$28+H$29+2*H$30-H25</f>
        <v>-42.841984000000139</v>
      </c>
      <c r="K72" s="2" t="s">
        <v>13</v>
      </c>
      <c r="N72" s="2" t="s">
        <v>17</v>
      </c>
    </row>
    <row r="73" spans="1:14" x14ac:dyDescent="0.25">
      <c r="A73" s="1"/>
      <c r="E73" s="1"/>
      <c r="H73" s="1"/>
      <c r="K73" s="2"/>
      <c r="N73" s="2"/>
    </row>
    <row r="74" spans="1:14" ht="15.6" x14ac:dyDescent="0.25">
      <c r="A74" t="s">
        <v>42</v>
      </c>
      <c r="B74">
        <v>8.3145100000000007E-3</v>
      </c>
      <c r="C74" s="2" t="s">
        <v>43</v>
      </c>
    </row>
    <row r="75" spans="1:14" x14ac:dyDescent="0.25">
      <c r="A75" t="s">
        <v>44</v>
      </c>
      <c r="B75">
        <v>298.14999999999998</v>
      </c>
      <c r="C75" s="2" t="s">
        <v>45</v>
      </c>
    </row>
    <row r="76" spans="1:14" x14ac:dyDescent="0.25">
      <c r="A76" t="s">
        <v>46</v>
      </c>
      <c r="B76">
        <f>LN(10)</f>
        <v>2.3025850929940459</v>
      </c>
    </row>
    <row r="78" spans="1:14" x14ac:dyDescent="0.25">
      <c r="A78" t="s">
        <v>47</v>
      </c>
      <c r="B78">
        <f>B74*B75*B76</f>
        <v>5.7080420309191107</v>
      </c>
    </row>
    <row r="80" spans="1:14" x14ac:dyDescent="0.25">
      <c r="C80" s="1" t="s">
        <v>48</v>
      </c>
      <c r="D80" s="1">
        <f>-E63/B$78</f>
        <v>-17.046125356637031</v>
      </c>
      <c r="K80" s="2" t="s">
        <v>10</v>
      </c>
      <c r="N80" s="2" t="s">
        <v>36</v>
      </c>
    </row>
    <row r="81" spans="3:14" x14ac:dyDescent="0.25">
      <c r="C81" s="1" t="s">
        <v>48</v>
      </c>
      <c r="D81" s="1">
        <f>-E64/B$78</f>
        <v>-17.111296565605851</v>
      </c>
      <c r="K81" s="2" t="s">
        <v>11</v>
      </c>
      <c r="N81" s="2" t="s">
        <v>36</v>
      </c>
    </row>
    <row r="82" spans="3:14" x14ac:dyDescent="0.25">
      <c r="C82" s="1" t="s">
        <v>48</v>
      </c>
      <c r="D82" s="1">
        <f>-E65/B$78</f>
        <v>-18.08471616726661</v>
      </c>
      <c r="K82" s="2" t="s">
        <v>13</v>
      </c>
      <c r="N82" s="2" t="s">
        <v>36</v>
      </c>
    </row>
    <row r="83" spans="3:14" x14ac:dyDescent="0.25">
      <c r="C83" s="1" t="s">
        <v>48</v>
      </c>
      <c r="D83" s="1">
        <f>-E66/B$78</f>
        <v>-16.54028325099739</v>
      </c>
      <c r="K83" s="2" t="s">
        <v>13</v>
      </c>
      <c r="N83" s="2" t="s">
        <v>36</v>
      </c>
    </row>
    <row r="84" spans="3:14" x14ac:dyDescent="0.25">
      <c r="F84">
        <f>-(E$69-F$69)/B$78</f>
        <v>-16.617511202560369</v>
      </c>
    </row>
    <row r="85" spans="3:14" ht="13.8" x14ac:dyDescent="0.3">
      <c r="C85" s="1" t="s">
        <v>48</v>
      </c>
      <c r="D85" s="1">
        <f>-E$69/B$78</f>
        <v>-17.049453993654296</v>
      </c>
      <c r="E85" s="5">
        <f>(F84-F86)/2</f>
        <v>0.43194279109392753</v>
      </c>
      <c r="F85" s="4" t="s">
        <v>3</v>
      </c>
      <c r="K85" s="2" t="s">
        <v>10</v>
      </c>
      <c r="N85" s="2" t="s">
        <v>17</v>
      </c>
    </row>
    <row r="86" spans="3:14" x14ac:dyDescent="0.25">
      <c r="C86" s="1" t="s">
        <v>48</v>
      </c>
      <c r="D86" s="1">
        <f>-E70/B$78</f>
        <v>-17.114625202623117</v>
      </c>
      <c r="F86">
        <f>-(E$69+F$69)/B$78</f>
        <v>-17.481396784748224</v>
      </c>
      <c r="K86" s="2" t="s">
        <v>11</v>
      </c>
      <c r="N86" s="2" t="s">
        <v>17</v>
      </c>
    </row>
    <row r="87" spans="3:14" x14ac:dyDescent="0.25">
      <c r="C87" s="1" t="s">
        <v>48</v>
      </c>
      <c r="D87" s="1">
        <f>-E71/B$78</f>
        <v>-18.088044804283875</v>
      </c>
      <c r="K87" s="2" t="s">
        <v>13</v>
      </c>
      <c r="N87" s="2" t="s">
        <v>17</v>
      </c>
    </row>
    <row r="88" spans="3:14" x14ac:dyDescent="0.25">
      <c r="C88" s="1" t="s">
        <v>48</v>
      </c>
      <c r="D88" s="1">
        <f>-E72/B$78</f>
        <v>-16.543611888014656</v>
      </c>
      <c r="K88" s="2" t="s">
        <v>13</v>
      </c>
      <c r="N88" s="2" t="s">
        <v>17</v>
      </c>
    </row>
    <row r="90" spans="3:14" x14ac:dyDescent="0.25">
      <c r="F90">
        <f>-(E$68-F$68)/B$78</f>
        <v>-16.749672841363157</v>
      </c>
    </row>
    <row r="91" spans="3:14" ht="13.8" x14ac:dyDescent="0.3">
      <c r="C91" s="1" t="s">
        <v>48</v>
      </c>
      <c r="D91" s="11">
        <f>-E$68/B$78</f>
        <v>-17.11696043420125</v>
      </c>
      <c r="E91" s="14">
        <f>(F90-F92)/2</f>
        <v>0.36728759283809254</v>
      </c>
      <c r="F91" s="4" t="s">
        <v>3</v>
      </c>
      <c r="K91" s="2" t="s">
        <v>32</v>
      </c>
    </row>
    <row r="92" spans="3:14" x14ac:dyDescent="0.25">
      <c r="F92">
        <f>-(E$68+F$68)/B$78</f>
        <v>-17.484248027039342</v>
      </c>
    </row>
  </sheetData>
  <hyperlinks>
    <hyperlink ref="B9" r:id="rId1" xr:uid="{72E49B48-BE46-411A-89B5-2B1930C3C150}"/>
    <hyperlink ref="B11" r:id="rId2" xr:uid="{4C2D4AA1-9B9D-4EFE-8C5D-A9A1CFDBDABE}"/>
    <hyperlink ref="B13" r:id="rId3" xr:uid="{51CECD33-AF17-4A8B-9D50-E69C8FE39241}"/>
    <hyperlink ref="B14" r:id="rId4" xr:uid="{2F4EC1E3-5287-41ED-8D65-99CFB22FC507}"/>
  </hyperlinks>
  <pageMargins left="0.75" right="0.75" top="1" bottom="1" header="0.5" footer="0.5"/>
  <pageSetup paperSize="9" orientation="portrait" horizontalDpi="300" r:id="rId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Dolomite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2023-11-30T15:12:41Z</dcterms:modified>
</cp:coreProperties>
</file>