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05F4AC6D-D1BB-4658-BE15-7A05D52928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SO4" sheetId="1" r:id="rId1"/>
  </sheets>
  <definedNames>
    <definedName name="_Regression_Out" hidden="1">CaSO4!$B$71:$B$71</definedName>
    <definedName name="_Regression_X" hidden="1">CaSO4!$E$66:$E$68</definedName>
    <definedName name="_Regression_Y" hidden="1">CaSO4!$F$66:$F$68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D43" i="1"/>
  <c r="D42" i="1"/>
  <c r="B74" i="1"/>
  <c r="C74" i="1" s="1"/>
  <c r="B73" i="1"/>
  <c r="C73" i="1" s="1"/>
  <c r="B72" i="1"/>
  <c r="F72" i="1" s="1"/>
  <c r="B19" i="1"/>
  <c r="B21" i="1" s="1"/>
  <c r="I27" i="1"/>
  <c r="K27" i="1" s="1"/>
  <c r="J27" i="1"/>
  <c r="L27" i="1" s="1"/>
  <c r="M27" i="1"/>
  <c r="N27" i="1"/>
  <c r="O27" i="1"/>
  <c r="P27" i="1"/>
  <c r="I28" i="1"/>
  <c r="K28" i="1" s="1"/>
  <c r="J28" i="1"/>
  <c r="L28" i="1" s="1"/>
  <c r="M28" i="1"/>
  <c r="N28" i="1"/>
  <c r="O28" i="1"/>
  <c r="P28" i="1"/>
  <c r="I29" i="1"/>
  <c r="K29" i="1" s="1"/>
  <c r="J29" i="1"/>
  <c r="L29" i="1" s="1"/>
  <c r="M29" i="1"/>
  <c r="N29" i="1"/>
  <c r="O29" i="1"/>
  <c r="P29" i="1"/>
  <c r="I30" i="1"/>
  <c r="K30" i="1" s="1"/>
  <c r="J30" i="1"/>
  <c r="L30" i="1" s="1"/>
  <c r="M30" i="1"/>
  <c r="N30" i="1"/>
  <c r="O30" i="1"/>
  <c r="P30" i="1"/>
  <c r="I32" i="1"/>
  <c r="K32" i="1" s="1"/>
  <c r="J32" i="1"/>
  <c r="L32" i="1" s="1"/>
  <c r="M32" i="1"/>
  <c r="N32" i="1"/>
  <c r="O32" i="1"/>
  <c r="P32" i="1"/>
  <c r="I33" i="1"/>
  <c r="K33" i="1" s="1"/>
  <c r="J33" i="1"/>
  <c r="L33" i="1" s="1"/>
  <c r="M33" i="1"/>
  <c r="N33" i="1"/>
  <c r="O33" i="1"/>
  <c r="P33" i="1"/>
  <c r="I34" i="1"/>
  <c r="K34" i="1" s="1"/>
  <c r="J34" i="1"/>
  <c r="L34" i="1" s="1"/>
  <c r="M34" i="1"/>
  <c r="N34" i="1"/>
  <c r="O34" i="1"/>
  <c r="P34" i="1"/>
  <c r="I35" i="1"/>
  <c r="K35" i="1" s="1"/>
  <c r="J35" i="1"/>
  <c r="L35" i="1" s="1"/>
  <c r="M35" i="1"/>
  <c r="N35" i="1"/>
  <c r="O35" i="1"/>
  <c r="P35" i="1"/>
  <c r="D37" i="1"/>
  <c r="J37" i="1" s="1"/>
  <c r="L37" i="1" s="1"/>
  <c r="H37" i="1"/>
  <c r="I37" i="1"/>
  <c r="K37" i="1" s="1"/>
  <c r="M37" i="1"/>
  <c r="O37" i="1"/>
  <c r="B51" i="1"/>
  <c r="B52" i="1"/>
  <c r="E52" i="1" s="1"/>
  <c r="B53" i="1"/>
  <c r="C53" i="1" s="1"/>
  <c r="B54" i="1"/>
  <c r="C54" i="1" s="1"/>
  <c r="B55" i="1"/>
  <c r="E55" i="1" s="1"/>
  <c r="B56" i="1"/>
  <c r="B57" i="1"/>
  <c r="C57" i="1" s="1"/>
  <c r="B58" i="1"/>
  <c r="C58" i="1" s="1"/>
  <c r="B59" i="1"/>
  <c r="E59" i="1" s="1"/>
  <c r="B60" i="1"/>
  <c r="E60" i="1" s="1"/>
  <c r="B61" i="1"/>
  <c r="D61" i="1" s="1"/>
  <c r="B62" i="1"/>
  <c r="C62" i="1" s="1"/>
  <c r="B63" i="1"/>
  <c r="C63" i="1" s="1"/>
  <c r="B64" i="1"/>
  <c r="E64" i="1" s="1"/>
  <c r="B65" i="1"/>
  <c r="D65" i="1" s="1"/>
  <c r="B66" i="1"/>
  <c r="C66" i="1" s="1"/>
  <c r="B67" i="1"/>
  <c r="E67" i="1" s="1"/>
  <c r="B68" i="1"/>
  <c r="E68" i="1" s="1"/>
  <c r="B69" i="1"/>
  <c r="D69" i="1" s="1"/>
  <c r="B70" i="1"/>
  <c r="C70" i="1" s="1"/>
  <c r="B71" i="1"/>
  <c r="C71" i="1" s="1"/>
  <c r="F71" i="1"/>
  <c r="C61" i="1" l="1"/>
  <c r="E58" i="1"/>
  <c r="E51" i="1"/>
  <c r="D51" i="1"/>
  <c r="E56" i="1"/>
  <c r="C56" i="1"/>
  <c r="F63" i="1"/>
  <c r="E54" i="1"/>
  <c r="C69" i="1"/>
  <c r="C51" i="1"/>
  <c r="F67" i="1"/>
  <c r="F64" i="1"/>
  <c r="F59" i="1"/>
  <c r="D67" i="1"/>
  <c r="F65" i="1"/>
  <c r="D64" i="1"/>
  <c r="D59" i="1"/>
  <c r="F70" i="1"/>
  <c r="C68" i="1"/>
  <c r="C67" i="1"/>
  <c r="C65" i="1"/>
  <c r="C64" i="1"/>
  <c r="F62" i="1"/>
  <c r="C60" i="1"/>
  <c r="C59" i="1"/>
  <c r="D72" i="1"/>
  <c r="F51" i="1"/>
  <c r="F55" i="1"/>
  <c r="F52" i="1"/>
  <c r="D55" i="1"/>
  <c r="D52" i="1"/>
  <c r="C55" i="1"/>
  <c r="F53" i="1"/>
  <c r="C52" i="1"/>
  <c r="E71" i="1"/>
  <c r="E63" i="1"/>
  <c r="D71" i="1"/>
  <c r="F68" i="1"/>
  <c r="D63" i="1"/>
  <c r="F60" i="1"/>
  <c r="F69" i="1"/>
  <c r="D68" i="1"/>
  <c r="F66" i="1"/>
  <c r="F61" i="1"/>
  <c r="D60" i="1"/>
  <c r="F58" i="1"/>
  <c r="D56" i="1"/>
  <c r="F54" i="1"/>
  <c r="E66" i="1"/>
  <c r="F57" i="1"/>
  <c r="D70" i="1"/>
  <c r="D66" i="1"/>
  <c r="D62" i="1"/>
  <c r="E61" i="1"/>
  <c r="E57" i="1"/>
  <c r="D54" i="1"/>
  <c r="E53" i="1"/>
  <c r="E70" i="1"/>
  <c r="E62" i="1"/>
  <c r="E69" i="1"/>
  <c r="E65" i="1"/>
  <c r="D58" i="1"/>
  <c r="F56" i="1"/>
  <c r="D57" i="1"/>
  <c r="D53" i="1"/>
  <c r="F73" i="1"/>
  <c r="F74" i="1"/>
  <c r="E74" i="1"/>
  <c r="D74" i="1"/>
  <c r="E73" i="1"/>
  <c r="D73" i="1"/>
  <c r="C72" i="1"/>
  <c r="E72" i="1"/>
</calcChain>
</file>

<file path=xl/sharedStrings.xml><?xml version="1.0" encoding="utf-8"?>
<sst xmlns="http://schemas.openxmlformats.org/spreadsheetml/2006/main" count="74" uniqueCount="50">
  <si>
    <t>Brown et al. (2019)</t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</si>
  <si>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</si>
  <si>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</si>
  <si>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</si>
  <si>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</si>
  <si>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</si>
  <si>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</si>
  <si>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r>
      <t>MXO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>(s) = M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XO</t>
    </r>
    <r>
      <rPr>
        <vertAlign val="subscript"/>
        <sz val="10"/>
        <rFont val="Arial"/>
        <family val="2"/>
      </rPr>
      <t>n</t>
    </r>
    <r>
      <rPr>
        <vertAlign val="superscript"/>
        <sz val="10"/>
        <rFont val="Arial"/>
        <family val="2"/>
      </rPr>
      <t>2-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</si>
  <si>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H</t>
    </r>
    <r>
      <rPr>
        <sz val="10"/>
        <rFont val="Calibri"/>
        <family val="2"/>
      </rPr>
      <t>°/(ln(10) R)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</si>
  <si>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S</t>
    </r>
    <r>
      <rPr>
        <sz val="10"/>
        <rFont val="Calibri"/>
        <family val="2"/>
      </rPr>
      <t>°/(ln(10) R)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</si>
  <si>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p</t>
    </r>
    <r>
      <rPr>
        <sz val="10"/>
        <rFont val="Calibri"/>
        <family val="2"/>
      </rPr>
      <t>°/(ln(10) R)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</si>
  <si>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°/(ln(10) R)</t>
    </r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</si>
  <si>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K</t>
    </r>
    <r>
      <rPr>
        <b/>
        <vertAlign val="subscript"/>
        <sz val="10"/>
        <rFont val="Arial"/>
        <family val="2"/>
      </rPr>
      <t>s</t>
    </r>
    <r>
      <rPr>
        <b/>
        <sz val="10"/>
        <rFont val="Calibri"/>
        <family val="2"/>
      </rPr>
      <t>°</t>
    </r>
  </si>
  <si>
    <r>
      <rPr>
        <b/>
        <sz val="10"/>
        <rFont val="Symbol"/>
        <family val="1"/>
        <charset val="2"/>
      </rPr>
      <t>D</t>
    </r>
    <r>
      <rPr>
        <b/>
        <vertAlign val="subscript"/>
        <sz val="10"/>
        <rFont val="Arial"/>
        <family val="2"/>
      </rPr>
      <t>r</t>
    </r>
    <r>
      <rPr>
        <b/>
        <sz val="10"/>
        <rFont val="Arial"/>
        <family val="2"/>
      </rPr>
      <t>H</t>
    </r>
    <r>
      <rPr>
        <b/>
        <sz val="10"/>
        <rFont val="Calibri"/>
        <family val="2"/>
      </rPr>
      <t>°</t>
    </r>
  </si>
  <si>
    <r>
      <rPr>
        <b/>
        <sz val="10"/>
        <rFont val="Symbol"/>
        <family val="1"/>
        <charset val="2"/>
      </rPr>
      <t>D</t>
    </r>
    <r>
      <rPr>
        <b/>
        <vertAlign val="subscript"/>
        <sz val="10"/>
        <rFont val="Arial"/>
        <family val="2"/>
      </rPr>
      <t>r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p</t>
    </r>
    <r>
      <rPr>
        <b/>
        <sz val="10"/>
        <rFont val="Calibri"/>
        <family val="2"/>
      </rPr>
      <t>°</t>
    </r>
  </si>
  <si>
    <r>
      <t xml:space="preserve">kJ </t>
    </r>
    <r>
      <rPr>
        <sz val="10"/>
        <rFont val="Symbol"/>
        <family val="1"/>
        <charset val="2"/>
      </rPr>
      <t>×</t>
    </r>
    <r>
      <rPr>
        <sz val="10"/>
        <rFont val="Arial"/>
        <family val="2"/>
      </rPr>
      <t xml:space="preserve"> mol</t>
    </r>
    <r>
      <rPr>
        <vertAlign val="superscript"/>
        <sz val="10"/>
        <rFont val="Arial"/>
        <family val="2"/>
      </rPr>
      <t>-1</t>
    </r>
  </si>
  <si>
    <r>
      <t xml:space="preserve">J </t>
    </r>
    <r>
      <rPr>
        <sz val="10"/>
        <rFont val="Symbol"/>
        <family val="1"/>
        <charset val="2"/>
      </rPr>
      <t>×</t>
    </r>
    <r>
      <rPr>
        <sz val="10"/>
        <rFont val="Arial"/>
        <family val="2"/>
      </rPr>
      <t xml:space="preserve">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×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</si>
  <si>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r>
      <t>CaSO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(s)</t>
    </r>
  </si>
  <si>
    <r>
      <t>SrSO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(s)</t>
    </r>
  </si>
  <si>
    <r>
      <t>BaSO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(s)</t>
    </r>
  </si>
  <si>
    <r>
      <t>RaSO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(s)</t>
    </r>
  </si>
  <si>
    <r>
      <t>MgCO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</t>
    </r>
  </si>
  <si>
    <r>
      <t>CaCO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</t>
    </r>
  </si>
  <si>
    <r>
      <t>SrCO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</t>
    </r>
  </si>
  <si>
    <r>
      <t>BaCO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</t>
    </r>
  </si>
  <si>
    <r>
      <t>RaCO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</t>
    </r>
  </si>
  <si>
    <t>Gypsum</t>
  </si>
  <si>
    <t>Langmuir &amp; Melchior (1985)</t>
  </si>
  <si>
    <t>Anhydrite</t>
  </si>
  <si>
    <t>gypsum</t>
  </si>
  <si>
    <t>anhydrite</t>
  </si>
  <si>
    <t>log K</t>
  </si>
  <si>
    <r>
      <t>log K(T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)</t>
    </r>
  </si>
  <si>
    <r>
      <rPr>
        <sz val="10"/>
        <rFont val="Calibri"/>
        <family val="2"/>
      </rPr>
      <t>[°</t>
    </r>
    <r>
      <rPr>
        <sz val="10"/>
        <rFont val="Arial"/>
      </rPr>
      <t>C]</t>
    </r>
  </si>
  <si>
    <t>[K]</t>
  </si>
  <si>
    <r>
      <t xml:space="preserve">kJ </t>
    </r>
    <r>
      <rPr>
        <sz val="10"/>
        <rFont val="Symbol"/>
        <family val="1"/>
        <charset val="2"/>
      </rPr>
      <t>×</t>
    </r>
    <r>
      <rPr>
        <sz val="10"/>
        <rFont val="Arial"/>
        <family val="2"/>
      </rPr>
      <t xml:space="preserve"> mol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×</t>
    </r>
    <r>
      <rPr>
        <sz val="10"/>
        <rFont val="Arial"/>
        <family val="2"/>
      </rPr>
      <t xml:space="preserve"> K</t>
    </r>
    <r>
      <rPr>
        <vertAlign val="superscript"/>
        <sz val="10"/>
        <rFont val="Arial"/>
        <family val="2"/>
      </rPr>
      <t>-1</t>
    </r>
  </si>
  <si>
    <t>Hummel W. &amp; Thoenen T. (2023): The PSI Chemical Thermodynamic Database 2020 (TDB 2020), Nagra Technical Report NTB 21-03</t>
  </si>
  <si>
    <t>References</t>
  </si>
  <si>
    <t>1990NOR/PLU</t>
  </si>
  <si>
    <t>Nordstrom, D.K., Plummer, L.N., Langmuir, D., Busenberg, E., May, H.M., Jones, B.F. &amp; Parkhurst, D.L. (1990): Revised Chemical Equilibrium Data for Major Water-Mineral Reactions and Their Limitations. In: Melchior, D.C., and Bassett, R.L. (eds.): Chemical Modeling of Aqueous Systems II. Washington, D.C., American Chemical Society, ACS Symposium Series 416, p. 398–413.</t>
  </si>
  <si>
    <t>2019BRO/EKB</t>
  </si>
  <si>
    <t>Brown, P.L., Ekberg, C. &amp; Matyskin, A.V. (2019): On the solubility of radium and other alkaline earth sulfate and carbonate phases at elevated temperature. Geochim. Cosmochim. Acta, 255, 88–104.</t>
  </si>
  <si>
    <t>Chapter 4.2.7.2 Calcium(II) sulphate compounds</t>
  </si>
  <si>
    <t>Langmuir, D. &amp; Melchior, D. (1985): The geochemistry of Ca, Sr, Ba and Ra sulfates in some deep brines from the Palo Duro Basin, Texas. Geochim. Cosmochim. Acta, 49, 2423–2432.</t>
  </si>
  <si>
    <t>1985LAN/MEL</t>
  </si>
  <si>
    <t>Nordstrom et al. (1990)</t>
  </si>
  <si>
    <t>Comparison of gypsum and anhydrite solubility temperature functions reported by Langmuir &amp; Melchior (1985), Nordstrom et al. (1990) and Brown et al. (2019)</t>
  </si>
  <si>
    <t>doi:10.1016/0016-7037(85)90242-X</t>
  </si>
  <si>
    <t>doi:10.1021/bk-1990-0416.ch031</t>
  </si>
  <si>
    <t>doi:10.1016/j.gca.2019.04.009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</si>
</sst>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3" x14ac:knownFonts="1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name val="Calibri"/>
      <family val="2"/>
    </font>
    <font>
      <b/>
      <sz val="9"/>
      <name val="Times New Roman"/>
      <family val="1"/>
    </font>
    <font>
      <b/>
      <sz val="10"/>
      <color rgb="FFFF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2"/>
  </cellXfs>
  <cellStyles count="3">
    <cellStyle name="Enllaç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089466089471E-2"/>
          <c:y val="2.9045643153526972E-2"/>
          <c:w val="0.87301587301587302"/>
          <c:h val="0.89834024896265563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CaSO4!$A$51:$A$74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59.5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125</c:v>
                </c:pt>
                <c:pt idx="23">
                  <c:v>150</c:v>
                </c:pt>
              </c:numCache>
            </c:numRef>
          </c:xVal>
          <c:yVal>
            <c:numRef>
              <c:f>CaSO4!$C$51:$C$74</c:f>
              <c:numCache>
                <c:formatCode>0.0000</c:formatCode>
                <c:ptCount val="24"/>
                <c:pt idx="0">
                  <c:v>-4.6166152298752507</c:v>
                </c:pt>
                <c:pt idx="1">
                  <c:v>-4.6020491365001135</c:v>
                </c:pt>
                <c:pt idx="2">
                  <c:v>-4.5914527270749943</c:v>
                </c:pt>
                <c:pt idx="3">
                  <c:v>-4.5845593927509967</c:v>
                </c:pt>
                <c:pt idx="4">
                  <c:v>-4.5811227596781308</c:v>
                </c:pt>
                <c:pt idx="5">
                  <c:v>-4.5809148893494651</c:v>
                </c:pt>
                <c:pt idx="6">
                  <c:v>-4.5837246638340261</c:v>
                </c:pt>
                <c:pt idx="7">
                  <c:v>-4.5893563343472579</c:v>
                </c:pt>
                <c:pt idx="8">
                  <c:v>-4.5976282144137599</c:v>
                </c:pt>
                <c:pt idx="9">
                  <c:v>-4.6083715012795849</c:v>
                </c:pt>
                <c:pt idx="10">
                  <c:v>-4.6214292112950872</c:v>
                </c:pt>
                <c:pt idx="11">
                  <c:v>-4.6366552167652344</c:v>
                </c:pt>
                <c:pt idx="12">
                  <c:v>-4.6467745747332287</c:v>
                </c:pt>
                <c:pt idx="13">
                  <c:v>-4.6520997976631335</c:v>
                </c:pt>
                <c:pt idx="14">
                  <c:v>-4.6940268000286025</c:v>
                </c:pt>
                <c:pt idx="15">
                  <c:v>-4.7166529260170904</c:v>
                </c:pt>
                <c:pt idx="16">
                  <c:v>-4.740851663689206</c:v>
                </c:pt>
                <c:pt idx="17">
                  <c:v>-4.7665262478599715</c:v>
                </c:pt>
                <c:pt idx="18">
                  <c:v>-4.7935860935635191</c:v>
                </c:pt>
                <c:pt idx="19">
                  <c:v>-4.8219463416941295</c:v>
                </c:pt>
                <c:pt idx="20">
                  <c:v>-4.8515274430353301</c:v>
                </c:pt>
                <c:pt idx="21">
                  <c:v>-4.9140583018048218</c:v>
                </c:pt>
                <c:pt idx="22">
                  <c:v>-5.015287716035985</c:v>
                </c:pt>
                <c:pt idx="23">
                  <c:v>-5.200103006626037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A-4E84-BA60-300ED24B154F}"/>
            </c:ext>
          </c:extLst>
        </c:ser>
        <c:ser>
          <c:idx val="1"/>
          <c:order val="1"/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CaSO4!$A$51:$A$74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59.5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125</c:v>
                </c:pt>
                <c:pt idx="23">
                  <c:v>150</c:v>
                </c:pt>
              </c:numCache>
            </c:numRef>
          </c:xVal>
          <c:yVal>
            <c:numRef>
              <c:f>CaSO4!$D$51:$D$74</c:f>
              <c:numCache>
                <c:formatCode>0.0000</c:formatCode>
                <c:ptCount val="24"/>
                <c:pt idx="0">
                  <c:v>-4.366147699592176</c:v>
                </c:pt>
                <c:pt idx="1">
                  <c:v>-4.345741306550849</c:v>
                </c:pt>
                <c:pt idx="2">
                  <c:v>-4.3356833646584789</c:v>
                </c:pt>
                <c:pt idx="3">
                  <c:v>-4.3352680935481658</c:v>
                </c:pt>
                <c:pt idx="4">
                  <c:v>-4.343843564650939</c:v>
                </c:pt>
                <c:pt idx="5">
                  <c:v>-4.3608068988588116</c:v>
                </c:pt>
                <c:pt idx="6">
                  <c:v>-4.3855999583604444</c:v>
                </c:pt>
                <c:pt idx="7">
                  <c:v>-4.4177054749843876</c:v>
                </c:pt>
                <c:pt idx="8">
                  <c:v>-4.4566435648975471</c:v>
                </c:pt>
                <c:pt idx="9">
                  <c:v>-4.5019685859428193</c:v>
                </c:pt>
                <c:pt idx="10">
                  <c:v>-4.5532662994206419</c:v>
                </c:pt>
                <c:pt idx="11">
                  <c:v>-4.6101513028767442</c:v>
                </c:pt>
                <c:pt idx="12">
                  <c:v>-4.6468138669152097</c:v>
                </c:pt>
                <c:pt idx="13">
                  <c:v>-4.6658278016986969</c:v>
                </c:pt>
                <c:pt idx="14">
                  <c:v>-4.8108612242897095</c:v>
                </c:pt>
                <c:pt idx="15">
                  <c:v>-4.8867410711447974</c:v>
                </c:pt>
                <c:pt idx="16">
                  <c:v>-4.9666394424731948</c:v>
                </c:pt>
                <c:pt idx="17">
                  <c:v>-5.0503019313127595</c:v>
                </c:pt>
                <c:pt idx="18">
                  <c:v>-5.1374905130774096</c:v>
                </c:pt>
                <c:pt idx="19">
                  <c:v>-5.2279823364499691</c:v>
                </c:pt>
                <c:pt idx="20">
                  <c:v>-5.321568616663086</c:v>
                </c:pt>
                <c:pt idx="21">
                  <c:v>-5.5172537401896591</c:v>
                </c:pt>
                <c:pt idx="22">
                  <c:v>-5.8294730434077167</c:v>
                </c:pt>
                <c:pt idx="23">
                  <c:v>-6.389948183303261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A-4E84-BA60-300ED24B154F}"/>
            </c:ext>
          </c:extLst>
        </c:ser>
        <c:ser>
          <c:idx val="3"/>
          <c:order val="2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CaSO4!$A$51:$A$74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59.5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125</c:v>
                </c:pt>
                <c:pt idx="23">
                  <c:v>150</c:v>
                </c:pt>
              </c:numCache>
            </c:numRef>
          </c:xVal>
          <c:yVal>
            <c:numRef>
              <c:f>CaSO4!$F$51:$F$74</c:f>
              <c:numCache>
                <c:formatCode>0.0000</c:formatCode>
                <c:ptCount val="24"/>
                <c:pt idx="0">
                  <c:v>-4.0080639249554224</c:v>
                </c:pt>
                <c:pt idx="1">
                  <c:v>-4.0381889480638069</c:v>
                </c:pt>
                <c:pt idx="2">
                  <c:v>-4.0738311167922916</c:v>
                </c:pt>
                <c:pt idx="3">
                  <c:v>-4.1145890221986807</c:v>
                </c:pt>
                <c:pt idx="4">
                  <c:v>-4.1600925377075235</c:v>
                </c:pt>
                <c:pt idx="5">
                  <c:v>-4.21</c:v>
                </c:pt>
                <c:pt idx="6">
                  <c:v>-4.2639956818241256</c:v>
                </c:pt>
                <c:pt idx="7">
                  <c:v>-4.321787522518802</c:v>
                </c:pt>
                <c:pt idx="8">
                  <c:v>-4.3831050865149788</c:v>
                </c:pt>
                <c:pt idx="9">
                  <c:v>-4.4476977239039766</c:v>
                </c:pt>
                <c:pt idx="10">
                  <c:v>-4.5153329104472038</c:v>
                </c:pt>
                <c:pt idx="11">
                  <c:v>-4.5857947472272365</c:v>
                </c:pt>
                <c:pt idx="12">
                  <c:v>-4.6293445812139495</c:v>
                </c:pt>
                <c:pt idx="13">
                  <c:v>-4.6514610689365092</c:v>
                </c:pt>
                <c:pt idx="14">
                  <c:v>-4.8122029058620868</c:v>
                </c:pt>
                <c:pt idx="15">
                  <c:v>-4.892099903368984</c:v>
                </c:pt>
                <c:pt idx="16">
                  <c:v>-4.9739500784243216</c:v>
                </c:pt>
                <c:pt idx="17">
                  <c:v>-5.0576127720359842</c:v>
                </c:pt>
                <c:pt idx="18">
                  <c:v>-5.1429566926914747</c:v>
                </c:pt>
                <c:pt idx="19">
                  <c:v>-5.2298592141896307</c:v>
                </c:pt>
                <c:pt idx="20">
                  <c:v>-5.3182057334650521</c:v>
                </c:pt>
                <c:pt idx="21">
                  <c:v>-5.4988089899877934</c:v>
                </c:pt>
                <c:pt idx="22">
                  <c:v>-5.7780786821511558</c:v>
                </c:pt>
                <c:pt idx="23">
                  <c:v>-6.2605703359718605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AA-4E84-BA60-300ED24B154F}"/>
            </c:ext>
          </c:extLst>
        </c:ser>
        <c:ser>
          <c:idx val="4"/>
          <c:order val="3"/>
          <c:marker>
            <c:symbol val="square"/>
            <c:size val="7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CaSO4!$A$76:$A$95</c:f>
              <c:numCache>
                <c:formatCode>General</c:formatCode>
                <c:ptCount val="20"/>
              </c:numCache>
            </c:numRef>
          </c:xVal>
          <c:yVal>
            <c:numRef>
              <c:f>CaSO4!$G$76:$G$95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AA-4E84-BA60-300ED24B154F}"/>
            </c:ext>
          </c:extLst>
        </c:ser>
        <c:ser>
          <c:idx val="5"/>
          <c:order val="4"/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CaSO4!$A$76:$A$101</c:f>
              <c:numCache>
                <c:formatCode>General</c:formatCode>
                <c:ptCount val="26"/>
              </c:numCache>
            </c:numRef>
          </c:xVal>
          <c:yVal>
            <c:numRef>
              <c:f>CaSO4!$H$76:$H$101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AA-4E84-BA60-300ED24B154F}"/>
            </c:ext>
          </c:extLst>
        </c:ser>
        <c:ser>
          <c:idx val="6"/>
          <c:order val="5"/>
          <c:marker>
            <c:symbol val="diamond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CaSO4!$A$76:$A$101</c:f>
              <c:numCache>
                <c:formatCode>General</c:formatCode>
                <c:ptCount val="26"/>
              </c:numCache>
            </c:numRef>
          </c:xVal>
          <c:yVal>
            <c:numRef>
              <c:f>CaSO4!$I$76:$I$101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AA-4E84-BA60-300ED24B154F}"/>
            </c:ext>
          </c:extLst>
        </c:ser>
        <c:ser>
          <c:idx val="7"/>
          <c:order val="6"/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CaSO4!$A$76:$A$101</c:f>
              <c:numCache>
                <c:formatCode>General</c:formatCode>
                <c:ptCount val="26"/>
              </c:numCache>
            </c:numRef>
          </c:xVal>
          <c:yVal>
            <c:numRef>
              <c:f>CaSO4!$J$76:$J$101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AA-4E84-BA60-300ED24B1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4528"/>
        <c:axId val="131260416"/>
      </c:scatterChart>
      <c:valAx>
        <c:axId val="131254528"/>
        <c:scaling>
          <c:orientation val="minMax"/>
          <c:max val="1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[°C]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260416"/>
        <c:crossesAt val="-7"/>
        <c:crossBetween val="midCat"/>
        <c:majorUnit val="10"/>
        <c:minorUnit val="5"/>
      </c:valAx>
      <c:valAx>
        <c:axId val="131260416"/>
        <c:scaling>
          <c:orientation val="minMax"/>
          <c:max val="-3.8"/>
          <c:min val="-5.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logK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25452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46</xdr:row>
      <xdr:rowOff>19050</xdr:rowOff>
    </xdr:from>
    <xdr:to>
      <xdr:col>16</xdr:col>
      <xdr:colOff>441325</xdr:colOff>
      <xdr:row>74</xdr:row>
      <xdr:rowOff>34925</xdr:rowOff>
    </xdr:to>
    <xdr:graphicFrame macro="">
      <xdr:nvGraphicFramePr>
        <xdr:cNvPr id="1041" name="Chart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gca.2019.04.009" TargetMode="External"/><Relationship Id="rId2" Type="http://schemas.openxmlformats.org/officeDocument/2006/relationships/hyperlink" Target="https://doi.org/10.1021/bk-1990-0416.ch031" TargetMode="External"/><Relationship Id="rId1" Type="http://schemas.openxmlformats.org/officeDocument/2006/relationships/hyperlink" Target="https://doi.org/10.1016/0016-7037(85)90242-X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workbookViewId="0">
      <selection activeCell="B11" sqref="B11"/>
    </sheetView>
  </sheetViews>
  <sheetFormatPr defaultColWidth="8.77734375" defaultRowHeight="13.2" x14ac:dyDescent="0.25"/>
  <cols>
    <col min="2" max="2" width="10.77734375" customWidth="1"/>
    <col min="3" max="8" width="12.44140625" customWidth="1"/>
  </cols>
  <sheetData>
    <row r="1" spans="1:3" x14ac:dyDescent="0.25">
      <c r="A1" s="2" t="s">
        <v>36</v>
      </c>
    </row>
    <row r="3" spans="1:3" x14ac:dyDescent="0.25">
      <c r="A3" s="2" t="s">
        <v>42</v>
      </c>
    </row>
    <row r="6" spans="1:3" x14ac:dyDescent="0.25">
      <c r="A6" s="2" t="s">
        <v>46</v>
      </c>
    </row>
    <row r="8" spans="1:3" x14ac:dyDescent="0.25">
      <c r="A8" t="s">
        <v>37</v>
      </c>
    </row>
    <row r="9" spans="1:3" x14ac:dyDescent="0.25">
      <c r="A9" s="22" t="s">
        <v>44</v>
      </c>
      <c r="B9" s="26" t="s">
        <v>47</v>
      </c>
      <c r="C9" s="2" t="s">
        <v>43</v>
      </c>
    </row>
    <row r="10" spans="1:3" x14ac:dyDescent="0.25">
      <c r="A10" s="22" t="s">
        <v>38</v>
      </c>
      <c r="B10" s="26" t="s">
        <v>48</v>
      </c>
      <c r="C10" t="s">
        <v>39</v>
      </c>
    </row>
    <row r="11" spans="1:3" x14ac:dyDescent="0.25">
      <c r="A11" s="22" t="s">
        <v>40</v>
      </c>
      <c r="B11" s="26" t="s">
        <v>49</v>
      </c>
      <c r="C11" t="s">
        <v>41</v>
      </c>
    </row>
    <row r="15" spans="1:3" x14ac:dyDescent="0.25">
      <c r="A15" s="1" t="s">
        <v>0</v>
      </c>
    </row>
    <row r="17" spans="1:16" ht="15.6" x14ac:dyDescent="0.25">
      <c r="A17" t="s">
        <v>1</v>
      </c>
      <c r="B17">
        <v>8.3145100000000007E-3</v>
      </c>
      <c r="C17" s="2" t="s">
        <v>2</v>
      </c>
    </row>
    <row r="18" spans="1:16" x14ac:dyDescent="0.25">
      <c r="A18" t="s">
        <v>3</v>
      </c>
      <c r="B18">
        <v>298.14999999999998</v>
      </c>
      <c r="C18" s="2" t="s">
        <v>4</v>
      </c>
    </row>
    <row r="19" spans="1:16" x14ac:dyDescent="0.25">
      <c r="A19" t="s">
        <v>5</v>
      </c>
      <c r="B19">
        <f>LN(10)</f>
        <v>2.3025850929940459</v>
      </c>
    </row>
    <row r="21" spans="1:16" x14ac:dyDescent="0.25">
      <c r="A21" t="s">
        <v>6</v>
      </c>
      <c r="B21">
        <f>B17*B18*B19</f>
        <v>5.7080420309191107</v>
      </c>
    </row>
    <row r="23" spans="1:16" ht="16.8" x14ac:dyDescent="0.35">
      <c r="A23" s="2" t="s">
        <v>7</v>
      </c>
    </row>
    <row r="25" spans="1:16" ht="15.6" x14ac:dyDescent="0.35">
      <c r="C25" s="4" t="s">
        <v>8</v>
      </c>
      <c r="D25" s="5"/>
      <c r="E25" s="4" t="s">
        <v>9</v>
      </c>
      <c r="F25" s="5"/>
      <c r="G25" s="4" t="s">
        <v>10</v>
      </c>
      <c r="I25" s="4" t="s">
        <v>11</v>
      </c>
      <c r="K25" s="10" t="s">
        <v>12</v>
      </c>
      <c r="L25" s="6"/>
      <c r="M25" s="10" t="s">
        <v>13</v>
      </c>
      <c r="N25" s="6"/>
      <c r="O25" s="10" t="s">
        <v>14</v>
      </c>
    </row>
    <row r="26" spans="1:16" ht="15.6" x14ac:dyDescent="0.25">
      <c r="C26" s="7" t="s">
        <v>4</v>
      </c>
      <c r="D26" s="5"/>
      <c r="E26" s="4"/>
      <c r="F26" s="5"/>
      <c r="G26" s="4"/>
      <c r="I26" s="7" t="s">
        <v>4</v>
      </c>
      <c r="K26" s="1"/>
      <c r="M26" s="4" t="s">
        <v>15</v>
      </c>
      <c r="O26" s="4" t="s">
        <v>16</v>
      </c>
    </row>
    <row r="27" spans="1:16" ht="15.6" x14ac:dyDescent="0.35">
      <c r="A27" s="2" t="s">
        <v>17</v>
      </c>
      <c r="C27">
        <v>-922.5</v>
      </c>
      <c r="D27" s="6">
        <v>50</v>
      </c>
      <c r="E27" s="3">
        <v>-7.3</v>
      </c>
      <c r="F27" s="8">
        <v>0.2</v>
      </c>
      <c r="G27" s="3">
        <v>-20.73</v>
      </c>
      <c r="H27" s="8">
        <v>0.15</v>
      </c>
      <c r="I27">
        <f>C27-$B$18*E27</f>
        <v>1253.9949999999999</v>
      </c>
      <c r="J27">
        <f>D27</f>
        <v>50</v>
      </c>
      <c r="K27" s="3">
        <f>-I27/$B$18</f>
        <v>-4.205919839007211</v>
      </c>
      <c r="L27" s="3">
        <f>J27/$B$18</f>
        <v>0.16770082173402651</v>
      </c>
      <c r="M27" s="9">
        <f t="shared" ref="M27:N30" si="0">C27*LN(10)*$B$17</f>
        <v>-17.661139605979805</v>
      </c>
      <c r="N27" s="9">
        <f t="shared" si="0"/>
        <v>0.95724333907749626</v>
      </c>
      <c r="O27" s="9">
        <f t="shared" ref="O27:P30" si="1">G27*LN(10)*$B$17*1000</f>
        <v>-396.87308838153001</v>
      </c>
      <c r="P27" s="9">
        <f t="shared" si="1"/>
        <v>2.8717300172324887</v>
      </c>
    </row>
    <row r="28" spans="1:16" ht="15.6" x14ac:dyDescent="0.35">
      <c r="A28" s="2" t="s">
        <v>18</v>
      </c>
      <c r="C28">
        <v>-69.3</v>
      </c>
      <c r="D28" s="6">
        <v>30</v>
      </c>
      <c r="E28">
        <v>-6.81</v>
      </c>
      <c r="F28" s="8">
        <v>0.2</v>
      </c>
      <c r="G28" s="3">
        <v>-21.6</v>
      </c>
      <c r="H28" s="8">
        <v>0.15</v>
      </c>
      <c r="I28">
        <f>C28-$B$18*E28</f>
        <v>1961.1014999999998</v>
      </c>
      <c r="J28">
        <f t="shared" ref="J28:J34" si="2">D28</f>
        <v>30</v>
      </c>
      <c r="K28" s="3">
        <f>-I28/$B$18</f>
        <v>-6.5775666610766388</v>
      </c>
      <c r="L28" s="3">
        <f>J28/$B$18</f>
        <v>0.10062049304041591</v>
      </c>
      <c r="M28" s="9">
        <f t="shared" si="0"/>
        <v>-1.3267392679614098</v>
      </c>
      <c r="N28" s="9">
        <f t="shared" si="0"/>
        <v>0.57434600344649778</v>
      </c>
      <c r="O28" s="9">
        <f t="shared" si="1"/>
        <v>-413.52912248147845</v>
      </c>
      <c r="P28" s="9">
        <f t="shared" si="1"/>
        <v>2.8717300172324887</v>
      </c>
    </row>
    <row r="29" spans="1:16" ht="15.6" x14ac:dyDescent="0.35">
      <c r="A29" s="2" t="s">
        <v>19</v>
      </c>
      <c r="C29">
        <v>1363.1</v>
      </c>
      <c r="D29" s="6">
        <v>20</v>
      </c>
      <c r="E29">
        <v>-5.39</v>
      </c>
      <c r="F29" s="8">
        <v>0.15</v>
      </c>
      <c r="G29" s="3">
        <v>-22.07</v>
      </c>
      <c r="H29" s="8">
        <v>0.15</v>
      </c>
      <c r="I29">
        <f>C29-$B$18*E29</f>
        <v>2970.1284999999998</v>
      </c>
      <c r="J29">
        <f t="shared" si="2"/>
        <v>20</v>
      </c>
      <c r="K29" s="3">
        <f>-I29/$B$18</f>
        <v>-9.9618598021130307</v>
      </c>
      <c r="L29" s="3">
        <f>J29/$B$18</f>
        <v>6.7080328693610608E-2</v>
      </c>
      <c r="M29" s="9">
        <f t="shared" si="0"/>
        <v>26.096367909930702</v>
      </c>
      <c r="N29" s="9">
        <f t="shared" si="0"/>
        <v>0.38289733563099854</v>
      </c>
      <c r="O29" s="9">
        <f t="shared" si="1"/>
        <v>-422.52720986880689</v>
      </c>
      <c r="P29" s="9">
        <f t="shared" si="1"/>
        <v>2.8717300172324887</v>
      </c>
    </row>
    <row r="30" spans="1:16" ht="15.6" x14ac:dyDescent="0.35">
      <c r="A30" s="2" t="s">
        <v>20</v>
      </c>
      <c r="C30">
        <v>2024.5</v>
      </c>
      <c r="D30" s="6">
        <v>50</v>
      </c>
      <c r="E30">
        <v>-3.47</v>
      </c>
      <c r="F30" s="8">
        <v>0.2</v>
      </c>
      <c r="G30" s="3">
        <v>-22.37</v>
      </c>
      <c r="H30" s="8">
        <v>0.2</v>
      </c>
      <c r="I30">
        <f>C30-$B$18*E30</f>
        <v>3059.0805</v>
      </c>
      <c r="J30">
        <f t="shared" si="2"/>
        <v>50</v>
      </c>
      <c r="K30" s="3">
        <f>-I30/$B$18</f>
        <v>-10.260206272010734</v>
      </c>
      <c r="L30" s="3">
        <f>J30/$B$18</f>
        <v>0.16770082173402651</v>
      </c>
      <c r="M30" s="9">
        <f t="shared" si="0"/>
        <v>38.758782799247825</v>
      </c>
      <c r="N30" s="9">
        <f t="shared" si="0"/>
        <v>0.95724333907749626</v>
      </c>
      <c r="O30" s="9">
        <f t="shared" si="1"/>
        <v>-428.27066990327182</v>
      </c>
      <c r="P30" s="9">
        <f t="shared" si="1"/>
        <v>3.8289733563099855</v>
      </c>
    </row>
    <row r="31" spans="1:16" x14ac:dyDescent="0.25">
      <c r="K31" s="3"/>
      <c r="L31" s="3"/>
      <c r="O31" s="9"/>
      <c r="P31" s="9"/>
    </row>
    <row r="32" spans="1:16" ht="15.6" x14ac:dyDescent="0.35">
      <c r="A32" s="2" t="s">
        <v>21</v>
      </c>
      <c r="C32">
        <v>-1872.9</v>
      </c>
      <c r="D32" s="6">
        <v>100</v>
      </c>
      <c r="E32">
        <v>-13.94</v>
      </c>
      <c r="F32" s="8">
        <v>0.5</v>
      </c>
      <c r="G32" s="3">
        <v>-20.25</v>
      </c>
      <c r="H32" s="8">
        <v>0.5</v>
      </c>
      <c r="I32">
        <f t="shared" ref="I32:I37" si="3">C32-$B$18*E32</f>
        <v>2283.3109999999992</v>
      </c>
      <c r="J32">
        <f t="shared" si="2"/>
        <v>100</v>
      </c>
      <c r="K32" s="3">
        <f t="shared" ref="K32:K37" si="4">-I32/$B$18</f>
        <v>-7.658262619486834</v>
      </c>
      <c r="L32" s="3">
        <f>J32/$B$18</f>
        <v>0.33540164346805301</v>
      </c>
      <c r="M32" s="9">
        <f t="shared" ref="M32:M37" si="5">C32*LN(10)*$B$17</f>
        <v>-35.856420995164861</v>
      </c>
      <c r="N32" s="9">
        <f>D32*LN(10)*$B$17</f>
        <v>1.9144866781549925</v>
      </c>
      <c r="O32" s="9">
        <f t="shared" ref="O32:O37" si="6">G32*LN(10)*$B$17*1000</f>
        <v>-387.68355232638601</v>
      </c>
      <c r="P32" s="9">
        <f>H32*LN(10)*$B$17*1000</f>
        <v>9.5724333907749628</v>
      </c>
    </row>
    <row r="33" spans="1:16" ht="15.6" x14ac:dyDescent="0.35">
      <c r="A33" s="2" t="s">
        <v>22</v>
      </c>
      <c r="C33">
        <v>-534.70000000000005</v>
      </c>
      <c r="D33" s="6">
        <v>20</v>
      </c>
      <c r="E33">
        <v>-10.24</v>
      </c>
      <c r="F33" s="8">
        <v>0.15</v>
      </c>
      <c r="G33" s="3">
        <v>-21.1</v>
      </c>
      <c r="H33" s="8">
        <v>0.15</v>
      </c>
      <c r="I33">
        <f t="shared" si="3"/>
        <v>2518.3559999999998</v>
      </c>
      <c r="J33">
        <f t="shared" si="2"/>
        <v>20</v>
      </c>
      <c r="K33" s="3">
        <f t="shared" si="4"/>
        <v>-8.44660741237632</v>
      </c>
      <c r="L33" s="3">
        <f>J33/$B$18</f>
        <v>6.7080328693610608E-2</v>
      </c>
      <c r="M33" s="9">
        <f t="shared" si="5"/>
        <v>-10.236760268094747</v>
      </c>
      <c r="N33" s="9">
        <f>D33*LN(10)*$B$17</f>
        <v>0.38289733563099854</v>
      </c>
      <c r="O33" s="9">
        <f t="shared" si="6"/>
        <v>-403.95668909070343</v>
      </c>
      <c r="P33" s="9">
        <f>H33*LN(10)*$B$17*1000</f>
        <v>2.8717300172324887</v>
      </c>
    </row>
    <row r="34" spans="1:16" ht="15.6" x14ac:dyDescent="0.35">
      <c r="A34" s="2" t="s">
        <v>23</v>
      </c>
      <c r="C34">
        <v>-140</v>
      </c>
      <c r="D34" s="6">
        <v>30</v>
      </c>
      <c r="E34">
        <v>-9.74</v>
      </c>
      <c r="F34" s="8">
        <v>0.2</v>
      </c>
      <c r="G34" s="3">
        <v>-21.55</v>
      </c>
      <c r="H34" s="8">
        <v>0.2</v>
      </c>
      <c r="I34">
        <f t="shared" si="3"/>
        <v>2763.9809999999998</v>
      </c>
      <c r="J34">
        <f t="shared" si="2"/>
        <v>30</v>
      </c>
      <c r="K34" s="3">
        <f t="shared" si="4"/>
        <v>-9.2704376991447255</v>
      </c>
      <c r="L34" s="3">
        <f>J34/$B$18</f>
        <v>0.10062049304041591</v>
      </c>
      <c r="M34" s="9">
        <f t="shared" si="5"/>
        <v>-2.6802813494169895</v>
      </c>
      <c r="N34" s="9">
        <f>D34*LN(10)*$B$17</f>
        <v>0.57434600344649778</v>
      </c>
      <c r="O34" s="9">
        <f t="shared" si="6"/>
        <v>-412.57187914240097</v>
      </c>
      <c r="P34" s="9">
        <f>H34*LN(10)*$B$17*1000</f>
        <v>3.8289733563099855</v>
      </c>
    </row>
    <row r="35" spans="1:16" ht="15.6" x14ac:dyDescent="0.35">
      <c r="A35" s="2" t="s">
        <v>24</v>
      </c>
      <c r="C35">
        <v>101.4</v>
      </c>
      <c r="D35" s="6">
        <v>30</v>
      </c>
      <c r="E35">
        <v>-8.23</v>
      </c>
      <c r="F35" s="8">
        <v>0.2</v>
      </c>
      <c r="G35" s="3">
        <v>-22.25</v>
      </c>
      <c r="H35" s="8">
        <v>0.2</v>
      </c>
      <c r="I35">
        <f t="shared" si="3"/>
        <v>2555.1745000000001</v>
      </c>
      <c r="J35">
        <f>D35</f>
        <v>30</v>
      </c>
      <c r="K35" s="3">
        <f t="shared" si="4"/>
        <v>-8.5700972664766066</v>
      </c>
      <c r="L35" s="3">
        <f>J35/$B$18</f>
        <v>0.10062049304041591</v>
      </c>
      <c r="M35" s="9">
        <f t="shared" si="5"/>
        <v>1.9412894916491625</v>
      </c>
      <c r="N35" s="9">
        <f>D35*LN(10)*$B$17</f>
        <v>0.57434600344649778</v>
      </c>
      <c r="O35" s="9">
        <f t="shared" si="6"/>
        <v>-425.97328588948585</v>
      </c>
      <c r="P35" s="9">
        <f>H35*LN(10)*$B$17*1000</f>
        <v>3.8289733563099855</v>
      </c>
    </row>
    <row r="37" spans="1:16" ht="15.6" x14ac:dyDescent="0.35">
      <c r="A37" s="2" t="s">
        <v>25</v>
      </c>
      <c r="C37">
        <v>174.9</v>
      </c>
      <c r="D37" s="12">
        <f>N37/(LN(10)*$B$17)</f>
        <v>52.23332245715644</v>
      </c>
      <c r="E37">
        <v>-6.9740000000000002</v>
      </c>
      <c r="G37" s="3">
        <v>-22.5</v>
      </c>
      <c r="H37" s="8">
        <f>P37/(LN(10)*$B$17*1000)</f>
        <v>0.2611666122857822</v>
      </c>
      <c r="I37">
        <f t="shared" si="3"/>
        <v>2254.1981000000001</v>
      </c>
      <c r="J37" s="11">
        <f>D37</f>
        <v>52.23332245715644</v>
      </c>
      <c r="K37" s="3">
        <f t="shared" si="4"/>
        <v>-7.5606174744256256</v>
      </c>
      <c r="L37" s="3">
        <f>J37/$B$18</f>
        <v>0.17519142195927032</v>
      </c>
      <c r="M37" s="9">
        <f t="shared" si="5"/>
        <v>3.3484372000930822</v>
      </c>
      <c r="N37" s="9">
        <v>1</v>
      </c>
      <c r="O37" s="9">
        <f t="shared" si="6"/>
        <v>-430.75950258487336</v>
      </c>
      <c r="P37" s="9">
        <v>5</v>
      </c>
    </row>
    <row r="38" spans="1:16" x14ac:dyDescent="0.25">
      <c r="A38" s="2"/>
      <c r="D38" s="12"/>
      <c r="G38" s="3"/>
      <c r="H38" s="8"/>
      <c r="J38" s="11"/>
      <c r="K38" s="3"/>
      <c r="L38" s="3"/>
      <c r="M38" s="9"/>
      <c r="N38" s="9"/>
      <c r="O38" s="9"/>
      <c r="P38" s="9"/>
    </row>
    <row r="40" spans="1:16" ht="15.6" x14ac:dyDescent="0.35">
      <c r="B40" s="10" t="s">
        <v>32</v>
      </c>
      <c r="D40" s="10" t="s">
        <v>13</v>
      </c>
      <c r="F40" s="10" t="s">
        <v>14</v>
      </c>
    </row>
    <row r="41" spans="1:16" ht="15.6" x14ac:dyDescent="0.25">
      <c r="B41" s="10"/>
      <c r="D41" s="4" t="s">
        <v>15</v>
      </c>
      <c r="F41" s="4" t="s">
        <v>35</v>
      </c>
    </row>
    <row r="42" spans="1:16" x14ac:dyDescent="0.25">
      <c r="A42" t="s">
        <v>26</v>
      </c>
      <c r="B42">
        <v>-4.58</v>
      </c>
      <c r="D42" s="3">
        <f>-0.109*4.184</f>
        <v>-0.45605600000000002</v>
      </c>
      <c r="F42" s="15">
        <f>$B$17*LN(10)*(2*0*$B$18-25.0627/LN(10))</f>
        <v>-0.20838406977700002</v>
      </c>
      <c r="G42" s="22" t="s">
        <v>38</v>
      </c>
      <c r="H42" s="2" t="s">
        <v>45</v>
      </c>
      <c r="I42" s="2"/>
    </row>
    <row r="43" spans="1:16" x14ac:dyDescent="0.25">
      <c r="A43" t="s">
        <v>28</v>
      </c>
      <c r="B43">
        <v>-4.3600000000000003</v>
      </c>
      <c r="D43" s="3">
        <f>-1.71*4.184</f>
        <v>-7.1546400000000006</v>
      </c>
      <c r="F43" s="15">
        <f>$B$17*LN(10)*(2*0*$B$18-69.835/LN(10))</f>
        <v>-0.58064380584999997</v>
      </c>
      <c r="G43" s="22" t="s">
        <v>38</v>
      </c>
      <c r="H43" s="2" t="s">
        <v>45</v>
      </c>
      <c r="I43" s="2"/>
    </row>
    <row r="44" spans="1:16" x14ac:dyDescent="0.25">
      <c r="A44" t="s">
        <v>26</v>
      </c>
      <c r="B44">
        <v>-4.58</v>
      </c>
      <c r="D44">
        <v>-0.46</v>
      </c>
      <c r="F44">
        <v>-0.2084</v>
      </c>
      <c r="G44" s="22" t="s">
        <v>44</v>
      </c>
      <c r="H44" s="2" t="s">
        <v>27</v>
      </c>
      <c r="I44" s="4"/>
    </row>
    <row r="45" spans="1:16" x14ac:dyDescent="0.25">
      <c r="A45" t="s">
        <v>28</v>
      </c>
      <c r="B45">
        <v>-4.21</v>
      </c>
      <c r="D45">
        <v>-17.7</v>
      </c>
      <c r="F45">
        <v>-0.39689999999999998</v>
      </c>
      <c r="G45" s="22" t="s">
        <v>40</v>
      </c>
      <c r="H45" s="4" t="s">
        <v>0</v>
      </c>
      <c r="I45" s="4"/>
    </row>
    <row r="46" spans="1:16" x14ac:dyDescent="0.25">
      <c r="H46" s="2"/>
      <c r="I46" s="2"/>
    </row>
    <row r="47" spans="1:16" x14ac:dyDescent="0.25">
      <c r="A47" s="13" t="s">
        <v>3</v>
      </c>
      <c r="B47" s="13" t="s">
        <v>3</v>
      </c>
      <c r="C47" s="14" t="s">
        <v>31</v>
      </c>
      <c r="D47" s="14" t="s">
        <v>31</v>
      </c>
      <c r="E47" s="14" t="s">
        <v>31</v>
      </c>
      <c r="F47" s="14" t="s">
        <v>31</v>
      </c>
    </row>
    <row r="48" spans="1:16" ht="13.8" x14ac:dyDescent="0.3">
      <c r="A48" s="14" t="s">
        <v>33</v>
      </c>
      <c r="B48" s="14" t="s">
        <v>34</v>
      </c>
      <c r="C48" s="14" t="s">
        <v>29</v>
      </c>
      <c r="D48" s="14" t="s">
        <v>30</v>
      </c>
      <c r="E48" s="14" t="s">
        <v>29</v>
      </c>
      <c r="F48" s="14" t="s">
        <v>30</v>
      </c>
      <c r="G48" s="10"/>
      <c r="J48" s="2"/>
    </row>
    <row r="49" spans="1:10" x14ac:dyDescent="0.25">
      <c r="A49" s="14"/>
      <c r="B49" s="14"/>
      <c r="C49" s="14"/>
      <c r="D49" s="14"/>
      <c r="F49" s="14"/>
      <c r="G49" s="10"/>
      <c r="J49" s="2"/>
    </row>
    <row r="50" spans="1:10" x14ac:dyDescent="0.25">
      <c r="C50" s="25" t="s">
        <v>38</v>
      </c>
      <c r="D50" s="25" t="s">
        <v>38</v>
      </c>
      <c r="E50" s="25" t="s">
        <v>44</v>
      </c>
      <c r="F50" s="25" t="s">
        <v>40</v>
      </c>
      <c r="G50" s="20"/>
      <c r="H50" s="21"/>
      <c r="I50" s="21"/>
      <c r="J50" s="21"/>
    </row>
    <row r="51" spans="1:10" x14ac:dyDescent="0.25">
      <c r="A51">
        <v>0</v>
      </c>
      <c r="B51">
        <f>273.15+A51</f>
        <v>273.14999999999998</v>
      </c>
      <c r="C51" s="15">
        <f>68.2401-3221.51/$B51-25.0627*LOG($B51)</f>
        <v>-4.6166152298752507</v>
      </c>
      <c r="D51" s="15">
        <f>197.52-8669.8/$B51-69.835*LOG($B51)</f>
        <v>-4.366147699592176</v>
      </c>
      <c r="E51" s="15">
        <f t="shared" ref="E51:E74" si="7">$B$44+$D$44/($B$17*LN(10))*(1/$B$18-1/$B51)+$F$44/($B$17*LN(10))*($B$18/$B51-1+LN($B51/$B$18))</f>
        <v>-4.6156127216899865</v>
      </c>
      <c r="F51" s="15">
        <f t="shared" ref="F51:F74" si="8">$B$45+$D$45/($B$17*LN(10))*(1/$B$18-1/$B51)+$F$45/($B$17*LN(10))*($B$18/$B51-1+LN($B51/$B$18))</f>
        <v>-4.0080639249554224</v>
      </c>
    </row>
    <row r="52" spans="1:10" x14ac:dyDescent="0.25">
      <c r="A52">
        <v>5</v>
      </c>
      <c r="B52">
        <f t="shared" ref="B52:B74" si="9">273.15+A52</f>
        <v>278.14999999999998</v>
      </c>
      <c r="C52" s="15">
        <f t="shared" ref="C52:C74" si="10">68.2401-3221.51/$B52-25.0627*LOG($B52)</f>
        <v>-4.6020491365001135</v>
      </c>
      <c r="D52" s="15">
        <f t="shared" ref="D52:D74" si="11">197.52-8669.8/$B52-69.835*LOG($B52)</f>
        <v>-4.345741306550849</v>
      </c>
      <c r="E52" s="15">
        <f t="shared" si="7"/>
        <v>-4.6010648836589025</v>
      </c>
      <c r="F52" s="15">
        <f t="shared" si="8"/>
        <v>-4.0381889480638069</v>
      </c>
    </row>
    <row r="53" spans="1:10" x14ac:dyDescent="0.25">
      <c r="A53">
        <v>10</v>
      </c>
      <c r="B53">
        <f t="shared" si="9"/>
        <v>283.14999999999998</v>
      </c>
      <c r="C53" s="15">
        <f t="shared" si="10"/>
        <v>-4.5914527270749943</v>
      </c>
      <c r="D53" s="15">
        <f t="shared" si="11"/>
        <v>-4.3356833646584789</v>
      </c>
      <c r="E53" s="15">
        <f t="shared" si="7"/>
        <v>-4.5904863489962828</v>
      </c>
      <c r="F53" s="15">
        <f t="shared" si="8"/>
        <v>-4.0738311167922916</v>
      </c>
    </row>
    <row r="54" spans="1:10" x14ac:dyDescent="0.25">
      <c r="A54">
        <v>15</v>
      </c>
      <c r="B54">
        <f t="shared" si="9"/>
        <v>288.14999999999998</v>
      </c>
      <c r="C54" s="15">
        <f t="shared" si="10"/>
        <v>-4.5845593927509967</v>
      </c>
      <c r="D54" s="15">
        <f t="shared" si="11"/>
        <v>-4.3352680935481658</v>
      </c>
      <c r="E54" s="15">
        <f t="shared" si="7"/>
        <v>-4.583610524080977</v>
      </c>
      <c r="F54" s="15">
        <f t="shared" si="8"/>
        <v>-4.1145890221986807</v>
      </c>
    </row>
    <row r="55" spans="1:10" x14ac:dyDescent="0.25">
      <c r="A55">
        <v>20</v>
      </c>
      <c r="B55">
        <f t="shared" si="9"/>
        <v>293.14999999999998</v>
      </c>
      <c r="C55" s="15">
        <f t="shared" si="10"/>
        <v>-4.5811227596781308</v>
      </c>
      <c r="D55" s="15">
        <f t="shared" si="11"/>
        <v>-4.343843564650939</v>
      </c>
      <c r="E55" s="15">
        <f t="shared" si="7"/>
        <v>-4.5801910494082421</v>
      </c>
      <c r="F55" s="17">
        <f t="shared" si="8"/>
        <v>-4.1600925377075235</v>
      </c>
    </row>
    <row r="56" spans="1:10" x14ac:dyDescent="0.25">
      <c r="A56" s="1">
        <v>25</v>
      </c>
      <c r="B56">
        <f t="shared" si="9"/>
        <v>298.14999999999998</v>
      </c>
      <c r="C56" s="16">
        <f>68.2401-3221.51/$B56-25.0627*LOG($B56)</f>
        <v>-4.5809148893494651</v>
      </c>
      <c r="D56" s="16">
        <f t="shared" si="11"/>
        <v>-4.3608068988588116</v>
      </c>
      <c r="E56" s="15">
        <f t="shared" si="7"/>
        <v>-4.58</v>
      </c>
      <c r="F56" s="16">
        <f t="shared" si="8"/>
        <v>-4.21</v>
      </c>
    </row>
    <row r="57" spans="1:10" x14ac:dyDescent="0.25">
      <c r="A57">
        <v>30</v>
      </c>
      <c r="B57">
        <f t="shared" si="9"/>
        <v>303.14999999999998</v>
      </c>
      <c r="C57" s="15">
        <f t="shared" si="10"/>
        <v>-4.5837246638340261</v>
      </c>
      <c r="D57" s="15">
        <f t="shared" si="11"/>
        <v>-4.3855999583604444</v>
      </c>
      <c r="E57" s="15">
        <f t="shared" si="7"/>
        <v>-4.5828262706978178</v>
      </c>
      <c r="F57" s="15">
        <f t="shared" si="8"/>
        <v>-4.2639956818241256</v>
      </c>
    </row>
    <row r="58" spans="1:10" x14ac:dyDescent="0.25">
      <c r="A58">
        <v>35</v>
      </c>
      <c r="B58">
        <f t="shared" si="9"/>
        <v>308.14999999999998</v>
      </c>
      <c r="C58" s="15">
        <f t="shared" si="10"/>
        <v>-4.5893563343472579</v>
      </c>
      <c r="D58" s="15">
        <f t="shared" si="11"/>
        <v>-4.4177054749843876</v>
      </c>
      <c r="E58" s="15">
        <f t="shared" si="7"/>
        <v>-4.5884741247881662</v>
      </c>
      <c r="F58" s="15">
        <f t="shared" si="8"/>
        <v>-4.321787522518802</v>
      </c>
    </row>
    <row r="59" spans="1:10" x14ac:dyDescent="0.25">
      <c r="A59">
        <v>40</v>
      </c>
      <c r="B59">
        <f t="shared" si="9"/>
        <v>313.14999999999998</v>
      </c>
      <c r="C59" s="15">
        <f t="shared" si="10"/>
        <v>-4.5976282144137599</v>
      </c>
      <c r="D59" s="15">
        <f t="shared" si="11"/>
        <v>-4.4566435648975471</v>
      </c>
      <c r="E59" s="15">
        <f t="shared" si="7"/>
        <v>-4.5967618872149982</v>
      </c>
      <c r="F59" s="15">
        <f t="shared" si="8"/>
        <v>-4.3831050865149788</v>
      </c>
    </row>
    <row r="60" spans="1:10" x14ac:dyDescent="0.25">
      <c r="A60">
        <v>45</v>
      </c>
      <c r="B60">
        <f t="shared" si="9"/>
        <v>318.14999999999998</v>
      </c>
      <c r="C60" s="15">
        <f t="shared" si="10"/>
        <v>-4.6083715012795849</v>
      </c>
      <c r="D60" s="15">
        <f t="shared" si="11"/>
        <v>-4.5019685859428193</v>
      </c>
      <c r="E60" s="15">
        <f t="shared" si="7"/>
        <v>-4.6075207660376547</v>
      </c>
      <c r="F60" s="15">
        <f t="shared" si="8"/>
        <v>-4.4476977239039766</v>
      </c>
    </row>
    <row r="61" spans="1:10" x14ac:dyDescent="0.25">
      <c r="A61">
        <v>50</v>
      </c>
      <c r="B61">
        <f t="shared" si="9"/>
        <v>323.14999999999998</v>
      </c>
      <c r="C61" s="15">
        <f t="shared" si="10"/>
        <v>-4.6214292112950872</v>
      </c>
      <c r="D61" s="15">
        <f t="shared" si="11"/>
        <v>-4.5532662994206419</v>
      </c>
      <c r="E61" s="15">
        <f t="shared" si="7"/>
        <v>-4.620593787855392</v>
      </c>
      <c r="F61" s="15">
        <f t="shared" si="8"/>
        <v>-4.5153329104472038</v>
      </c>
    </row>
    <row r="62" spans="1:10" x14ac:dyDescent="0.25">
      <c r="A62">
        <v>55</v>
      </c>
      <c r="B62">
        <f t="shared" si="9"/>
        <v>328.15</v>
      </c>
      <c r="C62" s="15">
        <f t="shared" si="10"/>
        <v>-4.6366552167652344</v>
      </c>
      <c r="D62" s="15">
        <f t="shared" si="11"/>
        <v>-4.6101513028767442</v>
      </c>
      <c r="E62" s="15">
        <f t="shared" si="7"/>
        <v>-4.6358348346959053</v>
      </c>
      <c r="F62" s="15">
        <f t="shared" si="8"/>
        <v>-4.5857947472272365</v>
      </c>
    </row>
    <row r="63" spans="1:10" x14ac:dyDescent="0.25">
      <c r="A63" s="23">
        <v>58</v>
      </c>
      <c r="B63">
        <f t="shared" si="9"/>
        <v>331.15</v>
      </c>
      <c r="C63" s="24">
        <f t="shared" si="10"/>
        <v>-4.6467745747332287</v>
      </c>
      <c r="D63" s="24">
        <f t="shared" si="11"/>
        <v>-4.6468138669152097</v>
      </c>
      <c r="E63" s="15">
        <f t="shared" si="7"/>
        <v>-4.6459630915386327</v>
      </c>
      <c r="F63" s="15">
        <f t="shared" si="8"/>
        <v>-4.6293445812139495</v>
      </c>
    </row>
    <row r="64" spans="1:10" x14ac:dyDescent="0.25">
      <c r="A64" s="23">
        <v>59.5</v>
      </c>
      <c r="B64">
        <f t="shared" si="9"/>
        <v>332.65</v>
      </c>
      <c r="C64" s="17">
        <f t="shared" si="10"/>
        <v>-4.6520997976631335</v>
      </c>
      <c r="D64" s="17">
        <f t="shared" si="11"/>
        <v>-4.6658278016986969</v>
      </c>
      <c r="E64" s="24">
        <f t="shared" si="7"/>
        <v>-4.6512927292474506</v>
      </c>
      <c r="F64" s="24">
        <f t="shared" si="8"/>
        <v>-4.6514610689365092</v>
      </c>
    </row>
    <row r="65" spans="1:6" x14ac:dyDescent="0.25">
      <c r="A65">
        <v>70</v>
      </c>
      <c r="B65">
        <f t="shared" si="9"/>
        <v>343.15</v>
      </c>
      <c r="C65" s="15">
        <f t="shared" si="10"/>
        <v>-4.6940268000286025</v>
      </c>
      <c r="D65" s="15">
        <f t="shared" si="11"/>
        <v>-4.8108612242897095</v>
      </c>
      <c r="E65" s="15">
        <f t="shared" si="7"/>
        <v>-4.6932500095303622</v>
      </c>
      <c r="F65" s="15">
        <f t="shared" si="8"/>
        <v>-4.8122029058620868</v>
      </c>
    </row>
    <row r="66" spans="1:6" x14ac:dyDescent="0.25">
      <c r="A66">
        <v>75</v>
      </c>
      <c r="B66">
        <f t="shared" si="9"/>
        <v>348.15</v>
      </c>
      <c r="C66" s="15">
        <f t="shared" si="10"/>
        <v>-4.7166529260170904</v>
      </c>
      <c r="D66" s="15">
        <f t="shared" si="11"/>
        <v>-4.8867410711447974</v>
      </c>
      <c r="E66" s="15">
        <f t="shared" si="7"/>
        <v>-4.7158901830345039</v>
      </c>
      <c r="F66" s="15">
        <f t="shared" si="8"/>
        <v>-4.892099903368984</v>
      </c>
    </row>
    <row r="67" spans="1:6" x14ac:dyDescent="0.25">
      <c r="A67">
        <v>80</v>
      </c>
      <c r="B67">
        <f t="shared" si="9"/>
        <v>353.15</v>
      </c>
      <c r="C67" s="15">
        <f t="shared" si="10"/>
        <v>-4.740851663689206</v>
      </c>
      <c r="D67" s="15">
        <f t="shared" si="11"/>
        <v>-4.9666394424731948</v>
      </c>
      <c r="E67" s="15">
        <f t="shared" si="7"/>
        <v>-4.7401027396440805</v>
      </c>
      <c r="F67" s="15">
        <f t="shared" si="8"/>
        <v>-4.9739500784243216</v>
      </c>
    </row>
    <row r="68" spans="1:6" x14ac:dyDescent="0.25">
      <c r="A68">
        <v>85</v>
      </c>
      <c r="B68">
        <f t="shared" si="9"/>
        <v>358.15</v>
      </c>
      <c r="C68" s="15">
        <f t="shared" si="10"/>
        <v>-4.7665262478599715</v>
      </c>
      <c r="D68" s="15">
        <f t="shared" si="11"/>
        <v>-5.0503019313127595</v>
      </c>
      <c r="E68" s="15">
        <f t="shared" si="7"/>
        <v>-4.7657909213851237</v>
      </c>
      <c r="F68" s="15">
        <f t="shared" si="8"/>
        <v>-5.0576127720359842</v>
      </c>
    </row>
    <row r="69" spans="1:6" x14ac:dyDescent="0.25">
      <c r="A69">
        <v>90</v>
      </c>
      <c r="B69">
        <f t="shared" si="9"/>
        <v>363.15</v>
      </c>
      <c r="C69" s="15">
        <f t="shared" si="10"/>
        <v>-4.7935860935635191</v>
      </c>
      <c r="D69" s="15">
        <f t="shared" si="11"/>
        <v>-5.1374905130774096</v>
      </c>
      <c r="E69" s="15">
        <f t="shared" si="7"/>
        <v>-4.792864150170665</v>
      </c>
      <c r="F69" s="15">
        <f t="shared" si="8"/>
        <v>-5.1429566926914747</v>
      </c>
    </row>
    <row r="70" spans="1:6" x14ac:dyDescent="0.25">
      <c r="A70">
        <v>95</v>
      </c>
      <c r="B70">
        <f t="shared" si="9"/>
        <v>368.15</v>
      </c>
      <c r="C70" s="15">
        <f t="shared" si="10"/>
        <v>-4.8219463416941295</v>
      </c>
      <c r="D70" s="15">
        <f t="shared" si="11"/>
        <v>-5.2279823364499691</v>
      </c>
      <c r="E70" s="15">
        <f t="shared" si="7"/>
        <v>-4.8212375734617492</v>
      </c>
      <c r="F70" s="15">
        <f t="shared" si="8"/>
        <v>-5.2298592141896307</v>
      </c>
    </row>
    <row r="71" spans="1:6" x14ac:dyDescent="0.25">
      <c r="A71">
        <v>100</v>
      </c>
      <c r="B71">
        <f t="shared" si="9"/>
        <v>373.15</v>
      </c>
      <c r="C71" s="15">
        <f t="shared" si="10"/>
        <v>-4.8515274430353301</v>
      </c>
      <c r="D71" s="15">
        <f t="shared" si="11"/>
        <v>-5.321568616663086</v>
      </c>
      <c r="E71" s="15">
        <f t="shared" si="7"/>
        <v>-4.8508316483148999</v>
      </c>
      <c r="F71" s="15">
        <f t="shared" si="8"/>
        <v>-5.3182057334650521</v>
      </c>
    </row>
    <row r="72" spans="1:6" x14ac:dyDescent="0.25">
      <c r="A72">
        <v>110</v>
      </c>
      <c r="B72">
        <f t="shared" si="9"/>
        <v>383.15</v>
      </c>
      <c r="C72" s="15">
        <f t="shared" si="10"/>
        <v>-4.9140583018048218</v>
      </c>
      <c r="D72" s="15">
        <f t="shared" si="11"/>
        <v>-5.5172537401896591</v>
      </c>
      <c r="E72" s="15">
        <f t="shared" si="7"/>
        <v>-4.9133878728874256</v>
      </c>
      <c r="F72" s="15">
        <f t="shared" si="8"/>
        <v>-5.4988089899877934</v>
      </c>
    </row>
    <row r="73" spans="1:6" x14ac:dyDescent="0.25">
      <c r="A73">
        <v>125</v>
      </c>
      <c r="B73">
        <f t="shared" si="9"/>
        <v>398.15</v>
      </c>
      <c r="C73" s="15">
        <f t="shared" si="10"/>
        <v>-5.015287716035985</v>
      </c>
      <c r="D73" s="15">
        <f t="shared" si="11"/>
        <v>-5.8294730434077167</v>
      </c>
      <c r="E73" s="15">
        <f t="shared" si="7"/>
        <v>-5.0146539651975734</v>
      </c>
      <c r="F73" s="15">
        <f t="shared" si="8"/>
        <v>-5.7780786821511558</v>
      </c>
    </row>
    <row r="74" spans="1:6" x14ac:dyDescent="0.25">
      <c r="A74">
        <v>150</v>
      </c>
      <c r="B74">
        <f t="shared" si="9"/>
        <v>423.15</v>
      </c>
      <c r="C74" s="15">
        <f t="shared" si="10"/>
        <v>-5.200103006626037</v>
      </c>
      <c r="D74" s="15">
        <f t="shared" si="11"/>
        <v>-6.389948183303261</v>
      </c>
      <c r="E74" s="15">
        <f t="shared" si="7"/>
        <v>-5.1995270573084973</v>
      </c>
      <c r="F74" s="15">
        <f t="shared" si="8"/>
        <v>-6.2605703359718605</v>
      </c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1:9" x14ac:dyDescent="0.25">
      <c r="I97" s="3"/>
    </row>
    <row r="98" spans="1:9" x14ac:dyDescent="0.25">
      <c r="I98" s="3"/>
    </row>
    <row r="99" spans="1:9" x14ac:dyDescent="0.25">
      <c r="I99" s="3"/>
    </row>
    <row r="101" spans="1:9" x14ac:dyDescent="0.25">
      <c r="I101" s="3"/>
    </row>
    <row r="104" spans="1:9" ht="13.8" x14ac:dyDescent="0.3">
      <c r="B104" s="18"/>
      <c r="C104" s="19"/>
      <c r="D104" s="18"/>
      <c r="E104" s="19"/>
      <c r="F104" s="18"/>
      <c r="G104" s="19"/>
    </row>
    <row r="105" spans="1:9" ht="13.8" x14ac:dyDescent="0.3">
      <c r="B105" s="14"/>
      <c r="C105" s="19"/>
      <c r="D105" s="14"/>
      <c r="E105" s="19"/>
      <c r="F105" s="18"/>
      <c r="G105" s="19"/>
    </row>
    <row r="106" spans="1:9" x14ac:dyDescent="0.25">
      <c r="A106" s="2"/>
      <c r="F106" s="15"/>
      <c r="G106" s="15"/>
      <c r="H106" s="2"/>
    </row>
    <row r="108" spans="1:9" x14ac:dyDescent="0.25">
      <c r="A108" s="2"/>
      <c r="F108" s="15"/>
      <c r="H108" s="2"/>
    </row>
    <row r="109" spans="1:9" x14ac:dyDescent="0.25">
      <c r="A109" s="2"/>
      <c r="F109" s="15"/>
      <c r="H109" s="2"/>
    </row>
    <row r="112" spans="1:9" x14ac:dyDescent="0.25">
      <c r="A112" s="2"/>
    </row>
    <row r="113" spans="8:8" x14ac:dyDescent="0.25">
      <c r="H113" s="2"/>
    </row>
  </sheetData>
  <hyperlinks>
    <hyperlink ref="B9" r:id="rId1" xr:uid="{2E4555FF-2B0F-4A98-B7FA-6440CB8A69B4}"/>
    <hyperlink ref="B10" r:id="rId2" xr:uid="{19C62BED-C333-4C07-839D-6D2AD09298D2}"/>
    <hyperlink ref="B11" r:id="rId3" xr:uid="{2AE0FC7C-23AE-487B-991B-6221B2C7774A}"/>
  </hyperlinks>
  <pageMargins left="0.75" right="0.75" top="1" bottom="1" header="0.5" footer="0.5"/>
  <pageSetup paperSize="9" orientation="portrait" horizontalDpi="300" r:id="rId4"/>
  <headerFooter alignWithMargins="0">
    <oddHeader>&amp;A</oddHeader>
    <oddFooter>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CaSO4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2023-11-30T15:16:10Z</dcterms:modified>
</cp:coreProperties>
</file>