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13_ncr:1_{9A5A393D-1CF0-46D0-B782-A720F24B28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PO4" sheetId="1" r:id="rId1"/>
    <sheet name="1963GRE" sheetId="2" r:id="rId2"/>
    <sheet name="1971MCD_BRO" sheetId="3" r:id="rId3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4" i="1" l="1"/>
  <c r="AA113" i="1"/>
  <c r="AA112" i="1"/>
  <c r="F114" i="1"/>
  <c r="F113" i="1"/>
  <c r="F112" i="1"/>
  <c r="P114" i="1"/>
  <c r="P113" i="1"/>
  <c r="Q113" i="1" s="1"/>
  <c r="P112" i="1"/>
  <c r="J114" i="1"/>
  <c r="H114" i="1"/>
  <c r="K114" i="1" s="1"/>
  <c r="J113" i="1"/>
  <c r="H113" i="1"/>
  <c r="K113" i="1" s="1"/>
  <c r="J112" i="1"/>
  <c r="H112" i="1"/>
  <c r="AA95" i="1"/>
  <c r="V95" i="1"/>
  <c r="Q95" i="1"/>
  <c r="AA94" i="1"/>
  <c r="V94" i="1"/>
  <c r="Q94" i="1"/>
  <c r="AA93" i="1"/>
  <c r="V93" i="1"/>
  <c r="Q93" i="1"/>
  <c r="H95" i="1"/>
  <c r="F95" i="1"/>
  <c r="H94" i="1"/>
  <c r="F94" i="1"/>
  <c r="H93" i="1"/>
  <c r="F93" i="1"/>
  <c r="AA63" i="1"/>
  <c r="AA62" i="1"/>
  <c r="AA61" i="1"/>
  <c r="Q63" i="1"/>
  <c r="V63" i="1"/>
  <c r="Q62" i="1"/>
  <c r="V62" i="1"/>
  <c r="Q61" i="1"/>
  <c r="V61" i="1"/>
  <c r="H63" i="1"/>
  <c r="K63" i="1" s="1"/>
  <c r="H62" i="1"/>
  <c r="K62" i="1" s="1"/>
  <c r="H61" i="1"/>
  <c r="F63" i="1"/>
  <c r="F62" i="1"/>
  <c r="F61" i="1"/>
  <c r="M38" i="1"/>
  <c r="Y65" i="1"/>
  <c r="AA65" i="1" s="1"/>
  <c r="V65" i="1"/>
  <c r="Q65" i="1"/>
  <c r="H65" i="1"/>
  <c r="K65" i="1" s="1"/>
  <c r="M35" i="1"/>
  <c r="M62" i="1" s="1"/>
  <c r="H64" i="1"/>
  <c r="G69" i="1"/>
  <c r="F69" i="1"/>
  <c r="M33" i="1"/>
  <c r="N33" i="1"/>
  <c r="M34" i="1"/>
  <c r="N34" i="1"/>
  <c r="N35" i="1"/>
  <c r="W35" i="1"/>
  <c r="W37" i="1" s="1"/>
  <c r="M36" i="1"/>
  <c r="N36" i="1"/>
  <c r="B38" i="1"/>
  <c r="B39" i="1"/>
  <c r="I48" i="1" s="1"/>
  <c r="G43" i="1"/>
  <c r="H43" i="1" s="1"/>
  <c r="J43" i="1"/>
  <c r="Q43" i="1"/>
  <c r="V43" i="1"/>
  <c r="AA43" i="1"/>
  <c r="G44" i="1"/>
  <c r="H44" i="1" s="1"/>
  <c r="Q44" i="1"/>
  <c r="V44" i="1"/>
  <c r="AA44" i="1"/>
  <c r="F45" i="1"/>
  <c r="G45" i="1"/>
  <c r="H45" i="1" s="1"/>
  <c r="K45" i="1" s="1"/>
  <c r="J45" i="1"/>
  <c r="Q45" i="1"/>
  <c r="V45" i="1"/>
  <c r="AA45" i="1"/>
  <c r="F46" i="1"/>
  <c r="G46" i="1"/>
  <c r="H46" i="1" s="1"/>
  <c r="K46" i="1" s="1"/>
  <c r="J46" i="1"/>
  <c r="Q46" i="1"/>
  <c r="V46" i="1"/>
  <c r="AA46" i="1"/>
  <c r="G47" i="1"/>
  <c r="H47" i="1" s="1"/>
  <c r="Q47" i="1"/>
  <c r="V47" i="1"/>
  <c r="AA47" i="1"/>
  <c r="H48" i="1"/>
  <c r="M48" i="1" s="1"/>
  <c r="Q48" i="1"/>
  <c r="V48" i="1"/>
  <c r="AA48" i="1"/>
  <c r="H49" i="1"/>
  <c r="Q49" i="1"/>
  <c r="V49" i="1"/>
  <c r="AA49" i="1"/>
  <c r="F50" i="1"/>
  <c r="H50" i="1"/>
  <c r="K50" i="1"/>
  <c r="Q50" i="1"/>
  <c r="V50" i="1"/>
  <c r="AA50" i="1"/>
  <c r="F51" i="1"/>
  <c r="I51" i="1" s="1"/>
  <c r="H51" i="1"/>
  <c r="J51" i="1"/>
  <c r="Q51" i="1"/>
  <c r="V51" i="1"/>
  <c r="AA51" i="1"/>
  <c r="F52" i="1"/>
  <c r="H52" i="1"/>
  <c r="K52" i="1" s="1"/>
  <c r="J52" i="1"/>
  <c r="Q52" i="1"/>
  <c r="V52" i="1"/>
  <c r="AA52" i="1"/>
  <c r="F53" i="1"/>
  <c r="I53" i="1" s="1"/>
  <c r="H53" i="1"/>
  <c r="K53" i="1" s="1"/>
  <c r="J53" i="1"/>
  <c r="Q53" i="1"/>
  <c r="V53" i="1"/>
  <c r="W53" i="1" s="1"/>
  <c r="AA53" i="1"/>
  <c r="F54" i="1"/>
  <c r="H54" i="1"/>
  <c r="K54" i="1" s="1"/>
  <c r="J54" i="1"/>
  <c r="Q54" i="1"/>
  <c r="V54" i="1"/>
  <c r="AA54" i="1"/>
  <c r="F55" i="1"/>
  <c r="I55" i="1" s="1"/>
  <c r="H55" i="1"/>
  <c r="K55" i="1" s="1"/>
  <c r="J55" i="1"/>
  <c r="Q55" i="1"/>
  <c r="V55" i="1"/>
  <c r="W55" i="1" s="1"/>
  <c r="AA55" i="1"/>
  <c r="F56" i="1"/>
  <c r="H56" i="1"/>
  <c r="K56" i="1" s="1"/>
  <c r="L56" i="1" s="1"/>
  <c r="J56" i="1"/>
  <c r="O56" i="1" s="1"/>
  <c r="Q56" i="1"/>
  <c r="V56" i="1"/>
  <c r="AA56" i="1"/>
  <c r="F57" i="1"/>
  <c r="I57" i="1" s="1"/>
  <c r="H57" i="1"/>
  <c r="K57" i="1" s="1"/>
  <c r="J57" i="1"/>
  <c r="Q57" i="1"/>
  <c r="V57" i="1"/>
  <c r="AA57" i="1"/>
  <c r="F58" i="1"/>
  <c r="H58" i="1"/>
  <c r="K58" i="1" s="1"/>
  <c r="L58" i="1" s="1"/>
  <c r="J58" i="1"/>
  <c r="Q58" i="1"/>
  <c r="V58" i="1"/>
  <c r="AA58" i="1"/>
  <c r="F59" i="1"/>
  <c r="I59" i="1" s="1"/>
  <c r="H59" i="1"/>
  <c r="K59" i="1" s="1"/>
  <c r="J59" i="1"/>
  <c r="Q59" i="1"/>
  <c r="V59" i="1"/>
  <c r="AA59" i="1"/>
  <c r="F60" i="1"/>
  <c r="H60" i="1"/>
  <c r="K60" i="1" s="1"/>
  <c r="J60" i="1"/>
  <c r="Q60" i="1"/>
  <c r="V60" i="1"/>
  <c r="AA60" i="1"/>
  <c r="Q64" i="1"/>
  <c r="V64" i="1"/>
  <c r="V71" i="1"/>
  <c r="V72" i="1"/>
  <c r="M73" i="1"/>
  <c r="N73" i="1"/>
  <c r="V73" i="1"/>
  <c r="B75" i="1"/>
  <c r="B76" i="1"/>
  <c r="G80" i="1"/>
  <c r="Q80" i="1"/>
  <c r="V80" i="1"/>
  <c r="AA80" i="1"/>
  <c r="H81" i="1"/>
  <c r="Q81" i="1"/>
  <c r="V81" i="1"/>
  <c r="AA81" i="1"/>
  <c r="F82" i="1"/>
  <c r="H82" i="1"/>
  <c r="K82" i="1" s="1"/>
  <c r="J82" i="1"/>
  <c r="Q82" i="1"/>
  <c r="V82" i="1"/>
  <c r="AA82" i="1"/>
  <c r="F83" i="1"/>
  <c r="H83" i="1"/>
  <c r="K83" i="1" s="1"/>
  <c r="J83" i="1"/>
  <c r="Q83" i="1"/>
  <c r="V83" i="1"/>
  <c r="AA83" i="1"/>
  <c r="F84" i="1"/>
  <c r="H84" i="1"/>
  <c r="K84" i="1" s="1"/>
  <c r="Q84" i="1"/>
  <c r="V84" i="1"/>
  <c r="AA84" i="1"/>
  <c r="F85" i="1"/>
  <c r="H85" i="1"/>
  <c r="K85" i="1" s="1"/>
  <c r="L85" i="1" s="1"/>
  <c r="J85" i="1"/>
  <c r="Q85" i="1"/>
  <c r="V85" i="1"/>
  <c r="AA85" i="1"/>
  <c r="F86" i="1"/>
  <c r="H86" i="1"/>
  <c r="K86" i="1" s="1"/>
  <c r="J86" i="1"/>
  <c r="Q86" i="1"/>
  <c r="V86" i="1"/>
  <c r="AA86" i="1"/>
  <c r="F87" i="1"/>
  <c r="H87" i="1"/>
  <c r="K87" i="1" s="1"/>
  <c r="L87" i="1" s="1"/>
  <c r="J87" i="1"/>
  <c r="Q87" i="1"/>
  <c r="V87" i="1"/>
  <c r="AA87" i="1"/>
  <c r="F88" i="1"/>
  <c r="I88" i="1" s="1"/>
  <c r="H88" i="1"/>
  <c r="J88" i="1"/>
  <c r="Q88" i="1"/>
  <c r="V88" i="1"/>
  <c r="AA88" i="1"/>
  <c r="F89" i="1"/>
  <c r="H89" i="1"/>
  <c r="K89" i="1" s="1"/>
  <c r="J89" i="1"/>
  <c r="Q89" i="1"/>
  <c r="V89" i="1"/>
  <c r="AA89" i="1"/>
  <c r="F90" i="1"/>
  <c r="H90" i="1"/>
  <c r="K90" i="1" s="1"/>
  <c r="J90" i="1"/>
  <c r="Q90" i="1"/>
  <c r="V90" i="1"/>
  <c r="AA90" i="1"/>
  <c r="F91" i="1"/>
  <c r="H91" i="1"/>
  <c r="K91" i="1" s="1"/>
  <c r="J91" i="1"/>
  <c r="Q91" i="1"/>
  <c r="V91" i="1"/>
  <c r="AA91" i="1"/>
  <c r="F92" i="1"/>
  <c r="H92" i="1"/>
  <c r="K92" i="1" s="1"/>
  <c r="J92" i="1"/>
  <c r="Q92" i="1"/>
  <c r="V92" i="1"/>
  <c r="AA92" i="1"/>
  <c r="V102" i="1"/>
  <c r="V103" i="1"/>
  <c r="B104" i="1"/>
  <c r="V104" i="1"/>
  <c r="B105" i="1"/>
  <c r="H109" i="1"/>
  <c r="K109" i="1" s="1"/>
  <c r="P109" i="1"/>
  <c r="Q109" i="1" s="1"/>
  <c r="AA109" i="1"/>
  <c r="F110" i="1"/>
  <c r="H110" i="1"/>
  <c r="K110" i="1" s="1"/>
  <c r="J110" i="1"/>
  <c r="P110" i="1"/>
  <c r="V110" i="1" s="1"/>
  <c r="AA110" i="1"/>
  <c r="F111" i="1"/>
  <c r="H111" i="1"/>
  <c r="K111" i="1" s="1"/>
  <c r="J111" i="1"/>
  <c r="P111" i="1"/>
  <c r="V111" i="1" s="1"/>
  <c r="AA111" i="1"/>
  <c r="V121" i="1"/>
  <c r="V122" i="1"/>
  <c r="V123" i="1"/>
  <c r="E7" i="2"/>
  <c r="B23" i="2"/>
  <c r="B24" i="2"/>
  <c r="B26" i="2"/>
  <c r="B27" i="2"/>
  <c r="E7" i="3"/>
  <c r="F7" i="3"/>
  <c r="I7" i="3"/>
  <c r="J7" i="3"/>
  <c r="E8" i="3"/>
  <c r="F8" i="3"/>
  <c r="I8" i="3"/>
  <c r="J8" i="3"/>
  <c r="E9" i="3"/>
  <c r="F9" i="3"/>
  <c r="I9" i="3"/>
  <c r="J9" i="3"/>
  <c r="C10" i="3"/>
  <c r="D10" i="3"/>
  <c r="G10" i="3"/>
  <c r="H10" i="3"/>
  <c r="C11" i="3"/>
  <c r="D11" i="3"/>
  <c r="E11" i="3"/>
  <c r="F11" i="3"/>
  <c r="G11" i="3"/>
  <c r="H11" i="3"/>
  <c r="I11" i="3"/>
  <c r="J11" i="3"/>
  <c r="E13" i="3"/>
  <c r="F13" i="3"/>
  <c r="I13" i="3"/>
  <c r="J13" i="3"/>
  <c r="E14" i="3"/>
  <c r="F14" i="3"/>
  <c r="I14" i="3"/>
  <c r="J14" i="3"/>
  <c r="E15" i="3"/>
  <c r="F15" i="3"/>
  <c r="I15" i="3"/>
  <c r="J15" i="3"/>
  <c r="C16" i="3"/>
  <c r="D16" i="3"/>
  <c r="G16" i="3"/>
  <c r="H16" i="3"/>
  <c r="C17" i="3"/>
  <c r="D17" i="3"/>
  <c r="E17" i="3"/>
  <c r="F17" i="3"/>
  <c r="G17" i="3"/>
  <c r="H17" i="3"/>
  <c r="I17" i="3"/>
  <c r="J17" i="3"/>
  <c r="C20" i="3"/>
  <c r="D20" i="3"/>
  <c r="G20" i="3"/>
  <c r="H20" i="3"/>
  <c r="C22" i="3"/>
  <c r="D22" i="3"/>
  <c r="G22" i="3"/>
  <c r="H22" i="3"/>
  <c r="C24" i="3"/>
  <c r="D24" i="3"/>
  <c r="G24" i="3"/>
  <c r="H24" i="3"/>
  <c r="C25" i="3"/>
  <c r="D25" i="3"/>
  <c r="G25" i="3"/>
  <c r="H25" i="3"/>
  <c r="C26" i="3"/>
  <c r="D26" i="3"/>
  <c r="G26" i="3"/>
  <c r="H26" i="3"/>
  <c r="C27" i="3"/>
  <c r="D27" i="3"/>
  <c r="G27" i="3"/>
  <c r="H27" i="3"/>
  <c r="C28" i="3"/>
  <c r="D28" i="3"/>
  <c r="G28" i="3"/>
  <c r="H28" i="3"/>
  <c r="C30" i="3"/>
  <c r="D30" i="3"/>
  <c r="G30" i="3"/>
  <c r="H30" i="3"/>
  <c r="C31" i="3"/>
  <c r="D31" i="3"/>
  <c r="G31" i="3"/>
  <c r="H31" i="3"/>
  <c r="C32" i="3"/>
  <c r="D32" i="3"/>
  <c r="G32" i="3"/>
  <c r="H32" i="3"/>
  <c r="C33" i="3"/>
  <c r="D33" i="3"/>
  <c r="G33" i="3"/>
  <c r="H33" i="3"/>
  <c r="C34" i="3"/>
  <c r="D34" i="3"/>
  <c r="G34" i="3"/>
  <c r="H34" i="3"/>
  <c r="W111" i="1" l="1"/>
  <c r="I110" i="1"/>
  <c r="W91" i="1"/>
  <c r="AB91" i="1" s="1"/>
  <c r="I91" i="1"/>
  <c r="W89" i="1"/>
  <c r="L92" i="1"/>
  <c r="M94" i="1"/>
  <c r="L111" i="1"/>
  <c r="N111" i="1" s="1"/>
  <c r="X111" i="1" s="1"/>
  <c r="AE111" i="1" s="1"/>
  <c r="W87" i="1"/>
  <c r="AB87" i="1" s="1"/>
  <c r="I87" i="1"/>
  <c r="N87" i="1" s="1"/>
  <c r="R87" i="1" s="1"/>
  <c r="O83" i="1"/>
  <c r="O81" i="1"/>
  <c r="W64" i="1"/>
  <c r="I94" i="1"/>
  <c r="I90" i="1"/>
  <c r="W88" i="1"/>
  <c r="AC88" i="1" s="1"/>
  <c r="I84" i="1"/>
  <c r="I82" i="1"/>
  <c r="I80" i="1"/>
  <c r="W48" i="1"/>
  <c r="AB48" i="1" s="1"/>
  <c r="W45" i="1"/>
  <c r="AC45" i="1" s="1"/>
  <c r="O48" i="1"/>
  <c r="W90" i="1"/>
  <c r="AC90" i="1" s="1"/>
  <c r="W86" i="1"/>
  <c r="AC86" i="1" s="1"/>
  <c r="W84" i="1"/>
  <c r="AC84" i="1" s="1"/>
  <c r="W58" i="1"/>
  <c r="AC58" i="1" s="1"/>
  <c r="W54" i="1"/>
  <c r="AC54" i="1" s="1"/>
  <c r="I52" i="1"/>
  <c r="I50" i="1"/>
  <c r="I49" i="1"/>
  <c r="I44" i="1"/>
  <c r="I93" i="1"/>
  <c r="I95" i="1"/>
  <c r="I111" i="1"/>
  <c r="I89" i="1"/>
  <c r="W83" i="1"/>
  <c r="AB83" i="1" s="1"/>
  <c r="I83" i="1"/>
  <c r="W59" i="1"/>
  <c r="AC59" i="1" s="1"/>
  <c r="W62" i="1"/>
  <c r="AB62" i="1" s="1"/>
  <c r="AC89" i="1"/>
  <c r="O84" i="1"/>
  <c r="AB58" i="1"/>
  <c r="O50" i="1"/>
  <c r="O94" i="1"/>
  <c r="L90" i="1"/>
  <c r="L84" i="1"/>
  <c r="L57" i="1"/>
  <c r="N57" i="1" s="1"/>
  <c r="I46" i="1"/>
  <c r="K94" i="1"/>
  <c r="L94" i="1" s="1"/>
  <c r="O111" i="1"/>
  <c r="Q110" i="1"/>
  <c r="O47" i="1"/>
  <c r="W93" i="1"/>
  <c r="AC93" i="1" s="1"/>
  <c r="I62" i="1"/>
  <c r="O93" i="1"/>
  <c r="O95" i="1"/>
  <c r="W38" i="1"/>
  <c r="K93" i="1"/>
  <c r="L93" i="1" s="1"/>
  <c r="O109" i="1"/>
  <c r="W92" i="1"/>
  <c r="AB92" i="1" s="1"/>
  <c r="W60" i="1"/>
  <c r="W56" i="1"/>
  <c r="AC56" i="1" s="1"/>
  <c r="W51" i="1"/>
  <c r="AB51" i="1" s="1"/>
  <c r="I45" i="1"/>
  <c r="O62" i="1"/>
  <c r="V113" i="1"/>
  <c r="W113" i="1" s="1"/>
  <c r="AC113" i="1" s="1"/>
  <c r="W65" i="1"/>
  <c r="AC65" i="1" s="1"/>
  <c r="M93" i="1"/>
  <c r="W82" i="1"/>
  <c r="AB82" i="1" s="1"/>
  <c r="W81" i="1"/>
  <c r="AB81" i="1" s="1"/>
  <c r="W80" i="1"/>
  <c r="AB80" i="1" s="1"/>
  <c r="O59" i="1"/>
  <c r="W57" i="1"/>
  <c r="AC57" i="1" s="1"/>
  <c r="O54" i="1"/>
  <c r="O53" i="1"/>
  <c r="W49" i="1"/>
  <c r="AB49" i="1" s="1"/>
  <c r="W43" i="1"/>
  <c r="AB43" i="1" s="1"/>
  <c r="W63" i="1"/>
  <c r="AB63" i="1" s="1"/>
  <c r="K95" i="1"/>
  <c r="L95" i="1" s="1"/>
  <c r="M95" i="1"/>
  <c r="Q111" i="1"/>
  <c r="W110" i="1"/>
  <c r="AC110" i="1" s="1"/>
  <c r="O92" i="1"/>
  <c r="W85" i="1"/>
  <c r="AC85" i="1" s="1"/>
  <c r="O60" i="1"/>
  <c r="K48" i="1"/>
  <c r="L48" i="1" s="1"/>
  <c r="N48" i="1" s="1"/>
  <c r="I47" i="1"/>
  <c r="I114" i="1"/>
  <c r="M109" i="1"/>
  <c r="AA97" i="1"/>
  <c r="I63" i="1"/>
  <c r="I61" i="1"/>
  <c r="I112" i="1"/>
  <c r="I92" i="1"/>
  <c r="N92" i="1" s="1"/>
  <c r="O88" i="1"/>
  <c r="I85" i="1"/>
  <c r="N85" i="1" s="1"/>
  <c r="R85" i="1" s="1"/>
  <c r="I60" i="1"/>
  <c r="I58" i="1"/>
  <c r="N58" i="1" s="1"/>
  <c r="M49" i="1"/>
  <c r="K47" i="1"/>
  <c r="L47" i="1" s="1"/>
  <c r="M46" i="1"/>
  <c r="I43" i="1"/>
  <c r="W46" i="1"/>
  <c r="I65" i="1"/>
  <c r="M65" i="1"/>
  <c r="M60" i="1"/>
  <c r="I109" i="1"/>
  <c r="I86" i="1"/>
  <c r="K81" i="1"/>
  <c r="L81" i="1" s="1"/>
  <c r="O57" i="1"/>
  <c r="I56" i="1"/>
  <c r="O55" i="1"/>
  <c r="I54" i="1"/>
  <c r="O52" i="1"/>
  <c r="W50" i="1"/>
  <c r="AC50" i="1" s="1"/>
  <c r="M45" i="1"/>
  <c r="W44" i="1"/>
  <c r="K51" i="1"/>
  <c r="L51" i="1" s="1"/>
  <c r="N51" i="1" s="1"/>
  <c r="O51" i="1"/>
  <c r="O58" i="1"/>
  <c r="AB55" i="1"/>
  <c r="AC55" i="1"/>
  <c r="AB53" i="1"/>
  <c r="AC53" i="1"/>
  <c r="V109" i="1"/>
  <c r="W109" i="1" s="1"/>
  <c r="K43" i="1"/>
  <c r="L43" i="1" s="1"/>
  <c r="M44" i="1"/>
  <c r="L113" i="1"/>
  <c r="L63" i="1"/>
  <c r="L65" i="1"/>
  <c r="L82" i="1"/>
  <c r="N82" i="1" s="1"/>
  <c r="L114" i="1"/>
  <c r="L53" i="1"/>
  <c r="N53" i="1" s="1"/>
  <c r="L54" i="1"/>
  <c r="L60" i="1"/>
  <c r="L83" i="1"/>
  <c r="L86" i="1"/>
  <c r="L89" i="1"/>
  <c r="L110" i="1"/>
  <c r="N110" i="1" s="1"/>
  <c r="X110" i="1" s="1"/>
  <c r="AD110" i="1" s="1"/>
  <c r="L62" i="1"/>
  <c r="L45" i="1"/>
  <c r="L46" i="1"/>
  <c r="L50" i="1"/>
  <c r="L52" i="1"/>
  <c r="L55" i="1"/>
  <c r="N55" i="1" s="1"/>
  <c r="L59" i="1"/>
  <c r="N59" i="1" s="1"/>
  <c r="L109" i="1"/>
  <c r="L91" i="1"/>
  <c r="M43" i="1"/>
  <c r="O64" i="1"/>
  <c r="Y64" i="1" s="1"/>
  <c r="AA64" i="1" s="1"/>
  <c r="AC64" i="1" s="1"/>
  <c r="K64" i="1"/>
  <c r="L64" i="1" s="1"/>
  <c r="Q114" i="1"/>
  <c r="V114" i="1"/>
  <c r="W114" i="1" s="1"/>
  <c r="AB111" i="1"/>
  <c r="AC111" i="1"/>
  <c r="K49" i="1"/>
  <c r="L49" i="1" s="1"/>
  <c r="O49" i="1"/>
  <c r="O112" i="1"/>
  <c r="K112" i="1"/>
  <c r="L112" i="1" s="1"/>
  <c r="H80" i="1"/>
  <c r="O43" i="1"/>
  <c r="M64" i="1"/>
  <c r="O61" i="1"/>
  <c r="K61" i="1"/>
  <c r="L61" i="1" s="1"/>
  <c r="V112" i="1"/>
  <c r="W112" i="1" s="1"/>
  <c r="Q112" i="1"/>
  <c r="AA116" i="1"/>
  <c r="AB59" i="1"/>
  <c r="M47" i="1"/>
  <c r="AB93" i="1"/>
  <c r="AB89" i="1"/>
  <c r="K88" i="1"/>
  <c r="L88" i="1" s="1"/>
  <c r="N88" i="1" s="1"/>
  <c r="O113" i="1"/>
  <c r="K44" i="1"/>
  <c r="L44" i="1" s="1"/>
  <c r="O44" i="1"/>
  <c r="M61" i="1"/>
  <c r="M63" i="1"/>
  <c r="W95" i="1"/>
  <c r="O114" i="1"/>
  <c r="M56" i="1"/>
  <c r="M50" i="1"/>
  <c r="W52" i="1"/>
  <c r="W47" i="1"/>
  <c r="O46" i="1"/>
  <c r="O45" i="1"/>
  <c r="I64" i="1"/>
  <c r="I81" i="1"/>
  <c r="O63" i="1"/>
  <c r="W61" i="1"/>
  <c r="W94" i="1"/>
  <c r="I113" i="1"/>
  <c r="AB86" i="1" l="1"/>
  <c r="AC63" i="1"/>
  <c r="N52" i="1"/>
  <c r="U52" i="1" s="1"/>
  <c r="AC48" i="1"/>
  <c r="AC83" i="1"/>
  <c r="AB110" i="1"/>
  <c r="AB88" i="1"/>
  <c r="AB90" i="1"/>
  <c r="N89" i="1"/>
  <c r="R89" i="1" s="1"/>
  <c r="AC91" i="1"/>
  <c r="AB54" i="1"/>
  <c r="AC62" i="1"/>
  <c r="N90" i="1"/>
  <c r="N91" i="1"/>
  <c r="X91" i="1" s="1"/>
  <c r="AB56" i="1"/>
  <c r="AC87" i="1"/>
  <c r="AB57" i="1"/>
  <c r="N94" i="1"/>
  <c r="R94" i="1" s="1"/>
  <c r="R57" i="1"/>
  <c r="X57" i="1"/>
  <c r="AD57" i="1" s="1"/>
  <c r="AC82" i="1"/>
  <c r="X87" i="1"/>
  <c r="AD87" i="1" s="1"/>
  <c r="AB45" i="1"/>
  <c r="AA66" i="1"/>
  <c r="AD111" i="1"/>
  <c r="AB84" i="1"/>
  <c r="N93" i="1"/>
  <c r="R93" i="1" s="1"/>
  <c r="N84" i="1"/>
  <c r="R84" i="1" s="1"/>
  <c r="N50" i="1"/>
  <c r="R50" i="1" s="1"/>
  <c r="N62" i="1"/>
  <c r="X62" i="1" s="1"/>
  <c r="N83" i="1"/>
  <c r="R83" i="1" s="1"/>
  <c r="N56" i="1"/>
  <c r="U56" i="1" s="1"/>
  <c r="N95" i="1"/>
  <c r="R95" i="1" s="1"/>
  <c r="N46" i="1"/>
  <c r="R46" i="1" s="1"/>
  <c r="N45" i="1"/>
  <c r="R45" i="1" s="1"/>
  <c r="N65" i="1"/>
  <c r="R65" i="1" s="1"/>
  <c r="AC43" i="1"/>
  <c r="AB65" i="1"/>
  <c r="N109" i="1"/>
  <c r="X109" i="1" s="1"/>
  <c r="AD109" i="1" s="1"/>
  <c r="AC92" i="1"/>
  <c r="AC81" i="1"/>
  <c r="N86" i="1"/>
  <c r="R86" i="1" s="1"/>
  <c r="AC80" i="1"/>
  <c r="N63" i="1"/>
  <c r="R63" i="1" s="1"/>
  <c r="AB85" i="1"/>
  <c r="AC51" i="1"/>
  <c r="N114" i="1"/>
  <c r="X114" i="1" s="1"/>
  <c r="AD114" i="1" s="1"/>
  <c r="AC49" i="1"/>
  <c r="N54" i="1"/>
  <c r="S54" i="1" s="1"/>
  <c r="AB50" i="1"/>
  <c r="N112" i="1"/>
  <c r="X112" i="1" s="1"/>
  <c r="AD112" i="1" s="1"/>
  <c r="AC60" i="1"/>
  <c r="AB60" i="1"/>
  <c r="AB64" i="1"/>
  <c r="AC44" i="1"/>
  <c r="AB44" i="1"/>
  <c r="AB46" i="1"/>
  <c r="AC46" i="1"/>
  <c r="N49" i="1"/>
  <c r="R49" i="1" s="1"/>
  <c r="N44" i="1"/>
  <c r="X44" i="1" s="1"/>
  <c r="N47" i="1"/>
  <c r="X47" i="1" s="1"/>
  <c r="AD47" i="1" s="1"/>
  <c r="N43" i="1"/>
  <c r="T43" i="1" s="1"/>
  <c r="X85" i="1"/>
  <c r="AD85" i="1" s="1"/>
  <c r="N113" i="1"/>
  <c r="X113" i="1" s="1"/>
  <c r="AD113" i="1" s="1"/>
  <c r="N81" i="1"/>
  <c r="R81" i="1" s="1"/>
  <c r="AB113" i="1"/>
  <c r="N61" i="1"/>
  <c r="R61" i="1" s="1"/>
  <c r="N60" i="1"/>
  <c r="X60" i="1" s="1"/>
  <c r="R52" i="1"/>
  <c r="X82" i="1"/>
  <c r="R82" i="1"/>
  <c r="X50" i="1"/>
  <c r="T55" i="1"/>
  <c r="R55" i="1"/>
  <c r="X55" i="1"/>
  <c r="R48" i="1"/>
  <c r="X48" i="1"/>
  <c r="T48" i="1"/>
  <c r="AB47" i="1"/>
  <c r="AC47" i="1"/>
  <c r="R88" i="1"/>
  <c r="X88" i="1"/>
  <c r="X59" i="1"/>
  <c r="R59" i="1"/>
  <c r="T59" i="1"/>
  <c r="X51" i="1"/>
  <c r="T51" i="1"/>
  <c r="R51" i="1"/>
  <c r="AB94" i="1"/>
  <c r="AC94" i="1"/>
  <c r="N64" i="1"/>
  <c r="AB52" i="1"/>
  <c r="AC52" i="1"/>
  <c r="AB112" i="1"/>
  <c r="AC112" i="1"/>
  <c r="T65" i="1"/>
  <c r="R58" i="1"/>
  <c r="X58" i="1"/>
  <c r="S58" i="1"/>
  <c r="AB95" i="1"/>
  <c r="AC95" i="1"/>
  <c r="K80" i="1"/>
  <c r="L80" i="1" s="1"/>
  <c r="O80" i="1"/>
  <c r="M80" i="1"/>
  <c r="AB61" i="1"/>
  <c r="AC61" i="1"/>
  <c r="AE110" i="1"/>
  <c r="AB114" i="1"/>
  <c r="AC114" i="1"/>
  <c r="R53" i="1"/>
  <c r="X53" i="1"/>
  <c r="AC109" i="1"/>
  <c r="AB109" i="1"/>
  <c r="X92" i="1"/>
  <c r="R92" i="1"/>
  <c r="X93" i="1" l="1"/>
  <c r="AE93" i="1" s="1"/>
  <c r="X52" i="1"/>
  <c r="AD52" i="1" s="1"/>
  <c r="P119" i="1" a="1"/>
  <c r="P122" i="1" s="1"/>
  <c r="R91" i="1"/>
  <c r="X63" i="1"/>
  <c r="AD63" i="1" s="1"/>
  <c r="X95" i="1"/>
  <c r="AD95" i="1" s="1"/>
  <c r="AE109" i="1"/>
  <c r="X89" i="1"/>
  <c r="AD89" i="1" s="1"/>
  <c r="X84" i="1"/>
  <c r="AE84" i="1" s="1"/>
  <c r="U50" i="1"/>
  <c r="X90" i="1"/>
  <c r="R90" i="1"/>
  <c r="X86" i="1"/>
  <c r="AE86" i="1" s="1"/>
  <c r="R47" i="1"/>
  <c r="AE57" i="1"/>
  <c r="U62" i="1"/>
  <c r="AE112" i="1"/>
  <c r="X94" i="1"/>
  <c r="AD94" i="1" s="1"/>
  <c r="X43" i="1"/>
  <c r="AD43" i="1" s="1"/>
  <c r="R62" i="1"/>
  <c r="X65" i="1"/>
  <c r="AE65" i="1" s="1"/>
  <c r="AE52" i="1"/>
  <c r="R43" i="1"/>
  <c r="AD116" i="1"/>
  <c r="T46" i="1"/>
  <c r="AC97" i="1"/>
  <c r="R56" i="1"/>
  <c r="U44" i="1"/>
  <c r="X83" i="1"/>
  <c r="AE83" i="1" s="1"/>
  <c r="X56" i="1"/>
  <c r="AE56" i="1" s="1"/>
  <c r="AE114" i="1"/>
  <c r="X61" i="1"/>
  <c r="AD61" i="1" s="1"/>
  <c r="S49" i="1"/>
  <c r="S66" i="1" s="1"/>
  <c r="AE87" i="1"/>
  <c r="X45" i="1"/>
  <c r="AD45" i="1" s="1"/>
  <c r="X46" i="1"/>
  <c r="AE46" i="1" s="1"/>
  <c r="X81" i="1"/>
  <c r="AD81" i="1" s="1"/>
  <c r="R54" i="1"/>
  <c r="T61" i="1"/>
  <c r="N66" i="1"/>
  <c r="U47" i="1"/>
  <c r="X54" i="1"/>
  <c r="AE54" i="1" s="1"/>
  <c r="AC116" i="1"/>
  <c r="AD119" i="1" s="1"/>
  <c r="N80" i="1"/>
  <c r="N96" i="1" s="1"/>
  <c r="R60" i="1"/>
  <c r="AE113" i="1"/>
  <c r="R44" i="1"/>
  <c r="AE85" i="1"/>
  <c r="U60" i="1"/>
  <c r="X49" i="1"/>
  <c r="AD49" i="1" s="1"/>
  <c r="AB97" i="1"/>
  <c r="AC66" i="1"/>
  <c r="AD92" i="1"/>
  <c r="AE92" i="1"/>
  <c r="AD50" i="1"/>
  <c r="AE50" i="1"/>
  <c r="AD93" i="1"/>
  <c r="T64" i="1"/>
  <c r="X64" i="1"/>
  <c r="R64" i="1"/>
  <c r="AD55" i="1"/>
  <c r="AE55" i="1"/>
  <c r="AE63" i="1"/>
  <c r="AD65" i="1"/>
  <c r="AD60" i="1"/>
  <c r="AE60" i="1"/>
  <c r="AB116" i="1"/>
  <c r="AD62" i="1"/>
  <c r="AE62" i="1"/>
  <c r="N67" i="1"/>
  <c r="AD46" i="1"/>
  <c r="AE95" i="1"/>
  <c r="AD59" i="1"/>
  <c r="AE59" i="1"/>
  <c r="AD88" i="1"/>
  <c r="AE88" i="1"/>
  <c r="AB66" i="1"/>
  <c r="AE82" i="1"/>
  <c r="AD82" i="1"/>
  <c r="AD53" i="1"/>
  <c r="AE53" i="1"/>
  <c r="AD58" i="1"/>
  <c r="AE58" i="1"/>
  <c r="AD51" i="1"/>
  <c r="AE51" i="1"/>
  <c r="AE47" i="1"/>
  <c r="AD48" i="1"/>
  <c r="AE48" i="1"/>
  <c r="AD91" i="1"/>
  <c r="AE91" i="1"/>
  <c r="AD44" i="1"/>
  <c r="AE44" i="1"/>
  <c r="Q119" i="1" l="1"/>
  <c r="P123" i="1"/>
  <c r="P119" i="1"/>
  <c r="P121" i="1"/>
  <c r="Q123" i="1"/>
  <c r="Q120" i="1"/>
  <c r="Q121" i="1"/>
  <c r="AD83" i="1"/>
  <c r="Q122" i="1"/>
  <c r="P120" i="1"/>
  <c r="AD86" i="1"/>
  <c r="AD84" i="1"/>
  <c r="AD56" i="1"/>
  <c r="AE94" i="1"/>
  <c r="AE89" i="1"/>
  <c r="AD54" i="1"/>
  <c r="AE61" i="1"/>
  <c r="N97" i="1"/>
  <c r="AE116" i="1"/>
  <c r="AD122" i="1" s="1"/>
  <c r="AE90" i="1"/>
  <c r="AD90" i="1"/>
  <c r="T66" i="1"/>
  <c r="AE43" i="1"/>
  <c r="AE45" i="1"/>
  <c r="AE49" i="1"/>
  <c r="R66" i="1"/>
  <c r="S67" i="1"/>
  <c r="X80" i="1"/>
  <c r="AE80" i="1" s="1"/>
  <c r="AD99" i="1"/>
  <c r="AH105" i="1" s="1"/>
  <c r="U67" i="1"/>
  <c r="AE81" i="1"/>
  <c r="R80" i="1"/>
  <c r="U66" i="1"/>
  <c r="AD118" i="1"/>
  <c r="AH124" i="1" s="1"/>
  <c r="T67" i="1"/>
  <c r="R67" i="1"/>
  <c r="AD64" i="1"/>
  <c r="AE64" i="1"/>
  <c r="AD68" i="1"/>
  <c r="AD80" i="1"/>
  <c r="AD123" i="1"/>
  <c r="AE97" i="1" l="1"/>
  <c r="AD120" i="1"/>
  <c r="AD66" i="1"/>
  <c r="AD69" i="1" s="1"/>
  <c r="AD97" i="1"/>
  <c r="AE66" i="1"/>
  <c r="AD72" i="1" s="1"/>
  <c r="AD121" i="1"/>
  <c r="AD124" i="1"/>
  <c r="AH121" i="1"/>
  <c r="AH102" i="1"/>
  <c r="AD103" i="1"/>
  <c r="AD101" i="1"/>
  <c r="AD100" i="1"/>
  <c r="AD104" i="1"/>
  <c r="AH74" i="1"/>
  <c r="AH71" i="1"/>
  <c r="AD70" i="1"/>
  <c r="AD73" i="1" l="1"/>
  <c r="W123" i="1"/>
  <c r="Y122" i="1"/>
  <c r="AD74" i="1"/>
  <c r="Y123" i="1"/>
  <c r="X122" i="1"/>
  <c r="W122" i="1"/>
  <c r="Y121" i="1"/>
  <c r="X121" i="1"/>
  <c r="W121" i="1"/>
  <c r="X123" i="1"/>
  <c r="AD102" i="1"/>
  <c r="AD71" i="1"/>
  <c r="AD105" i="1"/>
  <c r="X104" i="1" l="1"/>
  <c r="W102" i="1"/>
  <c r="X102" i="1"/>
  <c r="W103" i="1"/>
  <c r="W104" i="1"/>
  <c r="W72" i="1"/>
  <c r="Y73" i="1"/>
  <c r="Y72" i="1"/>
  <c r="X71" i="1"/>
  <c r="W71" i="1"/>
  <c r="Y71" i="1"/>
  <c r="W73" i="1"/>
  <c r="X72" i="1"/>
  <c r="X73" i="1"/>
  <c r="Y103" i="1"/>
  <c r="Y102" i="1"/>
  <c r="X103" i="1"/>
  <c r="Y104" i="1"/>
</calcChain>
</file>

<file path=xl/sharedStrings.xml><?xml version="1.0" encoding="utf-8"?>
<sst xmlns="http://schemas.openxmlformats.org/spreadsheetml/2006/main" count="342" uniqueCount="152">
  <si>
    <r>
      <rPr>
        <sz val="10"/>
        <rFont val="Symbol"/>
        <family val="1"/>
        <charset val="2"/>
      </rPr>
      <t>e</t>
    </r>
    <r>
      <rPr>
        <sz val="10"/>
        <rFont val="Arial"/>
      </rPr>
      <t>(Ca</t>
    </r>
    <r>
      <rPr>
        <vertAlign val="superscript"/>
        <sz val="10"/>
        <rFont val="Arial"/>
        <family val="2"/>
      </rPr>
      <t>2+</t>
    </r>
    <r>
      <rPr>
        <sz val="10"/>
        <rFont val="Arial"/>
      </rPr>
      <t>, Cl</t>
    </r>
    <r>
      <rPr>
        <vertAlign val="superscript"/>
        <sz val="10"/>
        <rFont val="Arial"/>
        <family val="2"/>
      </rPr>
      <t>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</si>
  <si>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</si>
  <si>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(Ca</t>
    </r>
    <r>
      <rPr>
        <vertAlign val="superscript"/>
        <sz val="10"/>
        <rFont val="Arial"/>
        <family val="2"/>
      </rPr>
      <t>2+</t>
    </r>
    <r>
      <rPr>
        <sz val="10"/>
        <rFont val="Arial"/>
      </rPr>
      <t>, ClO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</si>
  <si>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</si>
  <si>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(Ca</t>
    </r>
    <r>
      <rPr>
        <vertAlign val="superscript"/>
        <sz val="10"/>
        <rFont val="Arial"/>
        <family val="2"/>
      </rPr>
      <t>2+</t>
    </r>
    <r>
      <rPr>
        <sz val="10"/>
        <rFont val="Arial"/>
      </rPr>
      <t>, NO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</si>
  <si>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</si>
  <si>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(CaHPO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>(aq), NaCl, KNO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>, NaClO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) = 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</si>
  <si>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</si>
  <si>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</si>
  <si>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e</t>
    </r>
    <r>
      <rPr>
        <sz val="10"/>
        <rFont val="Arial"/>
      </rPr>
      <t>(K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</rPr>
      <t>) =</t>
    </r>
  </si>
  <si>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>(KCl) =</t>
    </r>
  </si>
  <si>
    <t>R</t>
  </si>
  <si>
    <r>
      <t>CaHPO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>(aq)</t>
    </r>
  </si>
  <si>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>(NaCl) =</t>
    </r>
  </si>
  <si>
    <t>T</t>
  </si>
  <si>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>(NaClO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 =</t>
    </r>
  </si>
  <si>
    <t>ln(10)</t>
  </si>
  <si>
    <r>
      <t>Ca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 xml:space="preserve"> +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CaHPO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(aq)</t>
    </r>
  </si>
  <si>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>(KNO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 =</t>
    </r>
  </si>
  <si>
    <t>-------------------------------------------</t>
  </si>
  <si>
    <t>A (15C) =</t>
  </si>
  <si>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>(Pr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NCl) =</t>
    </r>
  </si>
  <si>
    <t>R ln(10)</t>
  </si>
  <si>
    <r>
      <t>D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</si>
  <si>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 xml:space="preserve">   Experimental</t>
  </si>
  <si>
    <t>A (25C) =</t>
  </si>
  <si>
    <t>R T ln(10)</t>
  </si>
  <si>
    <r>
      <t>Sn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 xml:space="preserve"> =</t>
    </r>
  </si>
  <si>
    <t>------ Data -------------------------------</t>
  </si>
  <si>
    <t>A (37C) =</t>
  </si>
  <si>
    <t>Backgrnd</t>
  </si>
  <si>
    <t>I</t>
  </si>
  <si>
    <t>K</t>
  </si>
  <si>
    <t>log K</t>
  </si>
  <si>
    <t>rho</t>
  </si>
  <si>
    <t>Im</t>
  </si>
  <si>
    <t>log Km</t>
  </si>
  <si>
    <t>±</t>
  </si>
  <si>
    <t>Electrolyte</t>
  </si>
  <si>
    <t>(molar)</t>
  </si>
  <si>
    <t>(molal)</t>
  </si>
  <si>
    <t>D</t>
  </si>
  <si>
    <r>
      <t>-D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D</t>
    </r>
  </si>
  <si>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 xml:space="preserve"> Im</t>
    </r>
  </si>
  <si>
    <r>
      <t>log K</t>
    </r>
    <r>
      <rPr>
        <sz val="10"/>
        <rFont val="Symbol"/>
        <family val="1"/>
        <charset val="2"/>
      </rPr>
      <t>°</t>
    </r>
    <r>
      <rPr>
        <sz val="10"/>
        <rFont val="Arial"/>
        <family val="2"/>
      </rPr>
      <t xml:space="preserve"> = log Km + 4 D + </t>
    </r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 xml:space="preserve"> Im</t>
    </r>
  </si>
  <si>
    <t>1 / T [K]</t>
  </si>
  <si>
    <t>X1</t>
  </si>
  <si>
    <r>
      <t>Temp (</t>
    </r>
    <r>
      <rPr>
        <sz val="10"/>
        <rFont val="Calibri"/>
        <family val="2"/>
      </rPr>
      <t>°</t>
    </r>
    <r>
      <rPr>
        <sz val="10"/>
        <rFont val="Arial"/>
        <family val="2"/>
      </rPr>
      <t>C)</t>
    </r>
  </si>
  <si>
    <t>[K]</t>
  </si>
  <si>
    <t>1940GRE/RED</t>
  </si>
  <si>
    <t>KCl</t>
  </si>
  <si>
    <t>1953GOS/COG</t>
  </si>
  <si>
    <t>NaCl</t>
  </si>
  <si>
    <t>1956SMI/ALB</t>
  </si>
  <si>
    <r>
      <t>Pr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NCl</t>
    </r>
  </si>
  <si>
    <t>1970CHI</t>
  </si>
  <si>
    <r>
      <t>KNO</t>
    </r>
    <r>
      <rPr>
        <b/>
        <vertAlign val="subscript"/>
        <sz val="10"/>
        <rFont val="Times New Roman"/>
        <family val="1"/>
      </rPr>
      <t>3</t>
    </r>
  </si>
  <si>
    <t>1963GRE</t>
  </si>
  <si>
    <t>1966MOR/GRE</t>
  </si>
  <si>
    <t>1970GRE/MOR</t>
  </si>
  <si>
    <t>1971MCD/BRO</t>
  </si>
  <si>
    <r>
      <t>NaClO</t>
    </r>
    <r>
      <rPr>
        <b/>
        <vertAlign val="subscript"/>
        <sz val="10"/>
        <rFont val="Times New Roman"/>
        <family val="1"/>
      </rPr>
      <t>4</t>
    </r>
  </si>
  <si>
    <r>
      <t>CaH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PO</t>
    </r>
    <r>
      <rPr>
        <b/>
        <vertAlign val="subscript"/>
        <sz val="10"/>
        <rFont val="Arial"/>
        <family val="2"/>
      </rPr>
      <t>4</t>
    </r>
    <r>
      <rPr>
        <b/>
        <vertAlign val="superscript"/>
        <sz val="10"/>
        <rFont val="Arial"/>
        <family val="2"/>
      </rPr>
      <t>+</t>
    </r>
  </si>
  <si>
    <r>
      <t>Ca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 xml:space="preserve"> +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= CaH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</si>
  <si>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r>
      <t>CaPO</t>
    </r>
    <r>
      <rPr>
        <b/>
        <vertAlign val="subscript"/>
        <sz val="10"/>
        <rFont val="Arial"/>
        <family val="2"/>
      </rPr>
      <t>4</t>
    </r>
    <r>
      <rPr>
        <b/>
        <vertAlign val="superscript"/>
        <sz val="10"/>
        <rFont val="Arial"/>
        <family val="2"/>
      </rPr>
      <t>-</t>
    </r>
  </si>
  <si>
    <r>
      <t>Ca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 xml:space="preserve"> +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 xml:space="preserve"> = CaPO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</si>
  <si>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Temp</t>
  </si>
  <si>
    <r>
      <t>(</t>
    </r>
    <r>
      <rPr>
        <sz val="10"/>
        <rFont val="Calibri"/>
        <family val="2"/>
      </rPr>
      <t>°</t>
    </r>
    <r>
      <rPr>
        <sz val="10"/>
        <rFont val="Arial"/>
        <family val="2"/>
      </rPr>
      <t>C)</t>
    </r>
  </si>
  <si>
    <t>Greenwald (1963), Table I</t>
  </si>
  <si>
    <r>
      <t>Ca</t>
    </r>
    <r>
      <rPr>
        <vertAlign val="superscript"/>
        <sz val="10"/>
        <rFont val="Arial"/>
        <family val="2"/>
      </rPr>
      <t>2+</t>
    </r>
    <r>
      <rPr>
        <sz val="10"/>
        <rFont val="Arial"/>
      </rPr>
      <t xml:space="preserve"> +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</rPr>
      <t xml:space="preserve"> = CaHPO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>(aq)</t>
    </r>
  </si>
  <si>
    <r>
      <t>CaHPO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>(aq) = CaPO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</rPr>
      <t xml:space="preserve"> + H</t>
    </r>
    <r>
      <rPr>
        <vertAlign val="superscript"/>
        <sz val="10"/>
        <rFont val="Arial"/>
        <family val="2"/>
      </rPr>
      <t>+</t>
    </r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</si>
  <si>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</rPr>
      <t>K</t>
    </r>
  </si>
  <si>
    <r>
      <t>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</rPr>
      <t xml:space="preserve"> =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</rPr>
      <t xml:space="preserve"> + H</t>
    </r>
    <r>
      <rPr>
        <vertAlign val="superscript"/>
        <sz val="10"/>
        <rFont val="Arial"/>
        <family val="2"/>
      </rPr>
      <t>+</t>
    </r>
  </si>
  <si>
    <r>
      <t>Ca2+ +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</rPr>
      <t xml:space="preserve"> = CaPO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</si>
  <si>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Mean</t>
  </si>
  <si>
    <t>STDEV</t>
  </si>
  <si>
    <t>Min</t>
  </si>
  <si>
    <t>Max</t>
  </si>
  <si>
    <r>
      <t>Temp (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</si>
  <si>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t>Kx</t>
  </si>
  <si>
    <t>Ky</t>
  </si>
  <si>
    <t>undersat. leach</t>
  </si>
  <si>
    <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</si>
  <si>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1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</si>
  <si>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t>undersat. batch</t>
  </si>
  <si>
    <t>supersat.</t>
  </si>
  <si>
    <t>unweighted mean</t>
  </si>
  <si>
    <t>weighted mean</t>
  </si>
  <si>
    <t>1953DAV/HOY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</si>
  <si>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</rPr>
      <t>Kx</t>
    </r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</si>
  <si>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</rPr>
      <t>Ky</t>
    </r>
  </si>
  <si>
    <t>1968CHU/MAR</t>
  </si>
  <si>
    <r>
      <rPr>
        <sz val="10"/>
        <rFont val="Symbol"/>
        <family val="1"/>
        <charset val="2"/>
      </rPr>
      <t>e</t>
    </r>
    <r>
      <rPr>
        <sz val="10"/>
        <rFont val="Arial"/>
      </rPr>
      <t>(CaH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NO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-)</t>
    </r>
    <r>
      <rPr>
        <sz val="10"/>
        <rFont val="Arial"/>
      </rPr>
      <t xml:space="preserve"> = </t>
    </r>
  </si>
  <si>
    <r>
      <t xml:space="preserve">1 / 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</si>
  <si>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</si>
  <si>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</si>
  <si>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</si>
  <si>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</si>
  <si>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S</t>
    </r>
    <r>
      <rPr>
        <sz val="10"/>
        <rFont val="Arial"/>
        <family val="2"/>
      </rPr>
      <t xml:space="preserve">(i) </t>
    </r>
    <r>
      <rPr>
        <sz val="10"/>
        <rFont val="Arial"/>
      </rPr>
      <t>=</t>
    </r>
  </si>
  <si>
    <r>
      <t>D</t>
    </r>
    <r>
      <rPr>
        <sz val="10"/>
        <rFont val="Arial"/>
        <family val="2"/>
      </rPr>
      <t xml:space="preserve"> = </t>
    </r>
    <r>
      <rPr>
        <sz val="10"/>
        <rFont val="Symbol"/>
        <family val="1"/>
        <charset val="2"/>
      </rPr>
      <t>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</si>
  <si>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1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</si>
  <si>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2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</si>
  <si>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Intercept</t>
  </si>
  <si>
    <r>
      <t>S</t>
    </r>
    <r>
      <rPr>
        <sz val="10"/>
        <rFont val="Arial"/>
        <family val="2"/>
      </rPr>
      <t>3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</si>
  <si>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 xml:space="preserve">4 = 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</si>
  <si>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Slope</t>
  </si>
  <si>
    <r>
      <t>s</t>
    </r>
    <r>
      <rPr>
        <b/>
        <sz val="10"/>
        <rFont val="Arial"/>
        <family val="2"/>
      </rPr>
      <t>(slope)</t>
    </r>
    <r>
      <rPr>
        <sz val="10"/>
        <rFont val="Arial"/>
        <family val="2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  <family val="2"/>
      </rPr>
      <t xml:space="preserve"> =</t>
    </r>
  </si>
  <si>
    <r>
      <t>log K</t>
    </r>
    <r>
      <rPr>
        <sz val="10"/>
        <rFont val="Symbol"/>
        <family val="1"/>
        <charset val="2"/>
      </rPr>
      <t>°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</si>
  <si>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1 - 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2) /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 =  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</si>
  <si>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  <r>
      <rPr>
        <b/>
        <sz val="10"/>
        <rFont val="Calibri"/>
        <family val="2"/>
      </rPr>
      <t xml:space="preserve">° </t>
    </r>
    <r>
      <rPr>
        <sz val="10"/>
        <rFont val="Arial"/>
        <family val="2"/>
      </rPr>
      <t>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3 -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4) / </t>
    </r>
    <r>
      <rPr>
        <sz val="10"/>
        <rFont val="Symbol"/>
        <family val="1"/>
        <charset val="2"/>
      </rPr>
      <t xml:space="preserve">D </t>
    </r>
    <r>
      <rPr>
        <sz val="10"/>
        <rFont val="Arial"/>
        <family val="2"/>
      </rPr>
      <t xml:space="preserve"> =</t>
    </r>
    <r>
      <rPr>
        <sz val="10"/>
        <rFont val="Symbol"/>
        <family val="1"/>
        <charset val="2"/>
      </rPr>
      <t xml:space="preserve">  </t>
    </r>
  </si>
  <si>
    <r>
      <t>s</t>
    </r>
    <r>
      <rPr>
        <b/>
        <sz val="10"/>
        <rFont val="Arial"/>
        <family val="2"/>
      </rPr>
      <t>(log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= </t>
    </r>
    <r>
      <rPr>
        <sz val="10"/>
        <rFont val="Arial"/>
      </rPr>
      <t>(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</rPr>
      <t xml:space="preserve"> = </t>
    </r>
  </si>
  <si>
    <t>A (0 C) =</t>
  </si>
  <si>
    <t>+</t>
  </si>
  <si>
    <t>-</t>
  </si>
  <si>
    <t>1996SAH/SAH</t>
  </si>
  <si>
    <r>
      <t>NaNO</t>
    </r>
    <r>
      <rPr>
        <b/>
        <vertAlign val="subscript"/>
        <sz val="10"/>
        <rFont val="Times New Roman"/>
        <family val="1"/>
      </rPr>
      <t>3</t>
    </r>
  </si>
  <si>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>(NaNO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 =</t>
    </r>
  </si>
  <si>
    <t>1988TUN/EID</t>
  </si>
  <si>
    <t>Hummel W. &amp; Thoenen T. (2023): The PSI Chemical Thermodynamic Database 2020 (TDB 2020), Nagra Technical Report NTB 21-03</t>
  </si>
  <si>
    <t>References</t>
  </si>
  <si>
    <t>Chapter 4.2.8.1 Calcium(II) phosphate complexes</t>
  </si>
  <si>
    <t>1) Extrapolation of reported stability constants to I = 0 using SIT as described in NTB 21-03 Chapter 1.5 Medium effects</t>
  </si>
  <si>
    <t>2) Weighted least squares regression analysis of extrapolated data using the two-term integrated van't Hoff equation as described in NTB 21-03 Chapter 1.6.3 Constant enthalpy of reaction</t>
  </si>
  <si>
    <t>Greenwald, I., Redish, J. &amp; Kibrick, A.C. (1940): The dissociation of calcium and magnesium phosphates. J. Biol. Chem., 135, 65-76.</t>
  </si>
  <si>
    <t>Davies, C.W. &amp; Hoyle, B.E. (1953): The interaction of calcium ions with some phosphate and citrate buffers. J. Chem. Soc., 4134-4136.</t>
  </si>
  <si>
    <t>Gosselin, R.E. &amp; Coghlan, E.R. (1953): The stability of complexes between calcium and orthophosphate, polymeric phosphate, and phytate. Arch. Biochem. Biophys., 45, 301-311.</t>
  </si>
  <si>
    <t>Childs, C.W. (1970): A potentiometric study of equilibria in aqueous divalent metal orthophosphate solutions. Inorg. Chem., 9, 2465-2469.</t>
  </si>
  <si>
    <t>Greenwald, I. (1963): The instability constant and hydrogen ion dissociation of calcium hydrogen phosphate. J. Phys. Chem., 67, 2853-2854.</t>
  </si>
  <si>
    <t>Chughtai, A., Marshall, R. &amp; Nancollas, G.H. (1968): Complexes in calcium phosphate solutions. J. Phys. Chem., 72, 208-211.</t>
  </si>
  <si>
    <r>
      <t>Moreno, E.C., Gregory, T.M. &amp; Brown, W.E. (1966): Solubility of CaHPO</t>
    </r>
    <r>
      <rPr>
        <vertAlign val="subscript"/>
        <sz val="10"/>
        <rFont val="Arial"/>
        <family val="2"/>
      </rPr>
      <t>4</t>
    </r>
    <r>
      <rPr>
        <sz val="10"/>
        <rFont val="Symbol"/>
        <family val="1"/>
        <charset val="2"/>
      </rPr>
      <t>×</t>
    </r>
    <r>
      <rPr>
        <sz val="10"/>
        <rFont val="Arial"/>
        <family val="2"/>
      </rPr>
      <t>2H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 and formation of ion pairs in the system Ca(OH)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– H</t>
    </r>
    <r>
      <rPr>
        <vertAlign val="subscript"/>
        <sz val="10"/>
        <rFont val="Arial"/>
        <family val="2"/>
      </rPr>
      <t>3</t>
    </r>
    <r>
      <rPr>
        <sz val="10"/>
        <rFont val="Arial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–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 at 37.5 °C. J. Res. Natl. Bur. Stand., 70A, 545-552.</t>
    </r>
  </si>
  <si>
    <r>
      <t>Gregory, T.M., Moreno, E.C. &amp; Brown, W.E. (1970): Solubility of CaHPO</t>
    </r>
    <r>
      <rPr>
        <vertAlign val="subscript"/>
        <sz val="10"/>
        <rFont val="Arial"/>
        <family val="2"/>
      </rPr>
      <t>4</t>
    </r>
    <r>
      <rPr>
        <sz val="10"/>
        <rFont val="Symbol"/>
        <family val="1"/>
        <charset val="2"/>
      </rPr>
      <t>×</t>
    </r>
    <r>
      <rPr>
        <sz val="10"/>
        <rFont val="Arial"/>
        <family val="2"/>
      </rPr>
      <t>2H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 in the system Ca(OH)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– 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–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 at 5, 15, 25, and 37.5 °C. J. Res. Natl. Bur. Stand., 74A, 461-475.</t>
    </r>
  </si>
  <si>
    <t>Tung, M.S., Eidelman, N., Sieck, B. &amp; Brown, W.E. (1988): Octacalcium phosphate solubility product from 4 to 37°C. J. Res. Natl. Bur. Stand., 93, 613-624.</t>
  </si>
  <si>
    <t>Ciavatta, L., Iuliano, M. &amp; Porto, R. (1991): Complex formation equilibria in calcium phosphate solutions. Annali di Chimica, 81, 243–258.</t>
  </si>
  <si>
    <t>Saha, A., Saha, N., Ji, L., Zhao, J., Gregáň, F., Sajadi, S.A., Song, B. &amp; Sigel, H. (1996): Stability of metal ion complexes formed with methyl phosphate and hydrogen phosphate. Journal of Biological Inorganic Chemistry, 1, 231-238.</t>
  </si>
  <si>
    <t>1991CIA/IUL</t>
  </si>
  <si>
    <r>
      <t>log K</t>
    </r>
    <r>
      <rPr>
        <sz val="10"/>
        <rFont val="Symbol"/>
        <family val="1"/>
        <charset val="2"/>
      </rPr>
      <t>°</t>
    </r>
    <r>
      <rPr>
        <sz val="10"/>
        <rFont val="Arial"/>
        <family val="2"/>
      </rPr>
      <t xml:space="preserve"> = log Km + 8 D + </t>
    </r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 xml:space="preserve"> Im</t>
    </r>
  </si>
  <si>
    <r>
      <t>log K</t>
    </r>
    <r>
      <rPr>
        <sz val="10"/>
        <rFont val="Symbol"/>
        <family val="1"/>
        <charset val="2"/>
      </rPr>
      <t>°</t>
    </r>
    <r>
      <rPr>
        <sz val="10"/>
        <rFont val="Arial"/>
        <family val="2"/>
      </rPr>
      <t xml:space="preserve"> = log Km + 12 D + </t>
    </r>
    <r>
      <rPr>
        <sz val="10"/>
        <rFont val="Symbol"/>
        <family val="1"/>
        <charset val="2"/>
      </rPr>
      <t>De</t>
    </r>
    <r>
      <rPr>
        <sz val="10"/>
        <rFont val="Arial"/>
        <family val="2"/>
      </rPr>
      <t xml:space="preserve"> Im</t>
    </r>
  </si>
  <si>
    <t>McDowell et al. (1971) Tables I and II, Davies equation</t>
  </si>
  <si>
    <t>doi:10.1016/s0021-9258%2818%2973159-1</t>
  </si>
  <si>
    <t>doi:10.1039/JR9530004134</t>
  </si>
  <si>
    <t>doi:10.1016/S0003-9861(53)80007-X</t>
  </si>
  <si>
    <t>doi:10.1021/ic50093a017</t>
  </si>
  <si>
    <t>doi:10.1021/j100806a509</t>
  </si>
  <si>
    <t>doi:10.6028/jres.070A.047</t>
  </si>
  <si>
    <t>doi:10.1021/j100847a039</t>
  </si>
  <si>
    <t>doi:10.6028/jres.074A.036</t>
  </si>
  <si>
    <t>doi:10.1021/ic50102a020</t>
  </si>
  <si>
    <t>doi:10.6028/jres.093.153</t>
  </si>
  <si>
    <t>doi:10.1007/s007750050048</t>
  </si>
  <si>
    <t>Smith, R.M. &amp; Alberty, R.A. (1956b): The apparent stability constants of ionic complexes of various adenosine phosphates with divalent cations. J. Phys. Chem., 78, 2376–2380.</t>
  </si>
  <si>
    <t>doi:10.1021/ja01592a009</t>
  </si>
  <si>
    <t>Brown, W.E., Sutter, J.R. &amp; McDowell, H. (1971): Solubility study of calcium hydrogen phosphate. Ion-pair formation. Inorg. Chem., 10, 1638-1643.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</si>
</sst>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6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sz val="10"/>
      <name val="Courier New"/>
      <family val="3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color indexed="10"/>
      <name val="Arial"/>
      <family val="2"/>
    </font>
    <font>
      <sz val="10"/>
      <name val="Arial"/>
      <family val="1"/>
      <charset val="2"/>
    </font>
    <font>
      <b/>
      <vertAlign val="subscript"/>
      <sz val="10"/>
      <name val="Arial"/>
      <family val="2"/>
    </font>
    <font>
      <b/>
      <sz val="10"/>
      <name val="Symbol"/>
      <family val="1"/>
      <charset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2" fillId="0" borderId="0"/>
    <xf numFmtId="0" fontId="25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1"/>
    <xf numFmtId="0" fontId="5" fillId="0" borderId="0" xfId="1" applyAlignment="1">
      <alignment horizontal="left"/>
    </xf>
    <xf numFmtId="49" fontId="8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5" fillId="0" borderId="0" xfId="1" applyAlignment="1">
      <alignment horizontal="center"/>
    </xf>
    <xf numFmtId="0" fontId="9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0" fontId="8" fillId="0" borderId="0" xfId="1" applyFont="1" applyAlignment="1">
      <alignment horizontal="left" vertical="top"/>
    </xf>
    <xf numFmtId="0" fontId="5" fillId="0" borderId="0" xfId="1" applyAlignment="1">
      <alignment horizontal="right"/>
    </xf>
    <xf numFmtId="2" fontId="0" fillId="0" borderId="0" xfId="0" applyNumberFormat="1"/>
    <xf numFmtId="0" fontId="9" fillId="0" borderId="0" xfId="0" applyFont="1"/>
    <xf numFmtId="164" fontId="5" fillId="0" borderId="0" xfId="1" applyNumberFormat="1" applyAlignment="1">
      <alignment horizontal="center"/>
    </xf>
    <xf numFmtId="2" fontId="11" fillId="0" borderId="0" xfId="0" applyNumberFormat="1" applyFont="1"/>
    <xf numFmtId="0" fontId="11" fillId="0" borderId="0" xfId="0" applyFont="1"/>
    <xf numFmtId="2" fontId="11" fillId="0" borderId="0" xfId="1" applyNumberFormat="1" applyFont="1"/>
    <xf numFmtId="0" fontId="13" fillId="0" borderId="0" xfId="1" applyFont="1" applyAlignment="1">
      <alignment horizontal="center"/>
    </xf>
    <xf numFmtId="164" fontId="12" fillId="0" borderId="0" xfId="0" applyNumberFormat="1" applyFont="1"/>
    <xf numFmtId="2" fontId="14" fillId="0" borderId="0" xfId="0" applyNumberFormat="1" applyFont="1"/>
    <xf numFmtId="0" fontId="15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4" fillId="0" borderId="0" xfId="0" quotePrefix="1" applyFont="1"/>
    <xf numFmtId="2" fontId="14" fillId="0" borderId="0" xfId="0" quotePrefix="1" applyNumberFormat="1" applyFont="1"/>
    <xf numFmtId="166" fontId="5" fillId="0" borderId="0" xfId="0" applyNumberFormat="1" applyFont="1"/>
    <xf numFmtId="0" fontId="6" fillId="0" borderId="0" xfId="1" quotePrefix="1" applyFont="1" applyAlignment="1">
      <alignment horizontal="right"/>
    </xf>
    <xf numFmtId="0" fontId="5" fillId="0" borderId="0" xfId="0" quotePrefix="1" applyFont="1" applyAlignment="1">
      <alignment horizontal="right"/>
    </xf>
    <xf numFmtId="164" fontId="11" fillId="0" borderId="0" xfId="0" applyNumberFormat="1" applyFont="1"/>
    <xf numFmtId="0" fontId="17" fillId="0" borderId="0" xfId="2" applyFont="1" applyAlignment="1">
      <alignment horizontal="right"/>
    </xf>
    <xf numFmtId="0" fontId="18" fillId="0" borderId="0" xfId="2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quotePrefix="1" applyFont="1" applyAlignment="1">
      <alignment horizontal="center"/>
    </xf>
    <xf numFmtId="0" fontId="0" fillId="0" borderId="0" xfId="0" quotePrefix="1"/>
    <xf numFmtId="0" fontId="19" fillId="0" borderId="0" xfId="1" applyFont="1"/>
    <xf numFmtId="2" fontId="5" fillId="0" borderId="0" xfId="0" applyNumberFormat="1" applyFont="1"/>
    <xf numFmtId="2" fontId="19" fillId="0" borderId="0" xfId="0" applyNumberFormat="1" applyFont="1"/>
    <xf numFmtId="2" fontId="20" fillId="0" borderId="0" xfId="0" applyNumberFormat="1" applyFont="1"/>
    <xf numFmtId="164" fontId="7" fillId="0" borderId="0" xfId="0" applyNumberFormat="1" applyFont="1"/>
    <xf numFmtId="0" fontId="7" fillId="0" borderId="0" xfId="0" quotePrefix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11" fillId="0" borderId="0" xfId="1" applyNumberFormat="1" applyFont="1"/>
    <xf numFmtId="2" fontId="23" fillId="0" borderId="0" xfId="0" applyNumberFormat="1" applyFont="1"/>
    <xf numFmtId="164" fontId="23" fillId="0" borderId="0" xfId="0" applyNumberFormat="1" applyFont="1"/>
    <xf numFmtId="0" fontId="24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7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164" fontId="1" fillId="0" borderId="0" xfId="1" applyNumberFormat="1" applyFont="1" applyAlignment="1">
      <alignment horizontal="center"/>
    </xf>
    <xf numFmtId="2" fontId="12" fillId="0" borderId="0" xfId="0" applyNumberFormat="1" applyFont="1"/>
    <xf numFmtId="0" fontId="1" fillId="0" borderId="0" xfId="0" applyFont="1"/>
    <xf numFmtId="0" fontId="11" fillId="0" borderId="0" xfId="1" applyFont="1"/>
    <xf numFmtId="0" fontId="1" fillId="0" borderId="0" xfId="1" applyFont="1" applyAlignment="1">
      <alignment horizontal="left"/>
    </xf>
    <xf numFmtId="0" fontId="25" fillId="0" borderId="0" xfId="3"/>
  </cellXfs>
  <cellStyles count="4">
    <cellStyle name="Enllaç" xfId="3" builtinId="8"/>
    <cellStyle name="Normal" xfId="0" builtinId="0"/>
    <cellStyle name="Normal 2" xfId="1" xr:uid="{00000000-0005-0000-0000-000000000000}"/>
    <cellStyle name="Normal 3" xfId="2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825094164921"/>
          <c:y val="2.0658275022929783E-2"/>
          <c:w val="0.81712033681295471"/>
          <c:h val="0.8574265047066482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CaPO4!$Y$80:$Y$95</c:f>
                <c:numCache>
                  <c:formatCode>General</c:formatCode>
                  <c:ptCount val="16"/>
                  <c:pt idx="0">
                    <c:v>0.6</c:v>
                  </c:pt>
                  <c:pt idx="1">
                    <c:v>0.3</c:v>
                  </c:pt>
                  <c:pt idx="2">
                    <c:v>0.3</c:v>
                  </c:pt>
                  <c:pt idx="3">
                    <c:v>0.3</c:v>
                  </c:pt>
                  <c:pt idx="4">
                    <c:v>0.3</c:v>
                  </c:pt>
                  <c:pt idx="5">
                    <c:v>0.4</c:v>
                  </c:pt>
                  <c:pt idx="6">
                    <c:v>0.4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0.4</c:v>
                  </c:pt>
                  <c:pt idx="10">
                    <c:v>0.3</c:v>
                  </c:pt>
                  <c:pt idx="11">
                    <c:v>0.3</c:v>
                  </c:pt>
                  <c:pt idx="12">
                    <c:v>0.3</c:v>
                  </c:pt>
                  <c:pt idx="13">
                    <c:v>0.3</c:v>
                  </c:pt>
                  <c:pt idx="14">
                    <c:v>0.3</c:v>
                  </c:pt>
                  <c:pt idx="15">
                    <c:v>0.3</c:v>
                  </c:pt>
                </c:numCache>
              </c:numRef>
            </c:plus>
            <c:minus>
              <c:numRef>
                <c:f>CaPO4!$Y$80:$Y$95</c:f>
                <c:numCache>
                  <c:formatCode>General</c:formatCode>
                  <c:ptCount val="16"/>
                  <c:pt idx="0">
                    <c:v>0.6</c:v>
                  </c:pt>
                  <c:pt idx="1">
                    <c:v>0.3</c:v>
                  </c:pt>
                  <c:pt idx="2">
                    <c:v>0.3</c:v>
                  </c:pt>
                  <c:pt idx="3">
                    <c:v>0.3</c:v>
                  </c:pt>
                  <c:pt idx="4">
                    <c:v>0.3</c:v>
                  </c:pt>
                  <c:pt idx="5">
                    <c:v>0.4</c:v>
                  </c:pt>
                  <c:pt idx="6">
                    <c:v>0.4</c:v>
                  </c:pt>
                  <c:pt idx="7">
                    <c:v>0.4</c:v>
                  </c:pt>
                  <c:pt idx="8">
                    <c:v>0.6</c:v>
                  </c:pt>
                  <c:pt idx="9">
                    <c:v>0.4</c:v>
                  </c:pt>
                  <c:pt idx="10">
                    <c:v>0.3</c:v>
                  </c:pt>
                  <c:pt idx="11">
                    <c:v>0.3</c:v>
                  </c:pt>
                  <c:pt idx="12">
                    <c:v>0.3</c:v>
                  </c:pt>
                  <c:pt idx="13">
                    <c:v>0.3</c:v>
                  </c:pt>
                  <c:pt idx="14">
                    <c:v>0.3</c:v>
                  </c:pt>
                  <c:pt idx="15">
                    <c:v>0.3</c:v>
                  </c:pt>
                </c:numCache>
              </c:numRef>
            </c:minus>
          </c:errBars>
          <c:xVal>
            <c:numRef>
              <c:f>CaPO4!$Q$80:$Q$95</c:f>
              <c:numCache>
                <c:formatCode>General</c:formatCode>
                <c:ptCount val="16"/>
                <c:pt idx="0">
                  <c:v>3.224246332419797E-3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3.224246332419797E-3</c:v>
                </c:pt>
                <c:pt idx="4">
                  <c:v>3.2190568163528088E-3</c:v>
                </c:pt>
                <c:pt idx="5">
                  <c:v>3.5951824555096176E-3</c:v>
                </c:pt>
                <c:pt idx="6">
                  <c:v>3.4704147145583901E-3</c:v>
                </c:pt>
                <c:pt idx="7">
                  <c:v>3.3540164346805303E-3</c:v>
                </c:pt>
                <c:pt idx="8">
                  <c:v>3.2190568163528088E-3</c:v>
                </c:pt>
                <c:pt idx="9">
                  <c:v>3.5951824555096176E-3</c:v>
                </c:pt>
                <c:pt idx="10">
                  <c:v>3.4704147145583901E-3</c:v>
                </c:pt>
                <c:pt idx="11">
                  <c:v>3.3540164346805303E-3</c:v>
                </c:pt>
                <c:pt idx="12">
                  <c:v>3.224246332419797E-3</c:v>
                </c:pt>
                <c:pt idx="13">
                  <c:v>3.3540164346805303E-3</c:v>
                </c:pt>
                <c:pt idx="14">
                  <c:v>3.224246332419797E-3</c:v>
                </c:pt>
                <c:pt idx="15">
                  <c:v>3.1431714600031434E-3</c:v>
                </c:pt>
              </c:numCache>
            </c:numRef>
          </c:xVal>
          <c:yVal>
            <c:numRef>
              <c:f>CaPO4!$R$80:$R$95</c:f>
              <c:numCache>
                <c:formatCode>0.00</c:formatCode>
                <c:ptCount val="16"/>
                <c:pt idx="0">
                  <c:v>1.1328386232706193</c:v>
                </c:pt>
                <c:pt idx="1">
                  <c:v>1.08</c:v>
                </c:pt>
                <c:pt idx="2">
                  <c:v>1.4082399653118496</c:v>
                </c:pt>
                <c:pt idx="3">
                  <c:v>1.503790683057181</c:v>
                </c:pt>
                <c:pt idx="4">
                  <c:v>0.87448181769946653</c:v>
                </c:pt>
                <c:pt idx="5">
                  <c:v>1.0043213737826426</c:v>
                </c:pt>
                <c:pt idx="6">
                  <c:v>0.8208579894396999</c:v>
                </c:pt>
                <c:pt idx="7">
                  <c:v>0.70757017609793638</c:v>
                </c:pt>
                <c:pt idx="8">
                  <c:v>0.65417654187796048</c:v>
                </c:pt>
                <c:pt idx="9">
                  <c:v>0.69897000433601886</c:v>
                </c:pt>
                <c:pt idx="10">
                  <c:v>1</c:v>
                </c:pt>
                <c:pt idx="11">
                  <c:v>1</c:v>
                </c:pt>
                <c:pt idx="12">
                  <c:v>1.0413926851582251</c:v>
                </c:pt>
                <c:pt idx="13">
                  <c:v>0.92839585225671384</c:v>
                </c:pt>
                <c:pt idx="14">
                  <c:v>0.84571801796665869</c:v>
                </c:pt>
                <c:pt idx="15">
                  <c:v>0.74585519517372889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4-4099-90AD-741189E29DC4}"/>
            </c:ext>
          </c:extLst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CaPO4!$V$102:$V$104</c:f>
              <c:numCache>
                <c:formatCode>General</c:formatCode>
                <c:ptCount val="3"/>
                <c:pt idx="0">
                  <c:v>3.6609921288669233E-3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CaPO4!$W$102:$W$104</c:f>
              <c:numCache>
                <c:formatCode>General</c:formatCode>
                <c:ptCount val="3"/>
                <c:pt idx="0">
                  <c:v>0.95116265244026621</c:v>
                </c:pt>
                <c:pt idx="1">
                  <c:v>0.99186749689425779</c:v>
                </c:pt>
                <c:pt idx="2">
                  <c:v>1.0224291238537919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B4-4099-90AD-741189E29DC4}"/>
            </c:ext>
          </c:extLst>
        </c:ser>
        <c:ser>
          <c:idx val="2"/>
          <c:order val="2"/>
          <c:spPr>
            <a:ln w="1905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CaPO4!$V$102:$V$104</c:f>
              <c:numCache>
                <c:formatCode>General</c:formatCode>
                <c:ptCount val="3"/>
                <c:pt idx="0">
                  <c:v>3.6609921288669233E-3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CaPO4!$X$102:$X$104</c:f>
              <c:numCache>
                <c:formatCode>General</c:formatCode>
                <c:ptCount val="3"/>
                <c:pt idx="0">
                  <c:v>1.2435781122848257</c:v>
                </c:pt>
                <c:pt idx="1">
                  <c:v>1.0778667879392467</c:v>
                </c:pt>
                <c:pt idx="2">
                  <c:v>1.2634078536827582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B4-4099-90AD-741189E29DC4}"/>
            </c:ext>
          </c:extLst>
        </c:ser>
        <c:ser>
          <c:idx val="3"/>
          <c:order val="3"/>
          <c:spPr>
            <a:ln w="1905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CaPO4!$V$102:$V$104</c:f>
              <c:numCache>
                <c:formatCode>General</c:formatCode>
                <c:ptCount val="3"/>
                <c:pt idx="0">
                  <c:v>3.6609921288669233E-3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CaPO4!$Y$102:$Y$104</c:f>
              <c:numCache>
                <c:formatCode>General</c:formatCode>
                <c:ptCount val="3"/>
                <c:pt idx="0">
                  <c:v>0.6587471925957068</c:v>
                </c:pt>
                <c:pt idx="1">
                  <c:v>0.90586820584926886</c:v>
                </c:pt>
                <c:pt idx="2">
                  <c:v>0.78145039402482563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B4-4099-90AD-741189E29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489904"/>
        <c:axId val="1"/>
      </c:scatterChart>
      <c:valAx>
        <c:axId val="393489904"/>
        <c:scaling>
          <c:orientation val="minMax"/>
          <c:min val="3.1000000000000008E-3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GB"/>
                  <a:t>1 / T [K]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952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  <c:majorUnit val="1.0000000000000003E-4"/>
        <c:minorUnit val="2.5000000000000011E-5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3.0444470303281053E-4"/>
              <c:y val="0.3761167106351796"/>
            </c:manualLayout>
          </c:layout>
          <c:overlay val="0"/>
        </c:title>
        <c:numFmt formatCode="0.0" sourceLinked="0"/>
        <c:majorTickMark val="out"/>
        <c:minorTickMark val="out"/>
        <c:tickLblPos val="nextTo"/>
        <c:spPr>
          <a:ln w="952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93489904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5236974688508"/>
          <c:y val="2.0230275083017939E-2"/>
          <c:w val="0.81714768412569116"/>
          <c:h val="0.844975789631258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CaPO4!$Y$43:$Y$64</c:f>
                <c:numCache>
                  <c:formatCode>General</c:formatCode>
                  <c:ptCount val="22"/>
                  <c:pt idx="0">
                    <c:v>0.34</c:v>
                  </c:pt>
                  <c:pt idx="1">
                    <c:v>0.3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0.4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  <c:pt idx="11">
                    <c:v>0.2</c:v>
                  </c:pt>
                  <c:pt idx="12">
                    <c:v>0.2</c:v>
                  </c:pt>
                  <c:pt idx="13">
                    <c:v>0.25</c:v>
                  </c:pt>
                  <c:pt idx="14">
                    <c:v>0.2</c:v>
                  </c:pt>
                  <c:pt idx="15">
                    <c:v>0.2</c:v>
                  </c:pt>
                  <c:pt idx="16">
                    <c:v>0.2</c:v>
                  </c:pt>
                  <c:pt idx="17">
                    <c:v>0.3</c:v>
                  </c:pt>
                  <c:pt idx="18">
                    <c:v>0.2</c:v>
                  </c:pt>
                  <c:pt idx="19">
                    <c:v>0.2</c:v>
                  </c:pt>
                  <c:pt idx="20">
                    <c:v>0.2</c:v>
                  </c:pt>
                  <c:pt idx="21">
                    <c:v>0.42375732161226431</c:v>
                  </c:pt>
                </c:numCache>
              </c:numRef>
            </c:plus>
            <c:minus>
              <c:numRef>
                <c:f>CaPO4!$Y$43:$Y$64</c:f>
                <c:numCache>
                  <c:formatCode>General</c:formatCode>
                  <c:ptCount val="22"/>
                  <c:pt idx="0">
                    <c:v>0.34</c:v>
                  </c:pt>
                  <c:pt idx="1">
                    <c:v>0.3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0.4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  <c:pt idx="11">
                    <c:v>0.2</c:v>
                  </c:pt>
                  <c:pt idx="12">
                    <c:v>0.2</c:v>
                  </c:pt>
                  <c:pt idx="13">
                    <c:v>0.25</c:v>
                  </c:pt>
                  <c:pt idx="14">
                    <c:v>0.2</c:v>
                  </c:pt>
                  <c:pt idx="15">
                    <c:v>0.2</c:v>
                  </c:pt>
                  <c:pt idx="16">
                    <c:v>0.2</c:v>
                  </c:pt>
                  <c:pt idx="17">
                    <c:v>0.3</c:v>
                  </c:pt>
                  <c:pt idx="18">
                    <c:v>0.2</c:v>
                  </c:pt>
                  <c:pt idx="19">
                    <c:v>0.2</c:v>
                  </c:pt>
                  <c:pt idx="20">
                    <c:v>0.2</c:v>
                  </c:pt>
                  <c:pt idx="21">
                    <c:v>0.42375732161226431</c:v>
                  </c:pt>
                </c:numCache>
              </c:numRef>
            </c:minus>
          </c:errBars>
          <c:xVal>
            <c:numRef>
              <c:f>CaPO4!$Q$43:$Q$65</c:f>
              <c:numCache>
                <c:formatCode>General</c:formatCode>
                <c:ptCount val="23"/>
                <c:pt idx="0">
                  <c:v>3.3540164346805303E-3</c:v>
                </c:pt>
                <c:pt idx="1">
                  <c:v>3.224246332419797E-3</c:v>
                </c:pt>
                <c:pt idx="2">
                  <c:v>3.6609921288669233E-3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3.3540164346805303E-3</c:v>
                </c:pt>
                <c:pt idx="6">
                  <c:v>3.4346556757685045E-3</c:v>
                </c:pt>
                <c:pt idx="7">
                  <c:v>3.2190568163528088E-3</c:v>
                </c:pt>
                <c:pt idx="8">
                  <c:v>3.3540164346805303E-3</c:v>
                </c:pt>
                <c:pt idx="9">
                  <c:v>3.224246332419797E-3</c:v>
                </c:pt>
                <c:pt idx="10">
                  <c:v>3.5951824555096176E-3</c:v>
                </c:pt>
                <c:pt idx="11">
                  <c:v>3.4704147145583901E-3</c:v>
                </c:pt>
                <c:pt idx="12">
                  <c:v>3.3540164346805303E-3</c:v>
                </c:pt>
                <c:pt idx="13">
                  <c:v>3.2190568163528088E-3</c:v>
                </c:pt>
                <c:pt idx="14">
                  <c:v>3.5951824555096176E-3</c:v>
                </c:pt>
                <c:pt idx="15">
                  <c:v>3.4704147145583901E-3</c:v>
                </c:pt>
                <c:pt idx="16">
                  <c:v>3.3540164346805303E-3</c:v>
                </c:pt>
                <c:pt idx="17">
                  <c:v>3.224246332419797E-3</c:v>
                </c:pt>
                <c:pt idx="18">
                  <c:v>3.3540164346805303E-3</c:v>
                </c:pt>
                <c:pt idx="19">
                  <c:v>3.224246332419797E-3</c:v>
                </c:pt>
                <c:pt idx="20">
                  <c:v>3.1431714600031434E-3</c:v>
                </c:pt>
                <c:pt idx="21">
                  <c:v>3.3540164346805303E-3</c:v>
                </c:pt>
                <c:pt idx="22">
                  <c:v>3.3540164346805303E-3</c:v>
                </c:pt>
              </c:numCache>
            </c:numRef>
          </c:xVal>
          <c:yVal>
            <c:numRef>
              <c:f>CaPO4!$R$43:$R$65</c:f>
              <c:numCache>
                <c:formatCode>0.00</c:formatCode>
                <c:ptCount val="23"/>
                <c:pt idx="0">
                  <c:v>2.5809338335171375</c:v>
                </c:pt>
                <c:pt idx="1">
                  <c:v>2.8805181726067599</c:v>
                </c:pt>
                <c:pt idx="2">
                  <c:v>2.3317595426590487</c:v>
                </c:pt>
                <c:pt idx="3">
                  <c:v>2.7076223358098792</c:v>
                </c:pt>
                <c:pt idx="4">
                  <c:v>2.3302174127781492</c:v>
                </c:pt>
                <c:pt idx="5">
                  <c:v>2.7</c:v>
                </c:pt>
                <c:pt idx="6">
                  <c:v>2.63</c:v>
                </c:pt>
                <c:pt idx="7">
                  <c:v>2.7693773260761385</c:v>
                </c:pt>
                <c:pt idx="8">
                  <c:v>2.7387805584843692</c:v>
                </c:pt>
                <c:pt idx="9">
                  <c:v>2.8331471119127851</c:v>
                </c:pt>
                <c:pt idx="10">
                  <c:v>2.6493348587121419</c:v>
                </c:pt>
                <c:pt idx="11">
                  <c:v>2.4345689040341987</c:v>
                </c:pt>
                <c:pt idx="12">
                  <c:v>2.406540180433955</c:v>
                </c:pt>
                <c:pt idx="13">
                  <c:v>2.6031443726201822</c:v>
                </c:pt>
                <c:pt idx="14">
                  <c:v>2.3802112417116059</c:v>
                </c:pt>
                <c:pt idx="15">
                  <c:v>2.2787536009528289</c:v>
                </c:pt>
                <c:pt idx="16">
                  <c:v>2.5797835966168101</c:v>
                </c:pt>
                <c:pt idx="17">
                  <c:v>2.5910646070264991</c:v>
                </c:pt>
                <c:pt idx="18">
                  <c:v>2.4216039268698313</c:v>
                </c:pt>
                <c:pt idx="19">
                  <c:v>2.5502283530550942</c:v>
                </c:pt>
                <c:pt idx="20">
                  <c:v>2.7015679850559273</c:v>
                </c:pt>
                <c:pt idx="21">
                  <c:v>2.9339312260132084</c:v>
                </c:pt>
                <c:pt idx="22">
                  <c:v>2.525695293093936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1-488A-971F-D2BF23AAF914}"/>
            </c:ext>
          </c:extLst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CaPO4!$V$71:$V$73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CaPO4!$W$71:$W$73</c:f>
              <c:numCache>
                <c:formatCode>General</c:formatCode>
                <c:ptCount val="3"/>
                <c:pt idx="0">
                  <c:v>2.3560195733870248</c:v>
                </c:pt>
                <c:pt idx="1">
                  <c:v>2.5837323096972873</c:v>
                </c:pt>
                <c:pt idx="2">
                  <c:v>2.7408779516025987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1-488A-971F-D2BF23AAF914}"/>
            </c:ext>
          </c:extLst>
        </c:ser>
        <c:ser>
          <c:idx val="2"/>
          <c:order val="2"/>
          <c:spPr>
            <a:ln w="1905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CaPO4!$V$71:$V$73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CaPO4!$X$71:$X$73</c:f>
              <c:numCache>
                <c:formatCode>General</c:formatCode>
                <c:ptCount val="3"/>
                <c:pt idx="0">
                  <c:v>2.512848256139609</c:v>
                </c:pt>
                <c:pt idx="1">
                  <c:v>2.6300286554856478</c:v>
                </c:pt>
                <c:pt idx="2">
                  <c:v>2.8634531886158694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1-488A-971F-D2BF23AAF914}"/>
            </c:ext>
          </c:extLst>
        </c:ser>
        <c:ser>
          <c:idx val="3"/>
          <c:order val="3"/>
          <c:spPr>
            <a:ln w="1905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CaPO4!$V$71:$V$73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CaPO4!$Y$71:$Y$73</c:f>
              <c:numCache>
                <c:formatCode>General</c:formatCode>
                <c:ptCount val="3"/>
                <c:pt idx="0">
                  <c:v>2.1991908906344406</c:v>
                </c:pt>
                <c:pt idx="1">
                  <c:v>2.5374359639089268</c:v>
                </c:pt>
                <c:pt idx="2">
                  <c:v>2.6183027145893285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D1-488A-971F-D2BF23AAF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489184"/>
        <c:axId val="1"/>
      </c:scatterChart>
      <c:valAx>
        <c:axId val="393489184"/>
        <c:scaling>
          <c:orientation val="minMax"/>
          <c:max val="3.700000000000001E-3"/>
          <c:min val="3.1000000000000008E-3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GB"/>
                  <a:t>1 / T [K]</a:t>
                </a:r>
              </a:p>
            </c:rich>
          </c:tx>
          <c:layout>
            <c:manualLayout>
              <c:xMode val="edge"/>
              <c:yMode val="edge"/>
              <c:x val="0.47420124208611852"/>
              <c:y val="0.92965017267578398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317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  <c:minorUnit val="2.5000000000000011E-5"/>
      </c:valAx>
      <c:valAx>
        <c:axId val="1"/>
        <c:scaling>
          <c:orientation val="minMax"/>
          <c:min val="1.6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2.7360373056816174E-3"/>
              <c:y val="0.35135239673988122"/>
            </c:manualLayout>
          </c:layout>
          <c:overlay val="0"/>
        </c:title>
        <c:numFmt formatCode="0.0" sourceLinked="0"/>
        <c:majorTickMark val="out"/>
        <c:minorTickMark val="out"/>
        <c:tickLblPos val="nextTo"/>
        <c:spPr>
          <a:ln w="317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93489184"/>
        <c:crosses val="autoZero"/>
        <c:crossBetween val="midCat"/>
        <c:minorUnit val="5.000000000000001E-2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97084079710985"/>
          <c:y val="1.7304790026246721E-2"/>
          <c:w val="0.84292932286901123"/>
          <c:h val="0.8590704970472441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CaPO4!$Y$109:$Y$114</c:f>
                <c:numCache>
                  <c:formatCode>General</c:formatCode>
                  <c:ptCount val="6"/>
                  <c:pt idx="0">
                    <c:v>0.3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</c:numCache>
              </c:numRef>
            </c:plus>
            <c:minus>
              <c:numRef>
                <c:f>CaPO4!$Y$109:$Y$114</c:f>
                <c:numCache>
                  <c:formatCode>General</c:formatCode>
                  <c:ptCount val="6"/>
                  <c:pt idx="0">
                    <c:v>0.3</c:v>
                  </c:pt>
                  <c:pt idx="1">
                    <c:v>0.2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0.2</c:v>
                  </c:pt>
                  <c:pt idx="5">
                    <c:v>0.2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CaPO4!$Q$109:$Q$114</c:f>
              <c:numCache>
                <c:formatCode>General</c:formatCode>
                <c:ptCount val="6"/>
                <c:pt idx="0">
                  <c:v>3.4346556757685045E-3</c:v>
                </c:pt>
                <c:pt idx="1">
                  <c:v>3.3540164346805303E-3</c:v>
                </c:pt>
                <c:pt idx="2">
                  <c:v>3.224246332419797E-3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3.1431714600031434E-3</c:v>
                </c:pt>
              </c:numCache>
            </c:numRef>
          </c:xVal>
          <c:yVal>
            <c:numRef>
              <c:f>CaPO4!$X$109:$X$114</c:f>
              <c:numCache>
                <c:formatCode>0.00</c:formatCode>
                <c:ptCount val="6"/>
                <c:pt idx="0">
                  <c:v>6.48</c:v>
                </c:pt>
                <c:pt idx="1">
                  <c:v>6.4623979978989565</c:v>
                </c:pt>
                <c:pt idx="2">
                  <c:v>6.5390760987927763</c:v>
                </c:pt>
                <c:pt idx="3">
                  <c:v>6.4149733479708182</c:v>
                </c:pt>
                <c:pt idx="4">
                  <c:v>6.4149733479708182</c:v>
                </c:pt>
                <c:pt idx="5">
                  <c:v>6.4149733479708182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B-4E45-97E6-3BF04E713C89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CaPO4!$V$121:$V$123</c:f>
              <c:numCache>
                <c:formatCode>General</c:formatCode>
                <c:ptCount val="3"/>
                <c:pt idx="0">
                  <c:v>3.4704147145583901E-3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CaPO4!$W$121:$W$123</c:f>
              <c:numCache>
                <c:formatCode>General</c:formatCode>
                <c:ptCount val="3"/>
                <c:pt idx="0">
                  <c:v>6.4611976936547286</c:v>
                </c:pt>
                <c:pt idx="1">
                  <c:v>6.4556148461529812</c:v>
                </c:pt>
                <c:pt idx="2">
                  <c:v>6.4445602326381204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AB-4E45-97E6-3BF04E713C89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CaPO4!$V$121:$V$123</c:f>
              <c:numCache>
                <c:formatCode>General</c:formatCode>
                <c:ptCount val="3"/>
                <c:pt idx="0">
                  <c:v>3.4704147145583901E-3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CaPO4!$X$121:$X$123</c:f>
              <c:numCache>
                <c:formatCode>General</c:formatCode>
                <c:ptCount val="3"/>
                <c:pt idx="0">
                  <c:v>6.6826742961449943</c:v>
                </c:pt>
                <c:pt idx="1">
                  <c:v>6.5689521731061511</c:v>
                </c:pt>
                <c:pt idx="2">
                  <c:v>6.7720244717925429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AB-4E45-97E6-3BF04E713C89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CaPO4!$V$121:$V$123</c:f>
              <c:numCache>
                <c:formatCode>General</c:formatCode>
                <c:ptCount val="3"/>
                <c:pt idx="0">
                  <c:v>3.4704147145583901E-3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CaPO4!$Y$121:$Y$123</c:f>
              <c:numCache>
                <c:formatCode>General</c:formatCode>
                <c:ptCount val="3"/>
                <c:pt idx="0">
                  <c:v>6.2397210911644629</c:v>
                </c:pt>
                <c:pt idx="1">
                  <c:v>6.3422775191998113</c:v>
                </c:pt>
                <c:pt idx="2">
                  <c:v>6.1170959934836979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AB-4E45-97E6-3BF04E713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97472"/>
        <c:axId val="1"/>
      </c:scatterChart>
      <c:valAx>
        <c:axId val="592497472"/>
        <c:scaling>
          <c:orientation val="minMax"/>
          <c:min val="3.1000000000000008E-3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 / T [K]</a:t>
                </a:r>
              </a:p>
            </c:rich>
          </c:tx>
          <c:layout>
            <c:manualLayout>
              <c:xMode val="edge"/>
              <c:yMode val="edge"/>
              <c:x val="0.47394169018561716"/>
              <c:y val="0.94908362040682415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7.5"/>
          <c:min val="5.5"/>
        </c:scaling>
        <c:delete val="0"/>
        <c:axPos val="l"/>
        <c:title>
          <c:tx>
            <c:rich>
              <a:bodyPr/>
              <a:lstStyle/>
              <a:p>
                <a:pPr>
                  <a:defRPr sz="14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sz="14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</a:t>
                </a:r>
                <a:r>
                  <a:rPr lang="en-US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1.4787513262969787E-3"/>
              <c:y val="0.3852319143700787"/>
            </c:manualLayout>
          </c:layout>
          <c:overlay val="0"/>
        </c:title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defRPr>
            </a:pPr>
            <a:endParaRPr lang="en-US"/>
          </a:p>
        </c:txPr>
        <c:crossAx val="592497472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5236974688508"/>
          <c:y val="2.0230275083017939E-2"/>
          <c:w val="0.81714768412569116"/>
          <c:h val="0.844975789631258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CaPO4!$Y$43:$Y$64</c:f>
                <c:numCache>
                  <c:formatCode>General</c:formatCode>
                  <c:ptCount val="22"/>
                  <c:pt idx="0">
                    <c:v>0.34</c:v>
                  </c:pt>
                  <c:pt idx="1">
                    <c:v>0.3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0.4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  <c:pt idx="11">
                    <c:v>0.2</c:v>
                  </c:pt>
                  <c:pt idx="12">
                    <c:v>0.2</c:v>
                  </c:pt>
                  <c:pt idx="13">
                    <c:v>0.25</c:v>
                  </c:pt>
                  <c:pt idx="14">
                    <c:v>0.2</c:v>
                  </c:pt>
                  <c:pt idx="15">
                    <c:v>0.2</c:v>
                  </c:pt>
                  <c:pt idx="16">
                    <c:v>0.2</c:v>
                  </c:pt>
                  <c:pt idx="17">
                    <c:v>0.3</c:v>
                  </c:pt>
                  <c:pt idx="18">
                    <c:v>0.2</c:v>
                  </c:pt>
                  <c:pt idx="19">
                    <c:v>0.2</c:v>
                  </c:pt>
                  <c:pt idx="20">
                    <c:v>0.2</c:v>
                  </c:pt>
                  <c:pt idx="21">
                    <c:v>0.42375732161226431</c:v>
                  </c:pt>
                </c:numCache>
              </c:numRef>
            </c:plus>
            <c:minus>
              <c:numRef>
                <c:f>CaPO4!$Y$43:$Y$64</c:f>
                <c:numCache>
                  <c:formatCode>General</c:formatCode>
                  <c:ptCount val="22"/>
                  <c:pt idx="0">
                    <c:v>0.34</c:v>
                  </c:pt>
                  <c:pt idx="1">
                    <c:v>0.3</c:v>
                  </c:pt>
                  <c:pt idx="2">
                    <c:v>0.2</c:v>
                  </c:pt>
                  <c:pt idx="3">
                    <c:v>0.2</c:v>
                  </c:pt>
                  <c:pt idx="4">
                    <c:v>0.4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0.2</c:v>
                  </c:pt>
                  <c:pt idx="8">
                    <c:v>0.2</c:v>
                  </c:pt>
                  <c:pt idx="9">
                    <c:v>0.2</c:v>
                  </c:pt>
                  <c:pt idx="10">
                    <c:v>0.2</c:v>
                  </c:pt>
                  <c:pt idx="11">
                    <c:v>0.2</c:v>
                  </c:pt>
                  <c:pt idx="12">
                    <c:v>0.2</c:v>
                  </c:pt>
                  <c:pt idx="13">
                    <c:v>0.25</c:v>
                  </c:pt>
                  <c:pt idx="14">
                    <c:v>0.2</c:v>
                  </c:pt>
                  <c:pt idx="15">
                    <c:v>0.2</c:v>
                  </c:pt>
                  <c:pt idx="16">
                    <c:v>0.2</c:v>
                  </c:pt>
                  <c:pt idx="17">
                    <c:v>0.3</c:v>
                  </c:pt>
                  <c:pt idx="18">
                    <c:v>0.2</c:v>
                  </c:pt>
                  <c:pt idx="19">
                    <c:v>0.2</c:v>
                  </c:pt>
                  <c:pt idx="20">
                    <c:v>0.2</c:v>
                  </c:pt>
                  <c:pt idx="21">
                    <c:v>0.42375732161226431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CaPO4!$Q$43:$Q$65</c:f>
              <c:numCache>
                <c:formatCode>General</c:formatCode>
                <c:ptCount val="23"/>
                <c:pt idx="0">
                  <c:v>3.3540164346805303E-3</c:v>
                </c:pt>
                <c:pt idx="1">
                  <c:v>3.224246332419797E-3</c:v>
                </c:pt>
                <c:pt idx="2">
                  <c:v>3.6609921288669233E-3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3.3540164346805303E-3</c:v>
                </c:pt>
                <c:pt idx="6">
                  <c:v>3.4346556757685045E-3</c:v>
                </c:pt>
                <c:pt idx="7">
                  <c:v>3.2190568163528088E-3</c:v>
                </c:pt>
                <c:pt idx="8">
                  <c:v>3.3540164346805303E-3</c:v>
                </c:pt>
                <c:pt idx="9">
                  <c:v>3.224246332419797E-3</c:v>
                </c:pt>
                <c:pt idx="10">
                  <c:v>3.5951824555096176E-3</c:v>
                </c:pt>
                <c:pt idx="11">
                  <c:v>3.4704147145583901E-3</c:v>
                </c:pt>
                <c:pt idx="12">
                  <c:v>3.3540164346805303E-3</c:v>
                </c:pt>
                <c:pt idx="13">
                  <c:v>3.2190568163528088E-3</c:v>
                </c:pt>
                <c:pt idx="14">
                  <c:v>3.5951824555096176E-3</c:v>
                </c:pt>
                <c:pt idx="15">
                  <c:v>3.4704147145583901E-3</c:v>
                </c:pt>
                <c:pt idx="16">
                  <c:v>3.3540164346805303E-3</c:v>
                </c:pt>
                <c:pt idx="17">
                  <c:v>3.224246332419797E-3</c:v>
                </c:pt>
                <c:pt idx="18">
                  <c:v>3.3540164346805303E-3</c:v>
                </c:pt>
                <c:pt idx="19">
                  <c:v>3.224246332419797E-3</c:v>
                </c:pt>
                <c:pt idx="20">
                  <c:v>3.1431714600031434E-3</c:v>
                </c:pt>
                <c:pt idx="21">
                  <c:v>3.3540164346805303E-3</c:v>
                </c:pt>
                <c:pt idx="22">
                  <c:v>3.3540164346805303E-3</c:v>
                </c:pt>
              </c:numCache>
            </c:numRef>
          </c:xVal>
          <c:yVal>
            <c:numRef>
              <c:f>CaPO4!$R$43:$R$65</c:f>
              <c:numCache>
                <c:formatCode>0.00</c:formatCode>
                <c:ptCount val="23"/>
                <c:pt idx="0">
                  <c:v>2.5809338335171375</c:v>
                </c:pt>
                <c:pt idx="1">
                  <c:v>2.8805181726067599</c:v>
                </c:pt>
                <c:pt idx="2">
                  <c:v>2.3317595426590487</c:v>
                </c:pt>
                <c:pt idx="3">
                  <c:v>2.7076223358098792</c:v>
                </c:pt>
                <c:pt idx="4">
                  <c:v>2.3302174127781492</c:v>
                </c:pt>
                <c:pt idx="5">
                  <c:v>2.7</c:v>
                </c:pt>
                <c:pt idx="6">
                  <c:v>2.63</c:v>
                </c:pt>
                <c:pt idx="7">
                  <c:v>2.7693773260761385</c:v>
                </c:pt>
                <c:pt idx="8">
                  <c:v>2.7387805584843692</c:v>
                </c:pt>
                <c:pt idx="9">
                  <c:v>2.8331471119127851</c:v>
                </c:pt>
                <c:pt idx="10">
                  <c:v>2.6493348587121419</c:v>
                </c:pt>
                <c:pt idx="11">
                  <c:v>2.4345689040341987</c:v>
                </c:pt>
                <c:pt idx="12">
                  <c:v>2.406540180433955</c:v>
                </c:pt>
                <c:pt idx="13">
                  <c:v>2.6031443726201822</c:v>
                </c:pt>
                <c:pt idx="14">
                  <c:v>2.3802112417116059</c:v>
                </c:pt>
                <c:pt idx="15">
                  <c:v>2.2787536009528289</c:v>
                </c:pt>
                <c:pt idx="16">
                  <c:v>2.5797835966168101</c:v>
                </c:pt>
                <c:pt idx="17">
                  <c:v>2.5910646070264991</c:v>
                </c:pt>
                <c:pt idx="18">
                  <c:v>2.4216039268698313</c:v>
                </c:pt>
                <c:pt idx="19">
                  <c:v>2.5502283530550942</c:v>
                </c:pt>
                <c:pt idx="20">
                  <c:v>2.7015679850559273</c:v>
                </c:pt>
                <c:pt idx="21">
                  <c:v>2.9339312260132084</c:v>
                </c:pt>
                <c:pt idx="22">
                  <c:v>2.525695293093936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A-4F8C-AC60-6DE0182F88DA}"/>
            </c:ext>
          </c:extLst>
        </c:ser>
        <c:ser>
          <c:idx val="1"/>
          <c:order val="1"/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CaPO4!$V$71:$V$73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CaPO4!$W$71:$W$73</c:f>
              <c:numCache>
                <c:formatCode>General</c:formatCode>
                <c:ptCount val="3"/>
                <c:pt idx="0">
                  <c:v>2.3560195733870248</c:v>
                </c:pt>
                <c:pt idx="1">
                  <c:v>2.5837323096972873</c:v>
                </c:pt>
                <c:pt idx="2">
                  <c:v>2.7408779516025987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CA-4F8C-AC60-6DE0182F88DA}"/>
            </c:ext>
          </c:extLst>
        </c:ser>
        <c:ser>
          <c:idx val="2"/>
          <c:order val="2"/>
          <c:spPr>
            <a:ln w="19050">
              <a:solidFill>
                <a:srgbClr val="0000FF"/>
              </a:solidFill>
              <a:prstDash val="sysDot"/>
            </a:ln>
          </c:spPr>
          <c:marker>
            <c:symbol val="none"/>
          </c:marker>
          <c:xVal>
            <c:numRef>
              <c:f>CaPO4!$V$71:$V$73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CaPO4!$X$71:$X$73</c:f>
              <c:numCache>
                <c:formatCode>General</c:formatCode>
                <c:ptCount val="3"/>
                <c:pt idx="0">
                  <c:v>2.512848256139609</c:v>
                </c:pt>
                <c:pt idx="1">
                  <c:v>2.6300286554856478</c:v>
                </c:pt>
                <c:pt idx="2">
                  <c:v>2.8634531886158694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A-4F8C-AC60-6DE0182F88DA}"/>
            </c:ext>
          </c:extLst>
        </c:ser>
        <c:ser>
          <c:idx val="3"/>
          <c:order val="3"/>
          <c:spPr>
            <a:ln w="19050">
              <a:solidFill>
                <a:srgbClr val="0000FF"/>
              </a:solidFill>
              <a:prstDash val="sysDot"/>
            </a:ln>
          </c:spPr>
          <c:marker>
            <c:symbol val="none"/>
          </c:marker>
          <c:xVal>
            <c:numRef>
              <c:f>CaPO4!$V$71:$V$73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3.1235358425737939E-3</c:v>
                </c:pt>
              </c:numCache>
            </c:numRef>
          </c:xVal>
          <c:yVal>
            <c:numRef>
              <c:f>CaPO4!$Y$71:$Y$73</c:f>
              <c:numCache>
                <c:formatCode>General</c:formatCode>
                <c:ptCount val="3"/>
                <c:pt idx="0">
                  <c:v>2.1991908906344406</c:v>
                </c:pt>
                <c:pt idx="1">
                  <c:v>2.5374359639089268</c:v>
                </c:pt>
                <c:pt idx="2">
                  <c:v>2.6183027145893285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A-4F8C-AC60-6DE0182F8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99632"/>
        <c:axId val="1"/>
      </c:scatterChart>
      <c:valAx>
        <c:axId val="592499632"/>
        <c:scaling>
          <c:orientation val="minMax"/>
          <c:max val="3.700000000000001E-3"/>
          <c:min val="3.1000000000000008E-3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GB"/>
                  <a:t>1 / T [K]</a:t>
                </a:r>
              </a:p>
            </c:rich>
          </c:tx>
          <c:layout>
            <c:manualLayout>
              <c:xMode val="edge"/>
              <c:yMode val="edge"/>
              <c:x val="0.47420124208611852"/>
              <c:y val="0.92965017267578398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317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  <c:minorUnit val="2.5000000000000011E-5"/>
      </c:valAx>
      <c:valAx>
        <c:axId val="1"/>
        <c:scaling>
          <c:orientation val="minMax"/>
          <c:min val="1.6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2.7360373056816174E-3"/>
              <c:y val="0.35135239673988122"/>
            </c:manualLayout>
          </c:layout>
          <c:overlay val="0"/>
        </c:title>
        <c:numFmt formatCode="0.0" sourceLinked="0"/>
        <c:majorTickMark val="out"/>
        <c:minorTickMark val="out"/>
        <c:tickLblPos val="nextTo"/>
        <c:spPr>
          <a:ln w="3175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92499632"/>
        <c:crosses val="autoZero"/>
        <c:crossBetween val="midCat"/>
        <c:minorUnit val="5.000000000000001E-2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349250</xdr:colOff>
      <xdr:row>75</xdr:row>
      <xdr:rowOff>120650</xdr:rowOff>
    </xdr:from>
    <xdr:to>
      <xdr:col>43</xdr:col>
      <xdr:colOff>323850</xdr:colOff>
      <xdr:row>103</xdr:row>
      <xdr:rowOff>152400</xdr:rowOff>
    </xdr:to>
    <xdr:graphicFrame macro="">
      <xdr:nvGraphicFramePr>
        <xdr:cNvPr id="1289" name="Diagramm 4">
          <a:extLst>
            <a:ext uri="{FF2B5EF4-FFF2-40B4-BE49-F238E27FC236}">
              <a16:creationId xmlns:a16="http://schemas.microsoft.com/office/drawing/2014/main" id="{A9B4D7F4-1D1F-4153-C94E-E6C2D24D1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44450</xdr:colOff>
      <xdr:row>41</xdr:row>
      <xdr:rowOff>25400</xdr:rowOff>
    </xdr:from>
    <xdr:to>
      <xdr:col>43</xdr:col>
      <xdr:colOff>12700</xdr:colOff>
      <xdr:row>67</xdr:row>
      <xdr:rowOff>69850</xdr:rowOff>
    </xdr:to>
    <xdr:graphicFrame macro="">
      <xdr:nvGraphicFramePr>
        <xdr:cNvPr id="1290" name="Diagramm 5">
          <a:extLst>
            <a:ext uri="{FF2B5EF4-FFF2-40B4-BE49-F238E27FC236}">
              <a16:creationId xmlns:a16="http://schemas.microsoft.com/office/drawing/2014/main" id="{74BCA8F0-3492-BADF-3138-10A53ACF2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419100</xdr:colOff>
      <xdr:row>104</xdr:row>
      <xdr:rowOff>88900</xdr:rowOff>
    </xdr:from>
    <xdr:to>
      <xdr:col>43</xdr:col>
      <xdr:colOff>412750</xdr:colOff>
      <xdr:row>132</xdr:row>
      <xdr:rowOff>57150</xdr:rowOff>
    </xdr:to>
    <xdr:graphicFrame macro="">
      <xdr:nvGraphicFramePr>
        <xdr:cNvPr id="1291" name="Diagramm 1">
          <a:extLst>
            <a:ext uri="{FF2B5EF4-FFF2-40B4-BE49-F238E27FC236}">
              <a16:creationId xmlns:a16="http://schemas.microsoft.com/office/drawing/2014/main" id="{219EB6C9-4EEA-B20B-161A-2B0B8B364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41</xdr:row>
      <xdr:rowOff>0</xdr:rowOff>
    </xdr:from>
    <xdr:to>
      <xdr:col>52</xdr:col>
      <xdr:colOff>609600</xdr:colOff>
      <xdr:row>67</xdr:row>
      <xdr:rowOff>44450</xdr:rowOff>
    </xdr:to>
    <xdr:graphicFrame macro="">
      <xdr:nvGraphicFramePr>
        <xdr:cNvPr id="1292" name="Diagramm 5">
          <a:extLst>
            <a:ext uri="{FF2B5EF4-FFF2-40B4-BE49-F238E27FC236}">
              <a16:creationId xmlns:a16="http://schemas.microsoft.com/office/drawing/2014/main" id="{A2508A84-70F9-B4D4-4F46-35510258E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0.12896</cdr:x>
      <cdr:y>0.79181</cdr:y>
    </cdr:from>
    <cdr:to>
      <cdr:x>0.22922</cdr:x>
      <cdr:y>0.86945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723900" y="3595688"/>
          <a:ext cx="585787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45°C</a:t>
          </a:r>
        </a:p>
      </cdr:txBody>
    </cdr:sp>
  </cdr:relSizeAnchor>
  <cdr:relSizeAnchor xmlns:cdr="http://schemas.openxmlformats.org/drawingml/2006/chartDrawing">
    <cdr:from>
      <cdr:x>0.42115</cdr:x>
      <cdr:y>0.7883</cdr:y>
    </cdr:from>
    <cdr:to>
      <cdr:x>0.52164</cdr:x>
      <cdr:y>0.86594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2427288" y="3579812"/>
          <a:ext cx="585787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25°C</a:t>
          </a:r>
        </a:p>
      </cdr:txBody>
    </cdr:sp>
  </cdr:relSizeAnchor>
  <cdr:relSizeAnchor xmlns:cdr="http://schemas.openxmlformats.org/drawingml/2006/chartDrawing">
    <cdr:from>
      <cdr:x>0.85145</cdr:x>
      <cdr:y>0.78619</cdr:y>
    </cdr:from>
    <cdr:to>
      <cdr:x>0.93909</cdr:x>
      <cdr:y>0.8636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4941888" y="3570288"/>
          <a:ext cx="51117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0°C</a:t>
          </a:r>
        </a:p>
      </cdr:txBody>
    </cdr:sp>
  </cdr:relSizeAnchor>
  <cdr:relSizeAnchor xmlns:cdr="http://schemas.openxmlformats.org/drawingml/2006/chartDrawing">
    <cdr:from>
      <cdr:x>0.24512</cdr:x>
      <cdr:y>0.78959</cdr:y>
    </cdr:from>
    <cdr:to>
      <cdr:x>0.3461</cdr:x>
      <cdr:y>0.867</cdr:y>
    </cdr:to>
    <cdr:sp macro="" textlink="">
      <cdr:nvSpPr>
        <cdr:cNvPr id="5" name="Textfeld 1"/>
        <cdr:cNvSpPr txBox="1"/>
      </cdr:nvSpPr>
      <cdr:spPr>
        <a:xfrm xmlns:a="http://schemas.openxmlformats.org/drawingml/2006/main">
          <a:off x="1403350" y="3584575"/>
          <a:ext cx="585787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>
              <a:latin typeface="Times New Roman" panose="02020603050405020304" pitchFamily="18" charset="0"/>
              <a:cs typeface="Times New Roman" panose="02020603050405020304" pitchFamily="18" charset="0"/>
            </a:rPr>
            <a:t>37°C</a:t>
          </a:r>
        </a:p>
      </cdr:txBody>
    </cdr:sp>
  </cdr:relSizeAnchor>
</c:userShape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6028/jres.074A.03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S0003-9861(53)80007-X" TargetMode="External"/><Relationship Id="rId7" Type="http://schemas.openxmlformats.org/officeDocument/2006/relationships/hyperlink" Target="https://doi.org/10.1021/j100847a039" TargetMode="External"/><Relationship Id="rId12" Type="http://schemas.openxmlformats.org/officeDocument/2006/relationships/hyperlink" Target="https://doi.org/10.1021/ja01592a009" TargetMode="External"/><Relationship Id="rId2" Type="http://schemas.openxmlformats.org/officeDocument/2006/relationships/hyperlink" Target="https://doi.org/10.1039/JR9530004134" TargetMode="External"/><Relationship Id="rId1" Type="http://schemas.openxmlformats.org/officeDocument/2006/relationships/hyperlink" Target="https://doi.org/10.1016/s0021-9258%2818%2973159-1" TargetMode="External"/><Relationship Id="rId6" Type="http://schemas.openxmlformats.org/officeDocument/2006/relationships/hyperlink" Target="https://doi.org/10.6028%2Fjres.070A.047" TargetMode="External"/><Relationship Id="rId11" Type="http://schemas.openxmlformats.org/officeDocument/2006/relationships/hyperlink" Target="https://doi.org/10.1007/s007750050048" TargetMode="External"/><Relationship Id="rId5" Type="http://schemas.openxmlformats.org/officeDocument/2006/relationships/hyperlink" Target="https://doi.org/10.1021/j100806a509" TargetMode="External"/><Relationship Id="rId10" Type="http://schemas.openxmlformats.org/officeDocument/2006/relationships/hyperlink" Target="https://doi.org/10.6028/jres.093.153" TargetMode="External"/><Relationship Id="rId4" Type="http://schemas.openxmlformats.org/officeDocument/2006/relationships/hyperlink" Target="https://doi.org/10.1021/ic50093a017" TargetMode="External"/><Relationship Id="rId9" Type="http://schemas.openxmlformats.org/officeDocument/2006/relationships/hyperlink" Target="https://doi.org/10.1021/ic50102a020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4"/>
  <sheetViews>
    <sheetView tabSelected="1" zoomScaleNormal="100" workbookViewId="0">
      <selection activeCell="C21" sqref="C21"/>
    </sheetView>
  </sheetViews>
  <sheetFormatPr defaultColWidth="9.109375" defaultRowHeight="13.2"/>
  <sheetData>
    <row r="1" spans="1:4">
      <c r="A1" s="65" t="s">
        <v>118</v>
      </c>
    </row>
    <row r="3" spans="1:4">
      <c r="A3" t="s">
        <v>120</v>
      </c>
    </row>
    <row r="6" spans="1:4">
      <c r="A6" t="s">
        <v>121</v>
      </c>
      <c r="D6" s="65"/>
    </row>
    <row r="7" spans="1:4">
      <c r="A7" t="s">
        <v>122</v>
      </c>
    </row>
    <row r="8" spans="1:4">
      <c r="A8" s="65"/>
    </row>
    <row r="10" spans="1:4">
      <c r="A10" t="s">
        <v>119</v>
      </c>
    </row>
    <row r="11" spans="1:4">
      <c r="A11" s="15" t="s">
        <v>49</v>
      </c>
      <c r="B11" s="68" t="s">
        <v>138</v>
      </c>
      <c r="C11" t="s">
        <v>123</v>
      </c>
    </row>
    <row r="12" spans="1:4">
      <c r="A12" s="15" t="s">
        <v>88</v>
      </c>
      <c r="B12" s="68" t="s">
        <v>139</v>
      </c>
      <c r="C12" t="s">
        <v>124</v>
      </c>
    </row>
    <row r="13" spans="1:4">
      <c r="A13" s="15" t="s">
        <v>51</v>
      </c>
      <c r="B13" s="68" t="s">
        <v>140</v>
      </c>
      <c r="C13" t="s">
        <v>125</v>
      </c>
    </row>
    <row r="14" spans="1:4">
      <c r="A14" s="15" t="s">
        <v>53</v>
      </c>
      <c r="B14" s="68" t="s">
        <v>150</v>
      </c>
      <c r="C14" t="s">
        <v>149</v>
      </c>
    </row>
    <row r="15" spans="1:4">
      <c r="A15" s="15" t="s">
        <v>55</v>
      </c>
      <c r="B15" s="68" t="s">
        <v>141</v>
      </c>
      <c r="C15" t="s">
        <v>126</v>
      </c>
    </row>
    <row r="16" spans="1:4">
      <c r="A16" s="15" t="s">
        <v>57</v>
      </c>
      <c r="B16" s="68" t="s">
        <v>142</v>
      </c>
      <c r="C16" t="s">
        <v>127</v>
      </c>
    </row>
    <row r="17" spans="1:14" ht="15.6">
      <c r="A17" s="15" t="s">
        <v>58</v>
      </c>
      <c r="B17" s="68" t="s">
        <v>143</v>
      </c>
      <c r="C17" s="65" t="s">
        <v>129</v>
      </c>
    </row>
    <row r="18" spans="1:14">
      <c r="A18" s="15" t="s">
        <v>91</v>
      </c>
      <c r="B18" s="68" t="s">
        <v>144</v>
      </c>
      <c r="C18" t="s">
        <v>128</v>
      </c>
    </row>
    <row r="19" spans="1:14" ht="15.6">
      <c r="A19" s="15" t="s">
        <v>59</v>
      </c>
      <c r="B19" s="68" t="s">
        <v>145</v>
      </c>
      <c r="C19" s="65" t="s">
        <v>130</v>
      </c>
    </row>
    <row r="20" spans="1:14">
      <c r="A20" s="15" t="s">
        <v>60</v>
      </c>
      <c r="B20" s="68" t="s">
        <v>146</v>
      </c>
      <c r="C20" t="s">
        <v>151</v>
      </c>
    </row>
    <row r="21" spans="1:14">
      <c r="A21" s="15" t="s">
        <v>117</v>
      </c>
      <c r="B21" s="68" t="s">
        <v>147</v>
      </c>
      <c r="C21" t="s">
        <v>131</v>
      </c>
    </row>
    <row r="22" spans="1:14">
      <c r="A22" s="15" t="s">
        <v>134</v>
      </c>
      <c r="C22" t="s">
        <v>132</v>
      </c>
    </row>
    <row r="23" spans="1:14">
      <c r="A23" s="15" t="s">
        <v>114</v>
      </c>
      <c r="B23" s="68" t="s">
        <v>148</v>
      </c>
      <c r="C23" t="s">
        <v>133</v>
      </c>
    </row>
    <row r="27" spans="1:14" ht="16.8">
      <c r="H27" s="23" t="s">
        <v>0</v>
      </c>
      <c r="I27" s="18">
        <v>0.14000000000000001</v>
      </c>
      <c r="J27" s="18">
        <v>0.01</v>
      </c>
      <c r="L27" s="23" t="s">
        <v>1</v>
      </c>
      <c r="M27" s="18">
        <v>-0.08</v>
      </c>
      <c r="N27" s="18">
        <v>0.04</v>
      </c>
    </row>
    <row r="28" spans="1:14" ht="16.8">
      <c r="H28" s="23" t="s">
        <v>2</v>
      </c>
      <c r="I28" s="18">
        <v>0.27</v>
      </c>
      <c r="J28" s="18">
        <v>0.03</v>
      </c>
      <c r="L28" s="23" t="s">
        <v>3</v>
      </c>
      <c r="M28" s="26">
        <v>-0.14000000000000001</v>
      </c>
      <c r="N28" s="18">
        <v>0.04</v>
      </c>
    </row>
    <row r="29" spans="1:14" ht="16.8">
      <c r="H29" s="23" t="s">
        <v>4</v>
      </c>
      <c r="I29" s="18">
        <v>0.02</v>
      </c>
      <c r="J29" s="18">
        <v>0.01</v>
      </c>
      <c r="L29" s="23" t="s">
        <v>5</v>
      </c>
      <c r="M29" s="18">
        <v>-0.15</v>
      </c>
      <c r="N29" s="18">
        <v>0.06</v>
      </c>
    </row>
    <row r="30" spans="1:14" ht="16.8">
      <c r="H30" s="23" t="s">
        <v>6</v>
      </c>
      <c r="I30" s="28">
        <v>0</v>
      </c>
      <c r="J30" s="2">
        <v>0.1</v>
      </c>
      <c r="L30" s="23" t="s">
        <v>7</v>
      </c>
      <c r="M30" s="27">
        <v>-0.1</v>
      </c>
      <c r="N30" s="18">
        <v>0.06</v>
      </c>
    </row>
    <row r="31" spans="1:14" ht="16.8">
      <c r="H31" s="23" t="s">
        <v>92</v>
      </c>
      <c r="I31" s="2">
        <v>0.05</v>
      </c>
      <c r="J31" s="2">
        <v>0.1</v>
      </c>
      <c r="L31" s="23" t="s">
        <v>8</v>
      </c>
      <c r="M31" s="18">
        <v>-0.25</v>
      </c>
      <c r="N31" s="18">
        <v>0.03</v>
      </c>
    </row>
    <row r="32" spans="1:14" ht="16.8">
      <c r="L32" s="23" t="s">
        <v>9</v>
      </c>
      <c r="M32" s="18">
        <v>-0.09</v>
      </c>
      <c r="N32" s="18">
        <v>0.02</v>
      </c>
    </row>
    <row r="33" spans="1:31">
      <c r="L33" s="23" t="s">
        <v>10</v>
      </c>
      <c r="M33" s="14">
        <f>$I$30-$M$30-$I$27</f>
        <v>-4.0000000000000008E-2</v>
      </c>
      <c r="N33" s="14">
        <f>SQRT($J$30^2+$N$30^2+$J$27^2)</f>
        <v>0.11704699910719625</v>
      </c>
      <c r="V33" t="s">
        <v>11</v>
      </c>
      <c r="W33">
        <v>8.3145100000000007E-3</v>
      </c>
    </row>
    <row r="34" spans="1:31" ht="15.6">
      <c r="A34" s="1" t="s">
        <v>12</v>
      </c>
      <c r="B34" s="1"/>
      <c r="L34" s="23" t="s">
        <v>13</v>
      </c>
      <c r="M34" s="14">
        <f>$I$30-$M$29-$I$27</f>
        <v>9.9999999999999811E-3</v>
      </c>
      <c r="N34" s="14">
        <f>SQRT($J$30^2+$N$29^2+$J$27^2)</f>
        <v>0.11704699910719625</v>
      </c>
      <c r="V34" t="s">
        <v>14</v>
      </c>
      <c r="W34">
        <v>298.14999999999998</v>
      </c>
    </row>
    <row r="35" spans="1:31" ht="15.6">
      <c r="L35" s="23" t="s">
        <v>15</v>
      </c>
      <c r="M35" s="14">
        <f>$I$30-$M$29-$I$28</f>
        <v>-0.12000000000000002</v>
      </c>
      <c r="N35" s="14">
        <f>SQRT($J$30^2+$N$29^2+$J$28^2)</f>
        <v>0.12041594578792296</v>
      </c>
      <c r="V35" t="s">
        <v>16</v>
      </c>
      <c r="W35">
        <f>LN(10)</f>
        <v>2.3025850929940459</v>
      </c>
    </row>
    <row r="36" spans="1:31" ht="16.8">
      <c r="A36" s="2" t="s">
        <v>17</v>
      </c>
      <c r="B36" s="2"/>
      <c r="J36" s="13" t="s">
        <v>111</v>
      </c>
      <c r="K36" s="5">
        <v>0.49099999999999999</v>
      </c>
      <c r="L36" s="23" t="s">
        <v>18</v>
      </c>
      <c r="M36" s="14">
        <f>$I$30-$M$30-$I$29</f>
        <v>0.08</v>
      </c>
      <c r="N36" s="14">
        <f>SQRT($J$30^2+$N$30^2+$J$29^2)</f>
        <v>0.11704699910719625</v>
      </c>
    </row>
    <row r="37" spans="1:31" ht="15.6">
      <c r="A37" s="2"/>
      <c r="B37" s="2"/>
      <c r="D37" s="7" t="s">
        <v>19</v>
      </c>
      <c r="E37" s="8"/>
      <c r="F37" s="5"/>
      <c r="G37" s="5"/>
      <c r="H37" s="5"/>
      <c r="I37" s="5"/>
      <c r="J37" s="13" t="s">
        <v>20</v>
      </c>
      <c r="K37" s="5">
        <v>0.501</v>
      </c>
      <c r="L37" s="23" t="s">
        <v>21</v>
      </c>
      <c r="M37" s="36">
        <v>-0.4</v>
      </c>
      <c r="V37" s="2" t="s">
        <v>22</v>
      </c>
      <c r="W37">
        <f>W33*W35</f>
        <v>1.9144866781549925E-2</v>
      </c>
    </row>
    <row r="38" spans="1:31" ht="16.8">
      <c r="A38" s="11" t="s">
        <v>23</v>
      </c>
      <c r="B38" s="12">
        <f>0^2-2^2-2^2</f>
        <v>-8</v>
      </c>
      <c r="D38" s="6" t="s">
        <v>24</v>
      </c>
      <c r="E38" s="6"/>
      <c r="F38" s="5"/>
      <c r="G38" s="5"/>
      <c r="H38" s="5"/>
      <c r="J38" s="13" t="s">
        <v>25</v>
      </c>
      <c r="K38" s="5">
        <v>0.50900000000000001</v>
      </c>
      <c r="L38" s="23" t="s">
        <v>116</v>
      </c>
      <c r="M38" s="14">
        <f>$I$30-$M$29-$I$29</f>
        <v>0.13</v>
      </c>
      <c r="V38" t="s">
        <v>26</v>
      </c>
      <c r="W38">
        <f>W33*W34*W35</f>
        <v>5.7080420309191107</v>
      </c>
    </row>
    <row r="39" spans="1:31" ht="15.6">
      <c r="A39" s="11" t="s">
        <v>27</v>
      </c>
      <c r="B39" s="12">
        <f>1-1-1</f>
        <v>-1</v>
      </c>
      <c r="D39" s="7" t="s">
        <v>28</v>
      </c>
      <c r="E39" s="8"/>
      <c r="F39" s="5"/>
      <c r="G39" s="5"/>
      <c r="H39" s="5"/>
      <c r="I39" s="5"/>
      <c r="J39" s="13" t="s">
        <v>29</v>
      </c>
      <c r="K39" s="24">
        <v>0.52</v>
      </c>
    </row>
    <row r="40" spans="1:31" ht="13.8">
      <c r="A40" s="5"/>
      <c r="B40" s="5"/>
      <c r="C40" s="5" t="s">
        <v>30</v>
      </c>
      <c r="D40" s="9" t="s">
        <v>31</v>
      </c>
      <c r="E40" s="9" t="s">
        <v>32</v>
      </c>
      <c r="F40" s="9" t="s">
        <v>33</v>
      </c>
      <c r="G40" s="9" t="s">
        <v>34</v>
      </c>
      <c r="H40" s="9" t="s">
        <v>35</v>
      </c>
      <c r="I40" s="9" t="s">
        <v>36</v>
      </c>
      <c r="J40" s="20" t="s">
        <v>37</v>
      </c>
    </row>
    <row r="41" spans="1:31" ht="16.2">
      <c r="C41" s="5" t="s">
        <v>38</v>
      </c>
      <c r="D41" s="9" t="s">
        <v>39</v>
      </c>
      <c r="G41" s="5"/>
      <c r="H41" s="9" t="s">
        <v>40</v>
      </c>
      <c r="I41" s="9" t="s">
        <v>40</v>
      </c>
      <c r="J41" s="9"/>
      <c r="K41" s="9" t="s">
        <v>41</v>
      </c>
      <c r="L41" s="29" t="s">
        <v>42</v>
      </c>
      <c r="M41" s="4" t="s">
        <v>43</v>
      </c>
      <c r="N41" s="67" t="s">
        <v>135</v>
      </c>
      <c r="Q41" s="30" t="s">
        <v>45</v>
      </c>
      <c r="R41" s="30"/>
      <c r="V41" s="3" t="s">
        <v>14</v>
      </c>
      <c r="W41" s="3" t="s">
        <v>46</v>
      </c>
      <c r="X41" s="9" t="s">
        <v>107</v>
      </c>
      <c r="Y41" s="20" t="s">
        <v>37</v>
      </c>
      <c r="Z41" s="53"/>
      <c r="AA41" s="53"/>
      <c r="AB41" s="53"/>
      <c r="AC41" s="53"/>
    </row>
    <row r="42" spans="1:31" ht="16.8">
      <c r="C42" s="5"/>
      <c r="D42" s="7" t="s">
        <v>19</v>
      </c>
      <c r="F42" s="7" t="s">
        <v>19</v>
      </c>
      <c r="H42" s="5"/>
      <c r="I42" s="5"/>
      <c r="J42" s="5"/>
      <c r="O42" s="20" t="s">
        <v>37</v>
      </c>
      <c r="P42" s="9" t="s">
        <v>47</v>
      </c>
      <c r="V42" s="3" t="s">
        <v>48</v>
      </c>
      <c r="AA42" s="54" t="s">
        <v>93</v>
      </c>
      <c r="AB42" s="54" t="s">
        <v>94</v>
      </c>
      <c r="AC42" s="54" t="s">
        <v>95</v>
      </c>
      <c r="AD42" s="54" t="s">
        <v>96</v>
      </c>
      <c r="AE42" s="54" t="s">
        <v>97</v>
      </c>
    </row>
    <row r="43" spans="1:31">
      <c r="A43" s="15" t="s">
        <v>49</v>
      </c>
      <c r="C43" s="10" t="s">
        <v>50</v>
      </c>
      <c r="D43" s="1">
        <v>0.2</v>
      </c>
      <c r="F43" s="40">
        <v>1.5</v>
      </c>
      <c r="G43" s="25">
        <f>1.0057+(1.0099-1.0057)/0.15*0.1</f>
        <v>1.0085</v>
      </c>
      <c r="H43" s="16">
        <f t="shared" ref="H43:H49" si="0">D43*G43</f>
        <v>0.20169999999999999</v>
      </c>
      <c r="I43" s="50">
        <f t="shared" ref="I43:I49" si="1">F43+$B$39*LOG(G43)</f>
        <v>1.4963240974512158</v>
      </c>
      <c r="J43" s="19">
        <f>0.17*2</f>
        <v>0.34</v>
      </c>
      <c r="K43">
        <f>$K$38*SQRT($H43)/(1+1.5*SQRT($H43))</f>
        <v>0.13658471700824024</v>
      </c>
      <c r="L43">
        <f t="shared" ref="L43:L60" si="2">-$B$38*K43</f>
        <v>1.0926777360659219</v>
      </c>
      <c r="M43">
        <f>$M$33*$H43</f>
        <v>-8.0680000000000005E-3</v>
      </c>
      <c r="N43" s="17">
        <f t="shared" ref="N43:N49" si="3">I43+L43+M43</f>
        <v>2.5809338335171375</v>
      </c>
      <c r="O43" s="21">
        <f>SQRT(J43^2+(H43*$N$35)^2)</f>
        <v>0.34086639890872206</v>
      </c>
      <c r="P43">
        <v>25</v>
      </c>
      <c r="Q43">
        <f t="shared" ref="Q43:Q49" si="4">1/(273.15+$P43)</f>
        <v>3.3540164346805303E-3</v>
      </c>
      <c r="R43" s="17">
        <f t="shared" ref="R43:R49" si="5">N43</f>
        <v>2.5809338335171375</v>
      </c>
      <c r="T43" s="14">
        <f>N43</f>
        <v>2.5809338335171375</v>
      </c>
      <c r="V43">
        <f t="shared" ref="V43:V65" si="6">273.15+$P43</f>
        <v>298.14999999999998</v>
      </c>
      <c r="W43">
        <f t="shared" ref="W43:W65" si="7">(1/$W$34-1/$V43)/$W$37</f>
        <v>0</v>
      </c>
      <c r="X43" s="14">
        <f>N43</f>
        <v>2.5809338335171375</v>
      </c>
      <c r="Y43" s="14">
        <v>0.34</v>
      </c>
      <c r="AA43" s="2">
        <f>1/Y43^2</f>
        <v>8.6505190311418669</v>
      </c>
      <c r="AB43" s="2">
        <f>W43*AA43</f>
        <v>0</v>
      </c>
      <c r="AC43" s="2">
        <f>W43*W43*AA43</f>
        <v>0</v>
      </c>
      <c r="AD43" s="2">
        <f>X43*AA43</f>
        <v>22.326417244957934</v>
      </c>
      <c r="AE43" s="2">
        <f>W43*X43*AA43</f>
        <v>0</v>
      </c>
    </row>
    <row r="44" spans="1:31">
      <c r="A44" s="15" t="s">
        <v>51</v>
      </c>
      <c r="C44" s="10" t="s">
        <v>52</v>
      </c>
      <c r="D44" s="1">
        <v>0.15</v>
      </c>
      <c r="F44" s="40">
        <v>1.86</v>
      </c>
      <c r="G44" s="25">
        <f>1.0046+(1.0072-1.0046)/0.15*0.05</f>
        <v>1.0054666666666667</v>
      </c>
      <c r="H44" s="16">
        <f t="shared" si="0"/>
        <v>0.15082000000000001</v>
      </c>
      <c r="I44" s="50">
        <f t="shared" si="1"/>
        <v>1.8576323226034803</v>
      </c>
      <c r="J44" s="19">
        <v>0.2</v>
      </c>
      <c r="K44">
        <f>$K$39*SQRT($H44)/(1+1.5*SQRT($H44))</f>
        <v>0.12760860625040998</v>
      </c>
      <c r="L44">
        <f t="shared" si="2"/>
        <v>1.0208688500032799</v>
      </c>
      <c r="M44">
        <f>$M$34*$H43</f>
        <v>2.0169999999999962E-3</v>
      </c>
      <c r="N44" s="17">
        <f>I44+L44+M44</f>
        <v>2.8805181726067599</v>
      </c>
      <c r="O44" s="21">
        <f>SQRT(J44^2+(H44*$N$34)^2)</f>
        <v>0.20077756202295119</v>
      </c>
      <c r="P44">
        <v>37</v>
      </c>
      <c r="Q44">
        <f t="shared" si="4"/>
        <v>3.224246332419797E-3</v>
      </c>
      <c r="R44" s="17">
        <f t="shared" si="5"/>
        <v>2.8805181726067599</v>
      </c>
      <c r="U44" s="14">
        <f>N44</f>
        <v>2.8805181726067599</v>
      </c>
      <c r="V44">
        <f t="shared" si="6"/>
        <v>310.14999999999998</v>
      </c>
      <c r="W44">
        <f t="shared" si="7"/>
        <v>6.7783235966830469E-3</v>
      </c>
      <c r="X44" s="14">
        <f t="shared" ref="X44:X64" si="8">N44</f>
        <v>2.8805181726067599</v>
      </c>
      <c r="Y44" s="14">
        <v>0.3</v>
      </c>
      <c r="AA44" s="2">
        <f t="shared" ref="AA44:AA64" si="9">1/Y44^2</f>
        <v>11.111111111111111</v>
      </c>
      <c r="AB44" s="2">
        <f t="shared" ref="AB44:AB64" si="10">W44*AA44</f>
        <v>7.5314706629811629E-2</v>
      </c>
      <c r="AC44" s="2">
        <f t="shared" ref="AC44:AC64" si="11">W44*W44*AA44</f>
        <v>5.1050745312611334E-4</v>
      </c>
      <c r="AD44" s="2">
        <f t="shared" ref="AD44:AD64" si="12">X44*AA44</f>
        <v>32.005757473408444</v>
      </c>
      <c r="AE44" s="2">
        <f t="shared" ref="AE44:AE64" si="13">W44*X44*AA44</f>
        <v>0.21694538111171921</v>
      </c>
    </row>
    <row r="45" spans="1:31" ht="14.4">
      <c r="A45" s="15" t="s">
        <v>53</v>
      </c>
      <c r="C45" s="10" t="s">
        <v>54</v>
      </c>
      <c r="D45" s="1">
        <v>0.2</v>
      </c>
      <c r="E45" s="37">
        <v>23</v>
      </c>
      <c r="F45" s="38">
        <f>LOG(E45)</f>
        <v>1.3617278360175928</v>
      </c>
      <c r="G45" s="25">
        <f>1.0046+(1.0078-1.0046)/0.15*0.1</f>
        <v>1.0067333333333333</v>
      </c>
      <c r="H45" s="16">
        <f>D45*G45</f>
        <v>0.20134666666666667</v>
      </c>
      <c r="I45" s="50">
        <f>F45+$B$39*LOG(G45)</f>
        <v>1.358813387508454</v>
      </c>
      <c r="J45" s="19">
        <f>(LOG(23+2)-LOG(23-2))/2</f>
        <v>3.7860356969059206E-2</v>
      </c>
      <c r="K45">
        <f>$K$36*SQRT($H45)/(1+1.5*SQRT($H45))</f>
        <v>0.13168560272715765</v>
      </c>
      <c r="L45">
        <f>-$B$38*K45</f>
        <v>1.0534848218172612</v>
      </c>
      <c r="M45">
        <f>$M$37*$H45</f>
        <v>-8.0538666666666675E-2</v>
      </c>
      <c r="N45" s="17">
        <f>I45+L45+M45</f>
        <v>2.3317595426590487</v>
      </c>
      <c r="O45" s="21">
        <f t="shared" ref="O45:O50" si="14">SQRT(J45^2+(H45*$N$35)^2)</f>
        <v>4.4958242763728742E-2</v>
      </c>
      <c r="P45">
        <v>0</v>
      </c>
      <c r="Q45">
        <f t="shared" si="4"/>
        <v>3.6609921288669233E-3</v>
      </c>
      <c r="R45" s="17">
        <f>N45</f>
        <v>2.3317595426590487</v>
      </c>
      <c r="U45" s="14"/>
      <c r="V45">
        <f t="shared" si="6"/>
        <v>273.14999999999998</v>
      </c>
      <c r="W45">
        <f t="shared" si="7"/>
        <v>-1.6034360420947306E-2</v>
      </c>
      <c r="X45" s="14">
        <f>N45</f>
        <v>2.3317595426590487</v>
      </c>
      <c r="Y45" s="14">
        <v>0.2</v>
      </c>
      <c r="AA45" s="2">
        <f>1/Y45^2</f>
        <v>24.999999999999996</v>
      </c>
      <c r="AB45" s="2">
        <f>W45*AA45</f>
        <v>-0.40085901052368261</v>
      </c>
      <c r="AC45" s="2">
        <f>W45*W45*AA45</f>
        <v>6.4275178527210359E-3</v>
      </c>
      <c r="AD45" s="2">
        <f>X45*AA45</f>
        <v>58.293988566476209</v>
      </c>
      <c r="AE45" s="2">
        <f>W45*X45*AA45</f>
        <v>-0.93470682304946084</v>
      </c>
    </row>
    <row r="46" spans="1:31" ht="14.4">
      <c r="A46" s="15" t="s">
        <v>53</v>
      </c>
      <c r="C46" s="10" t="s">
        <v>54</v>
      </c>
      <c r="D46" s="1">
        <v>0.2</v>
      </c>
      <c r="E46" s="37">
        <v>50</v>
      </c>
      <c r="F46" s="38">
        <f>LOG(E46)</f>
        <v>1.6989700043360187</v>
      </c>
      <c r="G46" s="25">
        <f>1.0046+(1.0078-1.0046)/0.15*0.1</f>
        <v>1.0067333333333333</v>
      </c>
      <c r="H46" s="16">
        <f t="shared" si="0"/>
        <v>0.20134666666666667</v>
      </c>
      <c r="I46" s="50">
        <f t="shared" si="1"/>
        <v>1.6960555558268799</v>
      </c>
      <c r="J46" s="19">
        <f>(LOG(50+2)-LOG(50-2))/2</f>
        <v>1.7381053129606028E-2</v>
      </c>
      <c r="K46">
        <f>$K$38*SQRT($H46)/(1+1.5*SQRT($H46))</f>
        <v>0.13651318083120825</v>
      </c>
      <c r="L46">
        <f t="shared" si="2"/>
        <v>1.092105446649666</v>
      </c>
      <c r="M46">
        <f>$M$37*$H46</f>
        <v>-8.0538666666666675E-2</v>
      </c>
      <c r="N46" s="17">
        <f t="shared" si="3"/>
        <v>2.7076223358098792</v>
      </c>
      <c r="O46" s="21">
        <f t="shared" si="14"/>
        <v>2.9831828144985775E-2</v>
      </c>
      <c r="P46">
        <v>25</v>
      </c>
      <c r="Q46">
        <f t="shared" si="4"/>
        <v>3.3540164346805303E-3</v>
      </c>
      <c r="R46" s="17">
        <f t="shared" si="5"/>
        <v>2.7076223358098792</v>
      </c>
      <c r="T46" s="14">
        <f>N46</f>
        <v>2.7076223358098792</v>
      </c>
      <c r="U46" s="14"/>
      <c r="V46">
        <f t="shared" si="6"/>
        <v>298.14999999999998</v>
      </c>
      <c r="W46">
        <f t="shared" si="7"/>
        <v>0</v>
      </c>
      <c r="X46" s="14">
        <f t="shared" si="8"/>
        <v>2.7076223358098792</v>
      </c>
      <c r="Y46" s="14">
        <v>0.2</v>
      </c>
      <c r="AA46" s="2">
        <f t="shared" si="9"/>
        <v>24.999999999999996</v>
      </c>
      <c r="AB46" s="2">
        <f t="shared" si="10"/>
        <v>0</v>
      </c>
      <c r="AC46" s="2">
        <f t="shared" si="11"/>
        <v>0</v>
      </c>
      <c r="AD46" s="2">
        <f t="shared" si="12"/>
        <v>67.690558395246967</v>
      </c>
      <c r="AE46" s="2">
        <f t="shared" si="13"/>
        <v>0</v>
      </c>
    </row>
    <row r="47" spans="1:31" ht="14.4">
      <c r="A47" s="15" t="s">
        <v>55</v>
      </c>
      <c r="C47" s="10" t="s">
        <v>56</v>
      </c>
      <c r="D47" s="1">
        <v>0.15</v>
      </c>
      <c r="F47" s="40">
        <v>1.3</v>
      </c>
      <c r="G47">
        <f>1.007+(1.013-1.007)/0.15*0.05</f>
        <v>1.0089999999999999</v>
      </c>
      <c r="H47" s="16">
        <f t="shared" si="0"/>
        <v>0.15134999999999998</v>
      </c>
      <c r="I47" s="50">
        <f>F47+$B$39*LOG(G47)</f>
        <v>1.2961088337630895</v>
      </c>
      <c r="J47" s="19">
        <v>0.2</v>
      </c>
      <c r="K47">
        <f>$K$39*SQRT($H47)/(1+1.5*SQRT($H47))</f>
        <v>0.12775007237688246</v>
      </c>
      <c r="L47">
        <f t="shared" si="2"/>
        <v>1.0220005790150597</v>
      </c>
      <c r="M47">
        <f>$M$36*$H47</f>
        <v>1.2107999999999999E-2</v>
      </c>
      <c r="N47" s="17">
        <f t="shared" si="3"/>
        <v>2.3302174127781492</v>
      </c>
      <c r="O47" s="21">
        <f t="shared" si="14"/>
        <v>0.20082865564019992</v>
      </c>
      <c r="P47">
        <v>37</v>
      </c>
      <c r="Q47">
        <f t="shared" si="4"/>
        <v>3.224246332419797E-3</v>
      </c>
      <c r="R47" s="17">
        <f t="shared" si="5"/>
        <v>2.3302174127781492</v>
      </c>
      <c r="T47" s="14"/>
      <c r="U47" s="14">
        <f>N47</f>
        <v>2.3302174127781492</v>
      </c>
      <c r="V47">
        <f t="shared" si="6"/>
        <v>310.14999999999998</v>
      </c>
      <c r="W47">
        <f t="shared" si="7"/>
        <v>6.7783235966830469E-3</v>
      </c>
      <c r="X47" s="14">
        <f t="shared" si="8"/>
        <v>2.3302174127781492</v>
      </c>
      <c r="Y47" s="14">
        <v>0.4</v>
      </c>
      <c r="AA47" s="2">
        <f t="shared" si="9"/>
        <v>6.2499999999999991</v>
      </c>
      <c r="AB47" s="2">
        <f t="shared" si="10"/>
        <v>4.2364522479269036E-2</v>
      </c>
      <c r="AC47" s="2">
        <f t="shared" si="11"/>
        <v>2.871604423834387E-4</v>
      </c>
      <c r="AD47" s="2">
        <f t="shared" si="12"/>
        <v>14.563858829863431</v>
      </c>
      <c r="AE47" s="2">
        <f t="shared" si="13"/>
        <v>9.8718547965224029E-2</v>
      </c>
    </row>
    <row r="48" spans="1:31">
      <c r="A48" s="15" t="s">
        <v>88</v>
      </c>
      <c r="D48" s="1">
        <v>0</v>
      </c>
      <c r="F48" s="40">
        <v>2.7</v>
      </c>
      <c r="G48">
        <v>1</v>
      </c>
      <c r="H48" s="16">
        <f t="shared" si="0"/>
        <v>0</v>
      </c>
      <c r="I48" s="19">
        <f t="shared" si="1"/>
        <v>2.7</v>
      </c>
      <c r="J48" s="19">
        <v>0.1</v>
      </c>
      <c r="K48">
        <f>$K$38*SQRT($H48)/(1+1.5*SQRT($H48))</f>
        <v>0</v>
      </c>
      <c r="L48">
        <f t="shared" si="2"/>
        <v>0</v>
      </c>
      <c r="M48">
        <f>$M$37*$H48</f>
        <v>0</v>
      </c>
      <c r="N48" s="17">
        <f t="shared" si="3"/>
        <v>2.7</v>
      </c>
      <c r="O48" s="21">
        <f t="shared" si="14"/>
        <v>0.1</v>
      </c>
      <c r="P48">
        <v>25</v>
      </c>
      <c r="Q48">
        <f t="shared" si="4"/>
        <v>3.3540164346805303E-3</v>
      </c>
      <c r="R48" s="17">
        <f t="shared" si="5"/>
        <v>2.7</v>
      </c>
      <c r="T48" s="14">
        <f>N48</f>
        <v>2.7</v>
      </c>
      <c r="V48">
        <f t="shared" si="6"/>
        <v>298.14999999999998</v>
      </c>
      <c r="W48">
        <f t="shared" si="7"/>
        <v>0</v>
      </c>
      <c r="X48" s="14">
        <f t="shared" si="8"/>
        <v>2.7</v>
      </c>
      <c r="Y48" s="14">
        <v>0.2</v>
      </c>
      <c r="AA48" s="2">
        <f t="shared" si="9"/>
        <v>24.999999999999996</v>
      </c>
      <c r="AB48" s="2">
        <f t="shared" si="10"/>
        <v>0</v>
      </c>
      <c r="AC48" s="2">
        <f t="shared" si="11"/>
        <v>0</v>
      </c>
      <c r="AD48" s="2">
        <f t="shared" si="12"/>
        <v>67.5</v>
      </c>
      <c r="AE48" s="2">
        <f t="shared" si="13"/>
        <v>0</v>
      </c>
    </row>
    <row r="49" spans="1:31">
      <c r="A49" s="15" t="s">
        <v>57</v>
      </c>
      <c r="D49" s="1">
        <v>0</v>
      </c>
      <c r="F49" s="40">
        <v>2.63</v>
      </c>
      <c r="G49">
        <v>1</v>
      </c>
      <c r="H49" s="16">
        <f t="shared" si="0"/>
        <v>0</v>
      </c>
      <c r="I49" s="19">
        <f t="shared" si="1"/>
        <v>2.63</v>
      </c>
      <c r="J49" s="19">
        <v>0.06</v>
      </c>
      <c r="K49">
        <f>$K$39*SQRT($H49)/(1+1.5*SQRT($H49))</f>
        <v>0</v>
      </c>
      <c r="L49">
        <f t="shared" si="2"/>
        <v>0</v>
      </c>
      <c r="M49">
        <f>$M$36*$H49</f>
        <v>0</v>
      </c>
      <c r="N49" s="17">
        <f t="shared" si="3"/>
        <v>2.63</v>
      </c>
      <c r="O49" s="21">
        <f t="shared" si="14"/>
        <v>0.06</v>
      </c>
      <c r="P49">
        <v>18</v>
      </c>
      <c r="Q49">
        <f t="shared" si="4"/>
        <v>3.4346556757685045E-3</v>
      </c>
      <c r="R49" s="17">
        <f t="shared" si="5"/>
        <v>2.63</v>
      </c>
      <c r="S49" s="14">
        <f>N49</f>
        <v>2.63</v>
      </c>
      <c r="U49" s="14"/>
      <c r="V49">
        <f t="shared" si="6"/>
        <v>291.14999999999998</v>
      </c>
      <c r="W49">
        <f t="shared" si="7"/>
        <v>-4.2120554824485353E-3</v>
      </c>
      <c r="X49" s="14">
        <f t="shared" si="8"/>
        <v>2.63</v>
      </c>
      <c r="Y49" s="14">
        <v>0.3</v>
      </c>
      <c r="AA49" s="2">
        <f t="shared" si="9"/>
        <v>11.111111111111111</v>
      </c>
      <c r="AB49" s="2">
        <f t="shared" si="10"/>
        <v>-4.6800616471650389E-2</v>
      </c>
      <c r="AC49" s="2">
        <f t="shared" si="11"/>
        <v>1.9712679319138627E-4</v>
      </c>
      <c r="AD49" s="2">
        <f t="shared" si="12"/>
        <v>29.222222222222221</v>
      </c>
      <c r="AE49" s="2">
        <f t="shared" si="13"/>
        <v>-0.12308562132044051</v>
      </c>
    </row>
    <row r="50" spans="1:31">
      <c r="A50" s="15" t="s">
        <v>58</v>
      </c>
      <c r="B50" s="1"/>
      <c r="D50" s="1">
        <v>0</v>
      </c>
      <c r="E50" s="37">
        <v>588</v>
      </c>
      <c r="F50" s="38">
        <f t="shared" ref="F50:F63" si="15">LOG(E50)</f>
        <v>2.7693773260761385</v>
      </c>
      <c r="G50">
        <v>1</v>
      </c>
      <c r="H50" s="16">
        <f t="shared" ref="H50:H60" si="16">D50*G50</f>
        <v>0</v>
      </c>
      <c r="I50" s="19">
        <f t="shared" ref="I50:I63" si="17">F50+$B$39*LOG(G50)</f>
        <v>2.7693773260761385</v>
      </c>
      <c r="J50" s="19">
        <v>0.06</v>
      </c>
      <c r="K50">
        <f t="shared" ref="K50:K59" si="18">$K$38*SQRT($H50)/(1+1.5*SQRT($H50))</f>
        <v>0</v>
      </c>
      <c r="L50">
        <f t="shared" si="2"/>
        <v>0</v>
      </c>
      <c r="M50">
        <f>$M$35*$H50</f>
        <v>0</v>
      </c>
      <c r="N50" s="17">
        <f t="shared" ref="N50:N60" si="19">I50+L50+M50</f>
        <v>2.7693773260761385</v>
      </c>
      <c r="O50" s="21">
        <f t="shared" si="14"/>
        <v>0.06</v>
      </c>
      <c r="P50">
        <v>37.5</v>
      </c>
      <c r="Q50">
        <f t="shared" ref="Q50:Q65" si="20">1/(273.15+$P50)</f>
        <v>3.2190568163528088E-3</v>
      </c>
      <c r="R50" s="17">
        <f t="shared" ref="R50:R64" si="21">N50</f>
        <v>2.7693773260761385</v>
      </c>
      <c r="T50" s="14"/>
      <c r="U50" s="14">
        <f>N50</f>
        <v>2.7693773260761385</v>
      </c>
      <c r="V50">
        <f t="shared" si="6"/>
        <v>310.64999999999998</v>
      </c>
      <c r="W50">
        <f t="shared" si="7"/>
        <v>7.0493892628066381E-3</v>
      </c>
      <c r="X50" s="14">
        <f t="shared" si="8"/>
        <v>2.7693773260761385</v>
      </c>
      <c r="Y50" s="14">
        <v>0.2</v>
      </c>
      <c r="AA50" s="2">
        <f t="shared" si="9"/>
        <v>24.999999999999996</v>
      </c>
      <c r="AB50" s="2">
        <f t="shared" si="10"/>
        <v>0.17623473157016592</v>
      </c>
      <c r="AC50" s="2">
        <f t="shared" si="11"/>
        <v>1.2423472244643377E-3</v>
      </c>
      <c r="AD50" s="2">
        <f t="shared" si="12"/>
        <v>69.23443315190346</v>
      </c>
      <c r="AE50" s="2">
        <f t="shared" si="13"/>
        <v>0.48806046967753219</v>
      </c>
    </row>
    <row r="51" spans="1:31">
      <c r="A51" s="15" t="s">
        <v>91</v>
      </c>
      <c r="B51" s="1"/>
      <c r="D51" s="1">
        <v>0</v>
      </c>
      <c r="E51" s="37">
        <v>548</v>
      </c>
      <c r="F51" s="38">
        <f t="shared" si="15"/>
        <v>2.7387805584843692</v>
      </c>
      <c r="G51">
        <v>1</v>
      </c>
      <c r="H51" s="16">
        <f t="shared" si="16"/>
        <v>0</v>
      </c>
      <c r="I51" s="50">
        <f t="shared" si="17"/>
        <v>2.7387805584843692</v>
      </c>
      <c r="J51" s="50">
        <f>(LOG(548+2.8)-LOG(548-2.8))/2</f>
        <v>2.2190422111250108E-3</v>
      </c>
      <c r="K51">
        <f t="shared" si="18"/>
        <v>0</v>
      </c>
      <c r="L51">
        <f t="shared" si="2"/>
        <v>0</v>
      </c>
      <c r="M51">
        <v>0</v>
      </c>
      <c r="N51" s="17">
        <f t="shared" si="19"/>
        <v>2.7387805584843692</v>
      </c>
      <c r="O51" s="21">
        <f t="shared" ref="O51:O60" si="22">SQRT(J51^2+(H51*$N$35)^2)</f>
        <v>2.2190422111250108E-3</v>
      </c>
      <c r="P51">
        <v>25</v>
      </c>
      <c r="Q51">
        <f t="shared" si="20"/>
        <v>3.3540164346805303E-3</v>
      </c>
      <c r="R51" s="17">
        <f t="shared" si="21"/>
        <v>2.7387805584843692</v>
      </c>
      <c r="T51" s="14">
        <f>N51</f>
        <v>2.7387805584843692</v>
      </c>
      <c r="U51" s="14"/>
      <c r="V51">
        <f t="shared" si="6"/>
        <v>298.14999999999998</v>
      </c>
      <c r="W51">
        <f t="shared" si="7"/>
        <v>0</v>
      </c>
      <c r="X51" s="14">
        <f t="shared" si="8"/>
        <v>2.7387805584843692</v>
      </c>
      <c r="Y51" s="14">
        <v>0.2</v>
      </c>
      <c r="AA51" s="2">
        <f t="shared" si="9"/>
        <v>24.999999999999996</v>
      </c>
      <c r="AB51" s="2">
        <f t="shared" si="10"/>
        <v>0</v>
      </c>
      <c r="AC51" s="2">
        <f t="shared" si="11"/>
        <v>0</v>
      </c>
      <c r="AD51" s="2">
        <f t="shared" si="12"/>
        <v>68.469513962109218</v>
      </c>
      <c r="AE51" s="2">
        <f t="shared" si="13"/>
        <v>0</v>
      </c>
    </row>
    <row r="52" spans="1:31">
      <c r="A52" s="15" t="s">
        <v>91</v>
      </c>
      <c r="B52" s="1"/>
      <c r="D52" s="1">
        <v>0</v>
      </c>
      <c r="E52" s="37">
        <v>681</v>
      </c>
      <c r="F52" s="38">
        <f t="shared" si="15"/>
        <v>2.8331471119127851</v>
      </c>
      <c r="G52">
        <v>1</v>
      </c>
      <c r="H52" s="16">
        <f t="shared" si="16"/>
        <v>0</v>
      </c>
      <c r="I52" s="50">
        <f t="shared" si="17"/>
        <v>2.8331471119127851</v>
      </c>
      <c r="J52" s="50">
        <f>(LOG(681+2.8)-LOG(681-2.8))/2</f>
        <v>1.785655509254136E-3</v>
      </c>
      <c r="K52">
        <f t="shared" si="18"/>
        <v>0</v>
      </c>
      <c r="L52">
        <f t="shared" si="2"/>
        <v>0</v>
      </c>
      <c r="M52">
        <v>0</v>
      </c>
      <c r="N52" s="17">
        <f t="shared" si="19"/>
        <v>2.8331471119127851</v>
      </c>
      <c r="O52" s="21">
        <f t="shared" si="22"/>
        <v>1.785655509254136E-3</v>
      </c>
      <c r="P52">
        <v>37</v>
      </c>
      <c r="Q52">
        <f t="shared" si="20"/>
        <v>3.224246332419797E-3</v>
      </c>
      <c r="R52" s="17">
        <f t="shared" si="21"/>
        <v>2.8331471119127851</v>
      </c>
      <c r="T52" s="14"/>
      <c r="U52" s="14">
        <f>N52</f>
        <v>2.8331471119127851</v>
      </c>
      <c r="V52">
        <f t="shared" si="6"/>
        <v>310.14999999999998</v>
      </c>
      <c r="W52">
        <f t="shared" si="7"/>
        <v>6.7783235966830469E-3</v>
      </c>
      <c r="X52" s="14">
        <f t="shared" si="8"/>
        <v>2.8331471119127851</v>
      </c>
      <c r="Y52" s="14">
        <v>0.2</v>
      </c>
      <c r="AA52" s="2">
        <f t="shared" si="9"/>
        <v>24.999999999999996</v>
      </c>
      <c r="AB52" s="2">
        <f t="shared" si="10"/>
        <v>0.16945808991707614</v>
      </c>
      <c r="AC52" s="2">
        <f t="shared" si="11"/>
        <v>1.1486417695337548E-3</v>
      </c>
      <c r="AD52" s="2">
        <f t="shared" si="12"/>
        <v>70.828677797819623</v>
      </c>
      <c r="AE52" s="2">
        <f t="shared" si="13"/>
        <v>0.48009969803882135</v>
      </c>
    </row>
    <row r="53" spans="1:31">
      <c r="A53" s="15" t="s">
        <v>59</v>
      </c>
      <c r="B53" s="1"/>
      <c r="D53" s="1">
        <v>0</v>
      </c>
      <c r="E53" s="37">
        <v>446</v>
      </c>
      <c r="F53" s="38">
        <f t="shared" si="15"/>
        <v>2.6493348587121419</v>
      </c>
      <c r="G53">
        <v>1</v>
      </c>
      <c r="H53" s="16">
        <f t="shared" si="16"/>
        <v>0</v>
      </c>
      <c r="I53" s="19">
        <f t="shared" si="17"/>
        <v>2.6493348587121419</v>
      </c>
      <c r="J53" s="19">
        <f>(LOG(446+54)-LOG(446-54))/2</f>
        <v>5.2841968657780791E-2</v>
      </c>
      <c r="K53">
        <f t="shared" si="18"/>
        <v>0</v>
      </c>
      <c r="L53">
        <f t="shared" si="2"/>
        <v>0</v>
      </c>
      <c r="M53">
        <v>0</v>
      </c>
      <c r="N53" s="17">
        <f t="shared" si="19"/>
        <v>2.6493348587121419</v>
      </c>
      <c r="O53" s="21">
        <f t="shared" si="22"/>
        <v>5.2841968657780791E-2</v>
      </c>
      <c r="P53">
        <v>5</v>
      </c>
      <c r="Q53">
        <f t="shared" si="20"/>
        <v>3.5951824555096176E-3</v>
      </c>
      <c r="R53" s="17">
        <f t="shared" si="21"/>
        <v>2.6493348587121419</v>
      </c>
      <c r="T53" s="14"/>
      <c r="U53" s="14"/>
      <c r="V53">
        <f t="shared" si="6"/>
        <v>278.14999999999998</v>
      </c>
      <c r="W53">
        <f t="shared" si="7"/>
        <v>-1.2596902531675022E-2</v>
      </c>
      <c r="X53" s="14">
        <f t="shared" si="8"/>
        <v>2.6493348587121419</v>
      </c>
      <c r="Y53" s="14">
        <v>0.2</v>
      </c>
      <c r="AA53" s="2">
        <f t="shared" si="9"/>
        <v>24.999999999999996</v>
      </c>
      <c r="AB53" s="2">
        <f t="shared" si="10"/>
        <v>-0.31492256329187551</v>
      </c>
      <c r="AC53" s="2">
        <f t="shared" si="11"/>
        <v>3.9670488348130138E-3</v>
      </c>
      <c r="AD53" s="2">
        <f t="shared" si="12"/>
        <v>66.233371467803536</v>
      </c>
      <c r="AE53" s="2">
        <f t="shared" si="13"/>
        <v>-0.83433532472414651</v>
      </c>
    </row>
    <row r="54" spans="1:31">
      <c r="A54" s="15" t="s">
        <v>59</v>
      </c>
      <c r="B54" s="1"/>
      <c r="D54" s="1">
        <v>0</v>
      </c>
      <c r="E54" s="37">
        <v>272</v>
      </c>
      <c r="F54" s="38">
        <f t="shared" si="15"/>
        <v>2.4345689040341987</v>
      </c>
      <c r="G54">
        <v>1</v>
      </c>
      <c r="H54" s="16">
        <f t="shared" si="16"/>
        <v>0</v>
      </c>
      <c r="I54" s="19">
        <f t="shared" si="17"/>
        <v>2.4345689040341987</v>
      </c>
      <c r="J54" s="19">
        <f>(LOG(227+35)-LOG(227-35))/2</f>
        <v>6.7500031308097785E-2</v>
      </c>
      <c r="K54">
        <f t="shared" si="18"/>
        <v>0</v>
      </c>
      <c r="L54">
        <f t="shared" si="2"/>
        <v>0</v>
      </c>
      <c r="M54">
        <v>0</v>
      </c>
      <c r="N54" s="17">
        <f t="shared" si="19"/>
        <v>2.4345689040341987</v>
      </c>
      <c r="O54" s="21">
        <f t="shared" si="22"/>
        <v>6.7500031308097785E-2</v>
      </c>
      <c r="P54">
        <v>15</v>
      </c>
      <c r="Q54">
        <f t="shared" si="20"/>
        <v>3.4704147145583901E-3</v>
      </c>
      <c r="R54" s="17">
        <f t="shared" si="21"/>
        <v>2.4345689040341987</v>
      </c>
      <c r="S54" s="14">
        <f>N54</f>
        <v>2.4345689040341987</v>
      </c>
      <c r="T54" s="14"/>
      <c r="U54" s="14"/>
      <c r="V54">
        <f t="shared" si="6"/>
        <v>288.14999999999998</v>
      </c>
      <c r="W54">
        <f t="shared" si="7"/>
        <v>-6.0798688863185945E-3</v>
      </c>
      <c r="X54" s="14">
        <f t="shared" si="8"/>
        <v>2.4345689040341987</v>
      </c>
      <c r="Y54" s="14">
        <v>0.2</v>
      </c>
      <c r="AA54" s="2">
        <f t="shared" si="9"/>
        <v>24.999999999999996</v>
      </c>
      <c r="AB54" s="2">
        <f t="shared" si="10"/>
        <v>-0.15199672215796484</v>
      </c>
      <c r="AC54" s="2">
        <f t="shared" si="11"/>
        <v>9.2412014187062252E-4</v>
      </c>
      <c r="AD54" s="2">
        <f t="shared" si="12"/>
        <v>60.864222600854959</v>
      </c>
      <c r="AE54" s="2">
        <f t="shared" si="13"/>
        <v>-0.37004649328090705</v>
      </c>
    </row>
    <row r="55" spans="1:31">
      <c r="A55" s="15" t="s">
        <v>59</v>
      </c>
      <c r="B55" s="1"/>
      <c r="D55" s="1">
        <v>0</v>
      </c>
      <c r="E55" s="37">
        <v>255</v>
      </c>
      <c r="F55" s="38">
        <f t="shared" si="15"/>
        <v>2.406540180433955</v>
      </c>
      <c r="G55">
        <v>1</v>
      </c>
      <c r="H55" s="16">
        <f t="shared" si="16"/>
        <v>0</v>
      </c>
      <c r="I55" s="19">
        <f t="shared" si="17"/>
        <v>2.406540180433955</v>
      </c>
      <c r="J55" s="19">
        <f>(LOG(255+35)-LOG(255-35))/2</f>
        <v>5.9987658538374955E-2</v>
      </c>
      <c r="K55">
        <f t="shared" si="18"/>
        <v>0</v>
      </c>
      <c r="L55">
        <f t="shared" si="2"/>
        <v>0</v>
      </c>
      <c r="M55">
        <v>0</v>
      </c>
      <c r="N55" s="17">
        <f t="shared" si="19"/>
        <v>2.406540180433955</v>
      </c>
      <c r="O55" s="21">
        <f t="shared" si="22"/>
        <v>5.9987658538374955E-2</v>
      </c>
      <c r="P55">
        <v>25</v>
      </c>
      <c r="Q55">
        <f t="shared" si="20"/>
        <v>3.3540164346805303E-3</v>
      </c>
      <c r="R55" s="17">
        <f t="shared" si="21"/>
        <v>2.406540180433955</v>
      </c>
      <c r="T55" s="14">
        <f>N55</f>
        <v>2.406540180433955</v>
      </c>
      <c r="U55" s="14"/>
      <c r="V55">
        <f t="shared" si="6"/>
        <v>298.14999999999998</v>
      </c>
      <c r="W55">
        <f t="shared" si="7"/>
        <v>0</v>
      </c>
      <c r="X55" s="14">
        <f t="shared" si="8"/>
        <v>2.406540180433955</v>
      </c>
      <c r="Y55" s="14">
        <v>0.2</v>
      </c>
      <c r="AA55" s="2">
        <f t="shared" si="9"/>
        <v>24.999999999999996</v>
      </c>
      <c r="AB55" s="2">
        <f t="shared" si="10"/>
        <v>0</v>
      </c>
      <c r="AC55" s="2">
        <f t="shared" si="11"/>
        <v>0</v>
      </c>
      <c r="AD55" s="2">
        <f t="shared" si="12"/>
        <v>60.163504510848867</v>
      </c>
      <c r="AE55" s="2">
        <f t="shared" si="13"/>
        <v>0</v>
      </c>
    </row>
    <row r="56" spans="1:31">
      <c r="A56" s="15" t="s">
        <v>59</v>
      </c>
      <c r="B56" s="1"/>
      <c r="D56" s="1">
        <v>0</v>
      </c>
      <c r="E56" s="37">
        <v>401</v>
      </c>
      <c r="F56" s="38">
        <f t="shared" si="15"/>
        <v>2.6031443726201822</v>
      </c>
      <c r="G56">
        <v>1</v>
      </c>
      <c r="H56" s="16">
        <f t="shared" si="16"/>
        <v>0</v>
      </c>
      <c r="I56" s="19">
        <f t="shared" si="17"/>
        <v>2.6031443726201822</v>
      </c>
      <c r="J56" s="19">
        <f>(LOG(401+71)-LOG(401-71))/2</f>
        <v>7.7714029378100236E-2</v>
      </c>
      <c r="K56">
        <f t="shared" si="18"/>
        <v>0</v>
      </c>
      <c r="L56">
        <f t="shared" si="2"/>
        <v>0</v>
      </c>
      <c r="M56">
        <f>$M$35*$H56</f>
        <v>0</v>
      </c>
      <c r="N56" s="17">
        <f t="shared" si="19"/>
        <v>2.6031443726201822</v>
      </c>
      <c r="O56" s="21">
        <f t="shared" si="22"/>
        <v>7.7714029378100236E-2</v>
      </c>
      <c r="P56">
        <v>37.5</v>
      </c>
      <c r="Q56">
        <f t="shared" si="20"/>
        <v>3.2190568163528088E-3</v>
      </c>
      <c r="R56" s="17">
        <f t="shared" si="21"/>
        <v>2.6031443726201822</v>
      </c>
      <c r="T56" s="14"/>
      <c r="U56" s="14">
        <f>N56</f>
        <v>2.6031443726201822</v>
      </c>
      <c r="V56">
        <f t="shared" si="6"/>
        <v>310.64999999999998</v>
      </c>
      <c r="W56">
        <f t="shared" si="7"/>
        <v>7.0493892628066381E-3</v>
      </c>
      <c r="X56" s="14">
        <f t="shared" si="8"/>
        <v>2.6031443726201822</v>
      </c>
      <c r="Y56" s="14">
        <v>0.25</v>
      </c>
      <c r="AA56" s="2">
        <f t="shared" si="9"/>
        <v>16</v>
      </c>
      <c r="AB56" s="2">
        <f t="shared" si="10"/>
        <v>0.11279022820490621</v>
      </c>
      <c r="AC56" s="2">
        <f t="shared" si="11"/>
        <v>7.9510222365717623E-4</v>
      </c>
      <c r="AD56" s="2">
        <f t="shared" si="12"/>
        <v>41.650309961922915</v>
      </c>
      <c r="AE56" s="2">
        <f t="shared" si="13"/>
        <v>0.29360924783814774</v>
      </c>
    </row>
    <row r="57" spans="1:31">
      <c r="A57" s="15" t="s">
        <v>60</v>
      </c>
      <c r="B57" s="1"/>
      <c r="D57" s="1">
        <v>0</v>
      </c>
      <c r="E57" s="37">
        <v>240</v>
      </c>
      <c r="F57" s="38">
        <f t="shared" si="15"/>
        <v>2.3802112417116059</v>
      </c>
      <c r="G57">
        <v>1</v>
      </c>
      <c r="H57" s="16">
        <f t="shared" si="16"/>
        <v>0</v>
      </c>
      <c r="I57" s="19">
        <f t="shared" si="17"/>
        <v>2.3802112417116059</v>
      </c>
      <c r="J57" s="19">
        <f>(LOG(240+30)-LOG(240-30))/2</f>
        <v>5.457223471253414E-2</v>
      </c>
      <c r="K57">
        <f t="shared" si="18"/>
        <v>0</v>
      </c>
      <c r="L57">
        <f t="shared" si="2"/>
        <v>0</v>
      </c>
      <c r="M57">
        <v>0</v>
      </c>
      <c r="N57" s="17">
        <f t="shared" si="19"/>
        <v>2.3802112417116059</v>
      </c>
      <c r="O57" s="21">
        <f t="shared" si="22"/>
        <v>5.457223471253414E-2</v>
      </c>
      <c r="P57">
        <v>5</v>
      </c>
      <c r="Q57">
        <f t="shared" si="20"/>
        <v>3.5951824555096176E-3</v>
      </c>
      <c r="R57" s="17">
        <f t="shared" si="21"/>
        <v>2.3802112417116059</v>
      </c>
      <c r="T57" s="14"/>
      <c r="U57" s="14"/>
      <c r="V57">
        <f t="shared" si="6"/>
        <v>278.14999999999998</v>
      </c>
      <c r="W57">
        <f t="shared" si="7"/>
        <v>-1.2596902531675022E-2</v>
      </c>
      <c r="X57" s="14">
        <f t="shared" si="8"/>
        <v>2.3802112417116059</v>
      </c>
      <c r="Y57" s="14">
        <v>0.2</v>
      </c>
      <c r="AA57" s="2">
        <f t="shared" si="9"/>
        <v>24.999999999999996</v>
      </c>
      <c r="AB57" s="2">
        <f t="shared" si="10"/>
        <v>-0.31492256329187551</v>
      </c>
      <c r="AC57" s="2">
        <f t="shared" si="11"/>
        <v>3.9670488348130138E-3</v>
      </c>
      <c r="AD57" s="2">
        <f t="shared" si="12"/>
        <v>59.505281042790138</v>
      </c>
      <c r="AE57" s="2">
        <f t="shared" si="13"/>
        <v>-0.74958222541595687</v>
      </c>
    </row>
    <row r="58" spans="1:31">
      <c r="A58" s="15" t="s">
        <v>60</v>
      </c>
      <c r="B58" s="1"/>
      <c r="D58" s="1">
        <v>0</v>
      </c>
      <c r="E58" s="37">
        <v>190</v>
      </c>
      <c r="F58" s="38">
        <f t="shared" si="15"/>
        <v>2.2787536009528289</v>
      </c>
      <c r="G58">
        <v>1</v>
      </c>
      <c r="H58" s="16">
        <f t="shared" si="16"/>
        <v>0</v>
      </c>
      <c r="I58" s="19">
        <f t="shared" si="17"/>
        <v>2.2787536009528289</v>
      </c>
      <c r="J58" s="19">
        <f>(LOG(190+20)-LOG(190-20))/2</f>
        <v>4.5885186677822487E-2</v>
      </c>
      <c r="K58">
        <f t="shared" si="18"/>
        <v>0</v>
      </c>
      <c r="L58">
        <f t="shared" si="2"/>
        <v>0</v>
      </c>
      <c r="M58">
        <v>0</v>
      </c>
      <c r="N58" s="17">
        <f t="shared" si="19"/>
        <v>2.2787536009528289</v>
      </c>
      <c r="O58" s="21">
        <f t="shared" si="22"/>
        <v>4.5885186677822487E-2</v>
      </c>
      <c r="P58">
        <v>15</v>
      </c>
      <c r="Q58">
        <f t="shared" si="20"/>
        <v>3.4704147145583901E-3</v>
      </c>
      <c r="R58" s="17">
        <f t="shared" si="21"/>
        <v>2.2787536009528289</v>
      </c>
      <c r="S58" s="14">
        <f>N58</f>
        <v>2.2787536009528289</v>
      </c>
      <c r="T58" s="14"/>
      <c r="U58" s="14"/>
      <c r="V58">
        <f t="shared" si="6"/>
        <v>288.14999999999998</v>
      </c>
      <c r="W58">
        <f t="shared" si="7"/>
        <v>-6.0798688863185945E-3</v>
      </c>
      <c r="X58" s="14">
        <f t="shared" si="8"/>
        <v>2.2787536009528289</v>
      </c>
      <c r="Y58" s="14">
        <v>0.2</v>
      </c>
      <c r="AA58" s="2">
        <f t="shared" si="9"/>
        <v>24.999999999999996</v>
      </c>
      <c r="AB58" s="2">
        <f t="shared" si="10"/>
        <v>-0.15199672215796484</v>
      </c>
      <c r="AC58" s="2">
        <f t="shared" si="11"/>
        <v>9.2412014187062252E-4</v>
      </c>
      <c r="AD58" s="2">
        <f t="shared" si="12"/>
        <v>56.968840023820711</v>
      </c>
      <c r="AE58" s="2">
        <f t="shared" si="13"/>
        <v>-0.34636307795048898</v>
      </c>
    </row>
    <row r="59" spans="1:31">
      <c r="A59" s="15" t="s">
        <v>60</v>
      </c>
      <c r="B59" s="1"/>
      <c r="D59" s="1">
        <v>0</v>
      </c>
      <c r="E59" s="37">
        <v>380</v>
      </c>
      <c r="F59" s="38">
        <f t="shared" si="15"/>
        <v>2.5797835966168101</v>
      </c>
      <c r="G59">
        <v>1</v>
      </c>
      <c r="H59" s="16">
        <f t="shared" si="16"/>
        <v>0</v>
      </c>
      <c r="I59" s="19">
        <f t="shared" si="17"/>
        <v>2.5797835966168101</v>
      </c>
      <c r="J59" s="19">
        <f>(LOG(380+40)-LOG(380-40))/2</f>
        <v>4.5885186677822709E-2</v>
      </c>
      <c r="K59">
        <f t="shared" si="18"/>
        <v>0</v>
      </c>
      <c r="L59">
        <f t="shared" si="2"/>
        <v>0</v>
      </c>
      <c r="M59">
        <v>0</v>
      </c>
      <c r="N59" s="17">
        <f t="shared" si="19"/>
        <v>2.5797835966168101</v>
      </c>
      <c r="O59" s="21">
        <f t="shared" si="22"/>
        <v>4.5885186677822709E-2</v>
      </c>
      <c r="P59">
        <v>25</v>
      </c>
      <c r="Q59">
        <f t="shared" si="20"/>
        <v>3.3540164346805303E-3</v>
      </c>
      <c r="R59" s="17">
        <f t="shared" si="21"/>
        <v>2.5797835966168101</v>
      </c>
      <c r="T59" s="14">
        <f>N59</f>
        <v>2.5797835966168101</v>
      </c>
      <c r="U59" s="14"/>
      <c r="V59">
        <f t="shared" si="6"/>
        <v>298.14999999999998</v>
      </c>
      <c r="W59">
        <f t="shared" si="7"/>
        <v>0</v>
      </c>
      <c r="X59" s="14">
        <f t="shared" si="8"/>
        <v>2.5797835966168101</v>
      </c>
      <c r="Y59" s="14">
        <v>0.2</v>
      </c>
      <c r="AA59" s="2">
        <f t="shared" si="9"/>
        <v>24.999999999999996</v>
      </c>
      <c r="AB59" s="2">
        <f t="shared" si="10"/>
        <v>0</v>
      </c>
      <c r="AC59" s="2">
        <f t="shared" si="11"/>
        <v>0</v>
      </c>
      <c r="AD59" s="2">
        <f t="shared" si="12"/>
        <v>64.494589915420249</v>
      </c>
      <c r="AE59" s="2">
        <f t="shared" si="13"/>
        <v>0</v>
      </c>
    </row>
    <row r="60" spans="1:31">
      <c r="A60" s="15" t="s">
        <v>60</v>
      </c>
      <c r="B60" s="1"/>
      <c r="D60" s="1">
        <v>0</v>
      </c>
      <c r="E60" s="37">
        <v>390</v>
      </c>
      <c r="F60" s="38">
        <f t="shared" si="15"/>
        <v>2.5910646070264991</v>
      </c>
      <c r="G60">
        <v>1</v>
      </c>
      <c r="H60" s="16">
        <f t="shared" si="16"/>
        <v>0</v>
      </c>
      <c r="I60" s="19">
        <f t="shared" si="17"/>
        <v>2.5910646070264991</v>
      </c>
      <c r="J60" s="19">
        <f>(LOG(390+90)-LOG(390-90))/2</f>
        <v>0.10205999132796229</v>
      </c>
      <c r="K60">
        <f t="shared" ref="K60:K65" si="23">$K$38*SQRT($H60)/(1+1.5*SQRT($H60))</f>
        <v>0</v>
      </c>
      <c r="L60">
        <f t="shared" si="2"/>
        <v>0</v>
      </c>
      <c r="M60">
        <f>$M$35*$H60</f>
        <v>0</v>
      </c>
      <c r="N60" s="17">
        <f t="shared" si="19"/>
        <v>2.5910646070264991</v>
      </c>
      <c r="O60" s="21">
        <f t="shared" si="22"/>
        <v>0.10205999132796229</v>
      </c>
      <c r="P60">
        <v>37</v>
      </c>
      <c r="Q60">
        <f t="shared" si="20"/>
        <v>3.224246332419797E-3</v>
      </c>
      <c r="R60" s="17">
        <f t="shared" si="21"/>
        <v>2.5910646070264991</v>
      </c>
      <c r="U60" s="14">
        <f>N60</f>
        <v>2.5910646070264991</v>
      </c>
      <c r="V60">
        <f t="shared" si="6"/>
        <v>310.14999999999998</v>
      </c>
      <c r="W60">
        <f t="shared" si="7"/>
        <v>6.7783235966830469E-3</v>
      </c>
      <c r="X60" s="14">
        <f t="shared" si="8"/>
        <v>2.5910646070264991</v>
      </c>
      <c r="Y60" s="14">
        <v>0.3</v>
      </c>
      <c r="AA60" s="2">
        <f t="shared" si="9"/>
        <v>11.111111111111111</v>
      </c>
      <c r="AB60" s="2">
        <f t="shared" si="10"/>
        <v>7.5314706629811629E-2</v>
      </c>
      <c r="AC60" s="2">
        <f t="shared" si="11"/>
        <v>5.1050745312611334E-4</v>
      </c>
      <c r="AD60" s="2">
        <f t="shared" si="12"/>
        <v>28.789606744738879</v>
      </c>
      <c r="AE60" s="2">
        <f t="shared" si="13"/>
        <v>0.19514527073708895</v>
      </c>
    </row>
    <row r="61" spans="1:31">
      <c r="A61" s="15" t="s">
        <v>117</v>
      </c>
      <c r="B61" s="1"/>
      <c r="D61" s="1">
        <v>0</v>
      </c>
      <c r="E61" s="37">
        <v>264</v>
      </c>
      <c r="F61" s="38">
        <f t="shared" si="15"/>
        <v>2.4216039268698313</v>
      </c>
      <c r="G61">
        <v>1</v>
      </c>
      <c r="H61" s="16">
        <f>D61*G61</f>
        <v>0</v>
      </c>
      <c r="I61" s="19">
        <f t="shared" si="17"/>
        <v>2.4216039268698313</v>
      </c>
      <c r="J61" s="19">
        <v>0.1</v>
      </c>
      <c r="K61">
        <f t="shared" si="23"/>
        <v>0</v>
      </c>
      <c r="L61">
        <f>-$B$38*K61</f>
        <v>0</v>
      </c>
      <c r="M61">
        <f>$M$35*$H61</f>
        <v>0</v>
      </c>
      <c r="N61" s="17">
        <f>I61+L61+M61</f>
        <v>2.4216039268698313</v>
      </c>
      <c r="O61" s="21">
        <f>SQRT(J61^2+(H61*$N$35)^2)</f>
        <v>0.1</v>
      </c>
      <c r="P61">
        <v>25</v>
      </c>
      <c r="Q61">
        <f t="shared" si="20"/>
        <v>3.3540164346805303E-3</v>
      </c>
      <c r="R61" s="17">
        <f t="shared" si="21"/>
        <v>2.4216039268698313</v>
      </c>
      <c r="T61" s="14">
        <f>N61</f>
        <v>2.4216039268698313</v>
      </c>
      <c r="U61" s="14"/>
      <c r="V61">
        <f t="shared" si="6"/>
        <v>298.14999999999998</v>
      </c>
      <c r="W61">
        <f t="shared" si="7"/>
        <v>0</v>
      </c>
      <c r="X61" s="14">
        <f t="shared" si="8"/>
        <v>2.4216039268698313</v>
      </c>
      <c r="Y61" s="14">
        <v>0.2</v>
      </c>
      <c r="AA61" s="65">
        <f t="shared" si="9"/>
        <v>24.999999999999996</v>
      </c>
      <c r="AB61" s="65">
        <f t="shared" si="10"/>
        <v>0</v>
      </c>
      <c r="AC61" s="65">
        <f t="shared" si="11"/>
        <v>0</v>
      </c>
      <c r="AD61" s="2">
        <f>X61*AA61</f>
        <v>60.540098171745775</v>
      </c>
      <c r="AE61" s="2">
        <f>W61*X61*AA61</f>
        <v>0</v>
      </c>
    </row>
    <row r="62" spans="1:31">
      <c r="A62" s="15" t="s">
        <v>117</v>
      </c>
      <c r="B62" s="1"/>
      <c r="D62" s="1">
        <v>0</v>
      </c>
      <c r="E62" s="37">
        <v>355</v>
      </c>
      <c r="F62" s="38">
        <f t="shared" si="15"/>
        <v>2.5502283530550942</v>
      </c>
      <c r="G62">
        <v>1</v>
      </c>
      <c r="H62" s="16">
        <f>D62*G62</f>
        <v>0</v>
      </c>
      <c r="I62" s="19">
        <f t="shared" si="17"/>
        <v>2.5502283530550942</v>
      </c>
      <c r="J62" s="19">
        <v>0.1</v>
      </c>
      <c r="K62">
        <f t="shared" si="23"/>
        <v>0</v>
      </c>
      <c r="L62">
        <f>-$B$38*K62</f>
        <v>0</v>
      </c>
      <c r="M62">
        <f>$M$35*$H62</f>
        <v>0</v>
      </c>
      <c r="N62" s="17">
        <f>I62+L62+M62</f>
        <v>2.5502283530550942</v>
      </c>
      <c r="O62" s="21">
        <f>SQRT(J62^2+(H62*$N$35)^2)</f>
        <v>0.1</v>
      </c>
      <c r="P62">
        <v>37</v>
      </c>
      <c r="Q62">
        <f t="shared" si="20"/>
        <v>3.224246332419797E-3</v>
      </c>
      <c r="R62" s="17">
        <f t="shared" si="21"/>
        <v>2.5502283530550942</v>
      </c>
      <c r="U62" s="14">
        <f>N62</f>
        <v>2.5502283530550942</v>
      </c>
      <c r="V62">
        <f t="shared" si="6"/>
        <v>310.14999999999998</v>
      </c>
      <c r="W62">
        <f t="shared" si="7"/>
        <v>6.7783235966830469E-3</v>
      </c>
      <c r="X62" s="14">
        <f t="shared" si="8"/>
        <v>2.5502283530550942</v>
      </c>
      <c r="Y62" s="14">
        <v>0.2</v>
      </c>
      <c r="AA62" s="65">
        <f t="shared" si="9"/>
        <v>24.999999999999996</v>
      </c>
      <c r="AB62" s="65">
        <f t="shared" si="10"/>
        <v>0.16945808991707614</v>
      </c>
      <c r="AC62" s="65">
        <f t="shared" si="11"/>
        <v>1.1486417695337548E-3</v>
      </c>
      <c r="AD62" s="2">
        <f>X62*AA62</f>
        <v>63.755708826377344</v>
      </c>
      <c r="AE62" s="2">
        <f>W62*X62*AA62</f>
        <v>0.4321568255610872</v>
      </c>
    </row>
    <row r="63" spans="1:31">
      <c r="A63" s="15" t="s">
        <v>117</v>
      </c>
      <c r="B63" s="1"/>
      <c r="D63" s="1">
        <v>0</v>
      </c>
      <c r="E63" s="37">
        <v>503</v>
      </c>
      <c r="F63" s="38">
        <f t="shared" si="15"/>
        <v>2.7015679850559273</v>
      </c>
      <c r="G63">
        <v>1</v>
      </c>
      <c r="H63" s="16">
        <f>D63*G63</f>
        <v>0</v>
      </c>
      <c r="I63" s="19">
        <f t="shared" si="17"/>
        <v>2.7015679850559273</v>
      </c>
      <c r="J63" s="19">
        <v>0.1</v>
      </c>
      <c r="K63">
        <f t="shared" si="23"/>
        <v>0</v>
      </c>
      <c r="L63">
        <f>-$B$38*K63</f>
        <v>0</v>
      </c>
      <c r="M63">
        <f>$M$35*$H63</f>
        <v>0</v>
      </c>
      <c r="N63" s="17">
        <f>I63+L63+M63</f>
        <v>2.7015679850559273</v>
      </c>
      <c r="O63" s="21">
        <f>SQRT(J63^2+(H63*$N$35)^2)</f>
        <v>0.1</v>
      </c>
      <c r="P63">
        <v>45</v>
      </c>
      <c r="Q63">
        <f t="shared" si="20"/>
        <v>3.1431714600031434E-3</v>
      </c>
      <c r="R63" s="17">
        <f t="shared" si="21"/>
        <v>2.7015679850559273</v>
      </c>
      <c r="U63" s="14"/>
      <c r="V63">
        <f t="shared" si="6"/>
        <v>318.14999999999998</v>
      </c>
      <c r="W63">
        <f t="shared" si="7"/>
        <v>1.1013133550794935E-2</v>
      </c>
      <c r="X63" s="14">
        <f t="shared" si="8"/>
        <v>2.7015679850559273</v>
      </c>
      <c r="Y63" s="14">
        <v>0.2</v>
      </c>
      <c r="AA63" s="65">
        <f t="shared" si="9"/>
        <v>24.999999999999996</v>
      </c>
      <c r="AB63" s="65">
        <f t="shared" si="10"/>
        <v>0.27532833876987334</v>
      </c>
      <c r="AC63" s="65">
        <f t="shared" si="11"/>
        <v>3.0322277651911259E-3</v>
      </c>
      <c r="AD63" s="2">
        <f>X63*AA63</f>
        <v>67.539199626398172</v>
      </c>
      <c r="AE63" s="2">
        <f>W63*X63*AA63</f>
        <v>0.74381822539932241</v>
      </c>
    </row>
    <row r="64" spans="1:31" ht="14.4">
      <c r="A64" s="15" t="s">
        <v>134</v>
      </c>
      <c r="B64" s="1"/>
      <c r="C64" s="10" t="s">
        <v>61</v>
      </c>
      <c r="D64" s="1">
        <v>3</v>
      </c>
      <c r="F64" s="17">
        <v>1.42</v>
      </c>
      <c r="G64">
        <v>1.1677999999999999</v>
      </c>
      <c r="H64" s="63">
        <f>D64*G64</f>
        <v>3.5034000000000001</v>
      </c>
      <c r="I64" s="50">
        <f>F64+$B$39*LOG(G64)</f>
        <v>1.3526315290847315</v>
      </c>
      <c r="J64" s="19">
        <v>0.04</v>
      </c>
      <c r="K64">
        <f t="shared" si="23"/>
        <v>0.25021346211605966</v>
      </c>
      <c r="L64">
        <f>-$B$38*K64</f>
        <v>2.0017076969284773</v>
      </c>
      <c r="M64">
        <f>$M$35*$H64</f>
        <v>-0.42040800000000011</v>
      </c>
      <c r="N64" s="17">
        <f>I64+L64+M64</f>
        <v>2.9339312260132084</v>
      </c>
      <c r="O64" s="64">
        <f>SQRT(J64^2+(H64*$N$35)^2)</f>
        <v>0.42375732161226431</v>
      </c>
      <c r="P64">
        <v>25</v>
      </c>
      <c r="Q64">
        <f t="shared" si="20"/>
        <v>3.3540164346805303E-3</v>
      </c>
      <c r="R64" s="17">
        <f t="shared" si="21"/>
        <v>2.9339312260132084</v>
      </c>
      <c r="T64" s="14">
        <f>N64</f>
        <v>2.9339312260132084</v>
      </c>
      <c r="V64">
        <f t="shared" si="6"/>
        <v>298.14999999999998</v>
      </c>
      <c r="W64">
        <f t="shared" si="7"/>
        <v>0</v>
      </c>
      <c r="X64" s="14">
        <f t="shared" si="8"/>
        <v>2.9339312260132084</v>
      </c>
      <c r="Y64" s="14">
        <f>O64</f>
        <v>0.42375732161226431</v>
      </c>
      <c r="AA64" s="2">
        <f t="shared" si="9"/>
        <v>5.5688506413331371</v>
      </c>
      <c r="AB64" s="2">
        <f t="shared" si="10"/>
        <v>0</v>
      </c>
      <c r="AC64" s="2">
        <f t="shared" si="11"/>
        <v>0</v>
      </c>
      <c r="AD64" s="2">
        <f t="shared" si="12"/>
        <v>16.338624789610972</v>
      </c>
      <c r="AE64" s="2">
        <f t="shared" si="13"/>
        <v>0</v>
      </c>
    </row>
    <row r="65" spans="1:34" ht="14.4">
      <c r="A65" s="15" t="s">
        <v>114</v>
      </c>
      <c r="C65" s="10" t="s">
        <v>115</v>
      </c>
      <c r="D65" s="1">
        <v>0.1</v>
      </c>
      <c r="E65">
        <v>25</v>
      </c>
      <c r="F65" s="17">
        <v>1.64</v>
      </c>
      <c r="G65">
        <v>1.0056</v>
      </c>
      <c r="H65" s="63">
        <f>D65*G65</f>
        <v>0.10056000000000001</v>
      </c>
      <c r="I65" s="50">
        <f>F65+$B$39*LOG(G65)</f>
        <v>1.6375747353220986</v>
      </c>
      <c r="J65" s="19">
        <v>0.03</v>
      </c>
      <c r="K65">
        <f t="shared" si="23"/>
        <v>0.10938096972147963</v>
      </c>
      <c r="L65">
        <f>-$B$38*K65</f>
        <v>0.87504775777183708</v>
      </c>
      <c r="M65">
        <f>$M$38*$H65</f>
        <v>1.3072800000000002E-2</v>
      </c>
      <c r="N65" s="17">
        <f>I65+L65+M65</f>
        <v>2.525695293093936</v>
      </c>
      <c r="O65" s="64">
        <v>0.2</v>
      </c>
      <c r="P65">
        <v>25</v>
      </c>
      <c r="Q65">
        <f t="shared" si="20"/>
        <v>3.3540164346805303E-3</v>
      </c>
      <c r="R65" s="17">
        <f>N65</f>
        <v>2.525695293093936</v>
      </c>
      <c r="T65" s="14">
        <f>N65</f>
        <v>2.525695293093936</v>
      </c>
      <c r="V65">
        <f t="shared" si="6"/>
        <v>298.14999999999998</v>
      </c>
      <c r="W65">
        <f t="shared" si="7"/>
        <v>0</v>
      </c>
      <c r="X65" s="14">
        <f>N65</f>
        <v>2.525695293093936</v>
      </c>
      <c r="Y65" s="14">
        <f>O65</f>
        <v>0.2</v>
      </c>
      <c r="AA65" s="2">
        <f>1/Y65^2</f>
        <v>24.999999999999996</v>
      </c>
      <c r="AB65" s="2">
        <f>W65*AA65</f>
        <v>0</v>
      </c>
      <c r="AC65" s="2">
        <f>W65*W65*AA65</f>
        <v>0</v>
      </c>
      <c r="AD65" s="2">
        <f>X65*AA65</f>
        <v>63.142382327348393</v>
      </c>
      <c r="AE65" s="2">
        <f>W65*X65*AA65</f>
        <v>0</v>
      </c>
    </row>
    <row r="66" spans="1:34">
      <c r="F66">
        <v>-2.98</v>
      </c>
      <c r="G66">
        <v>0.02</v>
      </c>
      <c r="N66" s="31">
        <f>AVERAGE(N43:N65)</f>
        <v>2.589512366958282</v>
      </c>
      <c r="R66" s="31">
        <f>AVERAGE(R43:R56)</f>
        <v>2.6139960435460532</v>
      </c>
      <c r="S66" s="31">
        <f>AVERAGE(S43:S64)</f>
        <v>2.4477741683290088</v>
      </c>
      <c r="T66" s="31">
        <f>AVERAGE(T43:T65)</f>
        <v>2.6216545500932362</v>
      </c>
      <c r="U66" s="31">
        <f>AVERAGE(U43:U64)</f>
        <v>2.6510996222965155</v>
      </c>
      <c r="Z66" s="57" t="s">
        <v>98</v>
      </c>
      <c r="AA66">
        <f>SUM(AA43:AA65)</f>
        <v>469.80270300580827</v>
      </c>
      <c r="AB66">
        <f>SUM(AB43:AB65)</f>
        <v>-0.28523478377702366</v>
      </c>
      <c r="AC66">
        <f>SUM(AC43:AC65)</f>
        <v>2.508211870029551E-2</v>
      </c>
      <c r="AD66">
        <f>SUM(AD43:AD65)</f>
        <v>1210.1211676536882</v>
      </c>
      <c r="AE66">
        <f>SUM(AE43:AE65)</f>
        <v>-0.4095658994124578</v>
      </c>
    </row>
    <row r="67" spans="1:34">
      <c r="F67">
        <v>6.2789999999999999</v>
      </c>
      <c r="G67">
        <v>1.4999999999999999E-2</v>
      </c>
      <c r="N67">
        <f>STDEV(N43:N65)</f>
        <v>0.18177548294915924</v>
      </c>
      <c r="R67">
        <f>STDEV(R43:R56)</f>
        <v>0.17825520415815715</v>
      </c>
      <c r="S67" s="24">
        <f>STDEV(S43:S64)</f>
        <v>0.17599514898065508</v>
      </c>
      <c r="T67" s="24">
        <f>STDEV(T43:T65)</f>
        <v>0.16721156892568742</v>
      </c>
      <c r="U67" s="24">
        <f>STDEV(U43:U64)</f>
        <v>0.19096600451702339</v>
      </c>
      <c r="Z67" s="57"/>
      <c r="AF67" s="55"/>
      <c r="AG67" s="56"/>
    </row>
    <row r="68" spans="1:34" ht="16.8">
      <c r="B68" s="1"/>
      <c r="F68">
        <v>8.1579999999999995</v>
      </c>
      <c r="G68">
        <v>3.5000000000000003E-2</v>
      </c>
      <c r="Z68" s="57"/>
      <c r="AC68" s="57" t="s">
        <v>99</v>
      </c>
      <c r="AD68">
        <f>AA66*AC66-AB66^2</f>
        <v>11.702288280635036</v>
      </c>
    </row>
    <row r="69" spans="1:34" ht="16.8">
      <c r="F69">
        <f>F66+2*F67-F68</f>
        <v>1.42</v>
      </c>
      <c r="G69">
        <f>SQRT(G66^2+G67^2+G68^2)</f>
        <v>4.3011626335213132E-2</v>
      </c>
      <c r="Z69" s="57"/>
      <c r="AC69" s="57" t="s">
        <v>100</v>
      </c>
      <c r="AD69">
        <f>AC66*AD66</f>
        <v>30.352402768830011</v>
      </c>
    </row>
    <row r="70" spans="1:34" ht="16.8">
      <c r="U70" s="9" t="s">
        <v>47</v>
      </c>
      <c r="V70" s="61" t="s">
        <v>45</v>
      </c>
      <c r="W70" s="9" t="s">
        <v>107</v>
      </c>
      <c r="X70" s="62" t="s">
        <v>112</v>
      </c>
      <c r="Y70" s="62" t="s">
        <v>113</v>
      </c>
      <c r="AC70" s="57" t="s">
        <v>101</v>
      </c>
      <c r="AD70">
        <f>AB66*AE66</f>
        <v>0.11682244076135462</v>
      </c>
    </row>
    <row r="71" spans="1:34" ht="16.8">
      <c r="A71" s="1" t="s">
        <v>62</v>
      </c>
      <c r="B71" s="1"/>
      <c r="U71">
        <v>-2</v>
      </c>
      <c r="V71">
        <f>1/(273.15+U71)</f>
        <v>3.687995574405311E-3</v>
      </c>
      <c r="W71">
        <f>$AD$71+$AD$74/$W$37*(1/$W$34-$V71)</f>
        <v>2.3560195733870248</v>
      </c>
      <c r="X71">
        <f>($AD$71+$AH$71)+($AD$74-$AH$74)/$W$37*(1/$W$34-$V71)</f>
        <v>2.512848256139609</v>
      </c>
      <c r="Y71">
        <f>($AD$71-$AH$71)+($AD$74+$AH$74)/$W$37*(1/$W$34-$V71)</f>
        <v>2.1991908906344406</v>
      </c>
      <c r="Z71" s="34" t="s">
        <v>102</v>
      </c>
      <c r="AC71" s="58" t="s">
        <v>108</v>
      </c>
      <c r="AD71" s="1">
        <f>(AD69-AD70)/AD68</f>
        <v>2.5837323096972873</v>
      </c>
      <c r="AG71" s="59" t="s">
        <v>110</v>
      </c>
      <c r="AH71" s="1">
        <f>SQRT(AC66/AD68)</f>
        <v>4.6296345788360609E-2</v>
      </c>
    </row>
    <row r="72" spans="1:34" ht="16.8">
      <c r="U72">
        <v>25</v>
      </c>
      <c r="V72">
        <f>1/(273.15+U72)</f>
        <v>3.3540164346805303E-3</v>
      </c>
      <c r="W72">
        <f>$AD$71+$AD$74/$W$37*(1/$W$34-$V72)</f>
        <v>2.5837323096972873</v>
      </c>
      <c r="X72">
        <f>($AD$71+$AH$71)+($AD$74-$AH$74)/$W$37*(1/$W$34-$V72)</f>
        <v>2.6300286554856478</v>
      </c>
      <c r="Y72">
        <f>($AD$71-$AH$71)+($AD$74+$AH$74)/$W$37*(1/$W$34-$V72)</f>
        <v>2.5374359639089268</v>
      </c>
      <c r="AC72" s="57" t="s">
        <v>103</v>
      </c>
      <c r="AD72">
        <f>AA66*AE66</f>
        <v>-192.41516660297765</v>
      </c>
    </row>
    <row r="73" spans="1:34" ht="16.8">
      <c r="A73" s="2" t="s">
        <v>63</v>
      </c>
      <c r="B73" s="2"/>
      <c r="L73" s="23" t="s">
        <v>18</v>
      </c>
      <c r="M73" s="14">
        <f>$I$31-$M$28-$I$29</f>
        <v>0.17</v>
      </c>
      <c r="N73" s="14">
        <f>SQRT($J$30^2+$N$30^2+$J$29^2)</f>
        <v>0.11704699910719625</v>
      </c>
      <c r="U73">
        <v>47</v>
      </c>
      <c r="V73">
        <f>1/(273.15+U73)</f>
        <v>3.1235358425737939E-3</v>
      </c>
      <c r="W73">
        <f>$AD$71+$AD$74/$W$37*(1/$W$34-$V73)</f>
        <v>2.7408779516025987</v>
      </c>
      <c r="X73">
        <f>($AD$71+$AH$71)+($AD$74+$AH$74)/$W$37*(1/$W$34-$V73)</f>
        <v>2.8634531886158694</v>
      </c>
      <c r="Y73">
        <f>($AD$71-$AH$71)+($AD$74-$AH$74)/$W$37*(1/$W$34-$V73)</f>
        <v>2.6183027145893285</v>
      </c>
      <c r="AC73" s="57" t="s">
        <v>104</v>
      </c>
      <c r="AD73">
        <f>AB66*AD66</f>
        <v>-345.16864959969917</v>
      </c>
    </row>
    <row r="74" spans="1:34" ht="16.8">
      <c r="A74" s="2"/>
      <c r="B74" s="2"/>
      <c r="D74" s="7" t="s">
        <v>19</v>
      </c>
      <c r="E74" s="8"/>
      <c r="F74" s="5"/>
      <c r="G74" s="5"/>
      <c r="H74" s="5"/>
      <c r="I74" s="5"/>
      <c r="Z74" s="34" t="s">
        <v>105</v>
      </c>
      <c r="AC74" s="60" t="s">
        <v>109</v>
      </c>
      <c r="AD74" s="1">
        <f>(AD72-AD73)/AD68</f>
        <v>13.053300289098004</v>
      </c>
      <c r="AG74" s="59" t="s">
        <v>106</v>
      </c>
      <c r="AH74" s="1">
        <f>SQRT(AA66/AD68)</f>
        <v>6.3361049075618032</v>
      </c>
    </row>
    <row r="75" spans="1:34" ht="15.6">
      <c r="A75" s="11" t="s">
        <v>23</v>
      </c>
      <c r="B75" s="12">
        <f>1^2-1^2-2^2</f>
        <v>-4</v>
      </c>
      <c r="D75" s="6" t="s">
        <v>24</v>
      </c>
      <c r="E75" s="6"/>
      <c r="F75" s="5"/>
      <c r="G75" s="5"/>
      <c r="H75" s="5"/>
      <c r="J75" s="13" t="s">
        <v>25</v>
      </c>
      <c r="K75" s="5">
        <v>0.50900000000000001</v>
      </c>
    </row>
    <row r="76" spans="1:34" ht="15.6">
      <c r="A76" s="11" t="s">
        <v>27</v>
      </c>
      <c r="B76" s="12">
        <f>1-1-1</f>
        <v>-1</v>
      </c>
      <c r="D76" s="7" t="s">
        <v>28</v>
      </c>
      <c r="E76" s="8"/>
      <c r="F76" s="5"/>
      <c r="G76" s="5"/>
      <c r="H76" s="5"/>
      <c r="I76" s="5"/>
      <c r="J76" s="13" t="s">
        <v>29</v>
      </c>
      <c r="K76" s="24">
        <v>0.52</v>
      </c>
    </row>
    <row r="77" spans="1:34" ht="13.8">
      <c r="A77" s="5"/>
      <c r="B77" s="5"/>
      <c r="C77" s="5" t="s">
        <v>30</v>
      </c>
      <c r="D77" s="9" t="s">
        <v>31</v>
      </c>
      <c r="E77" s="9" t="s">
        <v>32</v>
      </c>
      <c r="F77" s="9" t="s">
        <v>33</v>
      </c>
      <c r="G77" s="9" t="s">
        <v>34</v>
      </c>
      <c r="H77" s="9" t="s">
        <v>35</v>
      </c>
      <c r="I77" s="9" t="s">
        <v>36</v>
      </c>
      <c r="J77" s="20" t="s">
        <v>37</v>
      </c>
    </row>
    <row r="78" spans="1:34" ht="16.2">
      <c r="C78" s="5" t="s">
        <v>38</v>
      </c>
      <c r="D78" s="9" t="s">
        <v>39</v>
      </c>
      <c r="E78" s="9"/>
      <c r="G78" s="5"/>
      <c r="H78" s="9" t="s">
        <v>40</v>
      </c>
      <c r="I78" s="9" t="s">
        <v>40</v>
      </c>
      <c r="J78" s="9"/>
      <c r="K78" s="9" t="s">
        <v>41</v>
      </c>
      <c r="L78" s="29" t="s">
        <v>42</v>
      </c>
      <c r="M78" s="4" t="s">
        <v>43</v>
      </c>
      <c r="N78" s="6" t="s">
        <v>44</v>
      </c>
      <c r="Q78" s="30" t="s">
        <v>45</v>
      </c>
      <c r="R78" s="30"/>
      <c r="V78" s="3" t="s">
        <v>14</v>
      </c>
      <c r="W78" s="3" t="s">
        <v>46</v>
      </c>
      <c r="X78" s="9" t="s">
        <v>107</v>
      </c>
      <c r="Y78" s="20" t="s">
        <v>37</v>
      </c>
    </row>
    <row r="79" spans="1:34" ht="16.8">
      <c r="C79" s="5"/>
      <c r="D79" s="7" t="s">
        <v>19</v>
      </c>
      <c r="F79" s="7" t="s">
        <v>19</v>
      </c>
      <c r="H79" s="5"/>
      <c r="I79" s="5"/>
      <c r="J79" s="5"/>
      <c r="P79" s="9" t="s">
        <v>47</v>
      </c>
      <c r="V79" s="3" t="s">
        <v>48</v>
      </c>
      <c r="AA79" s="54" t="s">
        <v>93</v>
      </c>
      <c r="AB79" s="54" t="s">
        <v>94</v>
      </c>
      <c r="AC79" s="54" t="s">
        <v>95</v>
      </c>
      <c r="AD79" s="54" t="s">
        <v>96</v>
      </c>
      <c r="AE79" s="54" t="s">
        <v>97</v>
      </c>
    </row>
    <row r="80" spans="1:34" ht="14.4">
      <c r="A80" s="15" t="s">
        <v>55</v>
      </c>
      <c r="C80" s="10" t="s">
        <v>56</v>
      </c>
      <c r="D80" s="1">
        <v>0.15</v>
      </c>
      <c r="F80" s="22">
        <v>0.6</v>
      </c>
      <c r="G80">
        <f>1.007+(1.013-1.007)/0.15*0.05</f>
        <v>1.0089999999999999</v>
      </c>
      <c r="H80" s="16">
        <f t="shared" ref="H80:H95" si="24">D80*G80</f>
        <v>0.15134999999999998</v>
      </c>
      <c r="I80" s="50">
        <f>F80+$B$76*LOG(G80)</f>
        <v>0.59610883376308954</v>
      </c>
      <c r="J80" s="19">
        <v>0.3</v>
      </c>
      <c r="K80">
        <f>$K$76*SQRT($H80)/(1+1.5*SQRT($H80))</f>
        <v>0.12775007237688246</v>
      </c>
      <c r="L80">
        <f>-$B$75*K80</f>
        <v>0.51100028950752985</v>
      </c>
      <c r="M80">
        <f>$M$73*$H80</f>
        <v>2.5729499999999999E-2</v>
      </c>
      <c r="N80" s="17">
        <f t="shared" ref="N80:N95" si="25">I80+L80+M80</f>
        <v>1.1328386232706193</v>
      </c>
      <c r="O80" s="21">
        <f t="shared" ref="O80:O95" si="26">SQRT(J80^2+(H80*$N$35)^2)</f>
        <v>0.30055307172985274</v>
      </c>
      <c r="P80">
        <v>37</v>
      </c>
      <c r="Q80">
        <f t="shared" ref="Q80:Q95" si="27">1/(273.15+$P80)</f>
        <v>3.224246332419797E-3</v>
      </c>
      <c r="R80" s="17">
        <f t="shared" ref="R80:R92" si="28">N80</f>
        <v>1.1328386232706193</v>
      </c>
      <c r="V80">
        <f t="shared" ref="V80:V95" si="29">273.15+$P80</f>
        <v>310.14999999999998</v>
      </c>
      <c r="W80">
        <f t="shared" ref="W80:W95" si="30">(1/$W$34-1/$V80)/$W$37</f>
        <v>6.7783235966830469E-3</v>
      </c>
      <c r="X80" s="14">
        <f>N80</f>
        <v>1.1328386232706193</v>
      </c>
      <c r="Y80" s="14">
        <v>0.6</v>
      </c>
      <c r="AA80" s="2">
        <f>1/Y80^2</f>
        <v>2.7777777777777777</v>
      </c>
      <c r="AB80" s="2">
        <f>W80*AA80</f>
        <v>1.8828676657452907E-2</v>
      </c>
      <c r="AC80" s="2">
        <f>W80*W80*AA80</f>
        <v>1.2762686328152834E-4</v>
      </c>
      <c r="AD80" s="2">
        <f>X80*AA80</f>
        <v>3.1467739535294981</v>
      </c>
      <c r="AE80" s="2">
        <f>W80*X80*AA80</f>
        <v>2.1329852142636597E-2</v>
      </c>
    </row>
    <row r="81" spans="1:31">
      <c r="A81" s="15" t="s">
        <v>88</v>
      </c>
      <c r="D81" s="1">
        <v>0</v>
      </c>
      <c r="F81" s="22">
        <v>1.08</v>
      </c>
      <c r="G81" s="25">
        <v>1</v>
      </c>
      <c r="H81" s="16">
        <f t="shared" si="24"/>
        <v>0</v>
      </c>
      <c r="I81" s="19">
        <f t="shared" ref="I81:I95" si="31">F81+$B$39*LOG(G81)</f>
        <v>1.08</v>
      </c>
      <c r="J81" s="19">
        <v>0.1</v>
      </c>
      <c r="K81">
        <f>$K$37*SQRT($H81)/(1+1.5*SQRT($H81))</f>
        <v>0</v>
      </c>
      <c r="L81">
        <f t="shared" ref="L81:L95" si="32">-$B$38*K81</f>
        <v>0</v>
      </c>
      <c r="M81">
        <v>0</v>
      </c>
      <c r="N81" s="17">
        <f t="shared" si="25"/>
        <v>1.08</v>
      </c>
      <c r="O81" s="21">
        <f t="shared" si="26"/>
        <v>0.1</v>
      </c>
      <c r="P81">
        <v>25</v>
      </c>
      <c r="Q81">
        <f t="shared" si="27"/>
        <v>3.3540164346805303E-3</v>
      </c>
      <c r="R81" s="17">
        <f t="shared" si="28"/>
        <v>1.08</v>
      </c>
      <c r="V81">
        <f t="shared" si="29"/>
        <v>298.14999999999998</v>
      </c>
      <c r="W81">
        <f t="shared" si="30"/>
        <v>0</v>
      </c>
      <c r="X81" s="14">
        <f t="shared" ref="X81:X92" si="33">N81</f>
        <v>1.08</v>
      </c>
      <c r="Y81" s="14">
        <v>0.3</v>
      </c>
      <c r="AA81" s="2">
        <f t="shared" ref="AA81:AA92" si="34">1/Y81^2</f>
        <v>11.111111111111111</v>
      </c>
      <c r="AB81" s="2">
        <f t="shared" ref="AB81:AB92" si="35">W81*AA81</f>
        <v>0</v>
      </c>
      <c r="AC81" s="2">
        <f t="shared" ref="AC81:AC92" si="36">W81*W81*AA81</f>
        <v>0</v>
      </c>
      <c r="AD81" s="2">
        <f t="shared" ref="AD81:AD92" si="37">X81*AA81</f>
        <v>12</v>
      </c>
      <c r="AE81" s="2">
        <f t="shared" ref="AE81:AE92" si="38">W81*X81*AA81</f>
        <v>0</v>
      </c>
    </row>
    <row r="82" spans="1:31">
      <c r="A82" s="15" t="s">
        <v>91</v>
      </c>
      <c r="D82" s="1">
        <v>0</v>
      </c>
      <c r="E82" s="37">
        <v>25.6</v>
      </c>
      <c r="F82" s="38">
        <f t="shared" ref="F82:F95" si="39">LOG(E82)</f>
        <v>1.4082399653118496</v>
      </c>
      <c r="G82">
        <v>1</v>
      </c>
      <c r="H82" s="16">
        <f t="shared" si="24"/>
        <v>0</v>
      </c>
      <c r="I82" s="19">
        <f t="shared" si="31"/>
        <v>1.4082399653118496</v>
      </c>
      <c r="J82" s="19">
        <f>(LOG(25.6+1.7)-LOG(25.6-1.7))/2</f>
        <v>2.888237304630914E-2</v>
      </c>
      <c r="K82">
        <f>$K$37*SQRT($H82)/(1+1.5*SQRT($H82))</f>
        <v>0</v>
      </c>
      <c r="L82">
        <f t="shared" si="32"/>
        <v>0</v>
      </c>
      <c r="M82">
        <v>0</v>
      </c>
      <c r="N82" s="17">
        <f t="shared" si="25"/>
        <v>1.4082399653118496</v>
      </c>
      <c r="O82" s="21"/>
      <c r="P82">
        <v>25</v>
      </c>
      <c r="Q82">
        <f t="shared" si="27"/>
        <v>3.3540164346805303E-3</v>
      </c>
      <c r="R82" s="17">
        <f t="shared" si="28"/>
        <v>1.4082399653118496</v>
      </c>
      <c r="V82">
        <f t="shared" si="29"/>
        <v>298.14999999999998</v>
      </c>
      <c r="W82">
        <f t="shared" si="30"/>
        <v>0</v>
      </c>
      <c r="X82" s="14">
        <f t="shared" si="33"/>
        <v>1.4082399653118496</v>
      </c>
      <c r="Y82" s="14">
        <v>0.3</v>
      </c>
      <c r="AA82" s="2">
        <f t="shared" si="34"/>
        <v>11.111111111111111</v>
      </c>
      <c r="AB82" s="2">
        <f t="shared" si="35"/>
        <v>0</v>
      </c>
      <c r="AC82" s="2">
        <f t="shared" si="36"/>
        <v>0</v>
      </c>
      <c r="AD82" s="2">
        <f t="shared" si="37"/>
        <v>15.647110725687217</v>
      </c>
      <c r="AE82" s="2">
        <f t="shared" si="38"/>
        <v>0</v>
      </c>
    </row>
    <row r="83" spans="1:31">
      <c r="A83" s="15" t="s">
        <v>91</v>
      </c>
      <c r="D83" s="1">
        <v>0</v>
      </c>
      <c r="E83" s="37">
        <v>31.9</v>
      </c>
      <c r="F83" s="38">
        <f t="shared" si="39"/>
        <v>1.503790683057181</v>
      </c>
      <c r="G83">
        <v>1</v>
      </c>
      <c r="H83" s="16">
        <f t="shared" si="24"/>
        <v>0</v>
      </c>
      <c r="I83" s="19">
        <f t="shared" si="31"/>
        <v>1.503790683057181</v>
      </c>
      <c r="J83" s="19">
        <f>(LOG(31.9+1.6)-LOG(31.9-1.6))/2</f>
        <v>2.1801089267270091E-2</v>
      </c>
      <c r="K83">
        <f>$K$37*SQRT($H83)/(1+1.5*SQRT($H83))</f>
        <v>0</v>
      </c>
      <c r="L83">
        <f t="shared" si="32"/>
        <v>0</v>
      </c>
      <c r="M83">
        <v>0</v>
      </c>
      <c r="N83" s="17">
        <f t="shared" si="25"/>
        <v>1.503790683057181</v>
      </c>
      <c r="O83" s="21">
        <f t="shared" si="26"/>
        <v>2.1801089267270091E-2</v>
      </c>
      <c r="P83">
        <v>37</v>
      </c>
      <c r="Q83">
        <f t="shared" si="27"/>
        <v>3.224246332419797E-3</v>
      </c>
      <c r="R83" s="17">
        <f t="shared" si="28"/>
        <v>1.503790683057181</v>
      </c>
      <c r="S83" s="2"/>
      <c r="V83">
        <f t="shared" si="29"/>
        <v>310.14999999999998</v>
      </c>
      <c r="W83">
        <f t="shared" si="30"/>
        <v>6.7783235966830469E-3</v>
      </c>
      <c r="X83" s="14">
        <f t="shared" si="33"/>
        <v>1.503790683057181</v>
      </c>
      <c r="Y83" s="14">
        <v>0.3</v>
      </c>
      <c r="AA83" s="2">
        <f t="shared" si="34"/>
        <v>11.111111111111111</v>
      </c>
      <c r="AB83" s="2">
        <f t="shared" si="35"/>
        <v>7.5314706629811629E-2</v>
      </c>
      <c r="AC83" s="2">
        <f t="shared" si="36"/>
        <v>5.1050745312611334E-4</v>
      </c>
      <c r="AD83" s="2">
        <f t="shared" si="37"/>
        <v>16.70878536730201</v>
      </c>
      <c r="AE83" s="2">
        <f t="shared" si="38"/>
        <v>0.11325755412709564</v>
      </c>
    </row>
    <row r="84" spans="1:31">
      <c r="A84" s="15" t="s">
        <v>58</v>
      </c>
      <c r="B84" s="1"/>
      <c r="D84" s="1">
        <v>0</v>
      </c>
      <c r="E84" s="37">
        <v>7.49</v>
      </c>
      <c r="F84" s="38">
        <f t="shared" si="39"/>
        <v>0.87448181769946653</v>
      </c>
      <c r="G84">
        <v>1</v>
      </c>
      <c r="H84" s="16">
        <f t="shared" si="24"/>
        <v>0</v>
      </c>
      <c r="I84" s="19">
        <f t="shared" si="31"/>
        <v>0.87448181769946653</v>
      </c>
      <c r="J84" s="19">
        <v>0.06</v>
      </c>
      <c r="K84">
        <f t="shared" ref="K84:K95" si="40">$K$38*SQRT($H84)/(1+1.5*SQRT($H84))</f>
        <v>0</v>
      </c>
      <c r="L84">
        <f t="shared" si="32"/>
        <v>0</v>
      </c>
      <c r="M84">
        <v>0</v>
      </c>
      <c r="N84" s="17">
        <f t="shared" si="25"/>
        <v>0.87448181769946653</v>
      </c>
      <c r="O84" s="21">
        <f t="shared" si="26"/>
        <v>0.06</v>
      </c>
      <c r="P84">
        <v>37.5</v>
      </c>
      <c r="Q84">
        <f t="shared" si="27"/>
        <v>3.2190568163528088E-3</v>
      </c>
      <c r="R84" s="17">
        <f t="shared" si="28"/>
        <v>0.87448181769946653</v>
      </c>
      <c r="V84">
        <f t="shared" si="29"/>
        <v>310.64999999999998</v>
      </c>
      <c r="W84">
        <f t="shared" si="30"/>
        <v>7.0493892628066381E-3</v>
      </c>
      <c r="X84" s="14">
        <f t="shared" si="33"/>
        <v>0.87448181769946653</v>
      </c>
      <c r="Y84" s="14">
        <v>0.3</v>
      </c>
      <c r="AA84" s="2">
        <f t="shared" si="34"/>
        <v>11.111111111111111</v>
      </c>
      <c r="AB84" s="2">
        <f t="shared" si="35"/>
        <v>7.8326547364518204E-2</v>
      </c>
      <c r="AC84" s="2">
        <f t="shared" si="36"/>
        <v>5.5215432198415018E-4</v>
      </c>
      <c r="AD84" s="2">
        <f t="shared" si="37"/>
        <v>9.7164646411051834</v>
      </c>
      <c r="AE84" s="2">
        <f t="shared" si="38"/>
        <v>6.8495141513447225E-2</v>
      </c>
    </row>
    <row r="85" spans="1:31">
      <c r="A85" s="15" t="s">
        <v>59</v>
      </c>
      <c r="B85" s="1"/>
      <c r="D85" s="1">
        <v>0</v>
      </c>
      <c r="E85" s="37">
        <v>10.1</v>
      </c>
      <c r="F85" s="38">
        <f t="shared" si="39"/>
        <v>1.0043213737826426</v>
      </c>
      <c r="G85">
        <v>1</v>
      </c>
      <c r="H85" s="16">
        <f t="shared" si="24"/>
        <v>0</v>
      </c>
      <c r="I85" s="19">
        <f t="shared" si="31"/>
        <v>1.0043213737826426</v>
      </c>
      <c r="J85" s="19">
        <f>(LOG(10.1+1.7)-LOG(10.1-1.7))/2</f>
        <v>7.3801360622121781E-2</v>
      </c>
      <c r="K85">
        <f t="shared" si="40"/>
        <v>0</v>
      </c>
      <c r="L85">
        <f t="shared" si="32"/>
        <v>0</v>
      </c>
      <c r="M85">
        <v>0</v>
      </c>
      <c r="N85" s="17">
        <f t="shared" si="25"/>
        <v>1.0043213737826426</v>
      </c>
      <c r="O85" s="21"/>
      <c r="P85">
        <v>5</v>
      </c>
      <c r="Q85">
        <f t="shared" si="27"/>
        <v>3.5951824555096176E-3</v>
      </c>
      <c r="R85" s="17">
        <f t="shared" si="28"/>
        <v>1.0043213737826426</v>
      </c>
      <c r="V85">
        <f t="shared" si="29"/>
        <v>278.14999999999998</v>
      </c>
      <c r="W85">
        <f t="shared" si="30"/>
        <v>-1.2596902531675022E-2</v>
      </c>
      <c r="X85" s="14">
        <f t="shared" si="33"/>
        <v>1.0043213737826426</v>
      </c>
      <c r="Y85" s="14">
        <v>0.4</v>
      </c>
      <c r="AA85" s="2">
        <f t="shared" si="34"/>
        <v>6.2499999999999991</v>
      </c>
      <c r="AB85" s="2">
        <f t="shared" si="35"/>
        <v>-7.8730640822968878E-2</v>
      </c>
      <c r="AC85" s="2">
        <f t="shared" si="36"/>
        <v>9.9176220870325345E-4</v>
      </c>
      <c r="AD85" s="2">
        <f t="shared" si="37"/>
        <v>6.2770085861415152</v>
      </c>
      <c r="AE85" s="2">
        <f t="shared" si="38"/>
        <v>-7.9070865350111916E-2</v>
      </c>
    </row>
    <row r="86" spans="1:31">
      <c r="A86" s="15" t="s">
        <v>59</v>
      </c>
      <c r="B86" s="1"/>
      <c r="D86" s="1">
        <v>0</v>
      </c>
      <c r="E86" s="37">
        <v>6.62</v>
      </c>
      <c r="F86" s="38">
        <f t="shared" si="39"/>
        <v>0.8208579894396999</v>
      </c>
      <c r="G86">
        <v>1</v>
      </c>
      <c r="H86" s="16">
        <f t="shared" si="24"/>
        <v>0</v>
      </c>
      <c r="I86" s="19">
        <f t="shared" si="31"/>
        <v>0.8208579894396999</v>
      </c>
      <c r="J86" s="19">
        <f>(LOG(6.62+1.23)-LOG(6.62-1.23))/2</f>
        <v>8.1640445779256887E-2</v>
      </c>
      <c r="K86">
        <f t="shared" si="40"/>
        <v>0</v>
      </c>
      <c r="L86">
        <f t="shared" si="32"/>
        <v>0</v>
      </c>
      <c r="M86">
        <v>0</v>
      </c>
      <c r="N86" s="17">
        <f t="shared" si="25"/>
        <v>0.8208579894396999</v>
      </c>
      <c r="O86" s="21"/>
      <c r="P86">
        <v>15</v>
      </c>
      <c r="Q86">
        <f t="shared" si="27"/>
        <v>3.4704147145583901E-3</v>
      </c>
      <c r="R86" s="17">
        <f t="shared" si="28"/>
        <v>0.8208579894396999</v>
      </c>
      <c r="V86">
        <f t="shared" si="29"/>
        <v>288.14999999999998</v>
      </c>
      <c r="W86">
        <f t="shared" si="30"/>
        <v>-6.0798688863185945E-3</v>
      </c>
      <c r="X86" s="14">
        <f t="shared" si="33"/>
        <v>0.8208579894396999</v>
      </c>
      <c r="Y86" s="14">
        <v>0.4</v>
      </c>
      <c r="AA86" s="2">
        <f t="shared" si="34"/>
        <v>6.2499999999999991</v>
      </c>
      <c r="AB86" s="2">
        <f t="shared" si="35"/>
        <v>-3.7999180539491209E-2</v>
      </c>
      <c r="AC86" s="2">
        <f t="shared" si="36"/>
        <v>2.3103003546765563E-4</v>
      </c>
      <c r="AD86" s="2">
        <f t="shared" si="37"/>
        <v>5.1303624339981235</v>
      </c>
      <c r="AE86" s="2">
        <f t="shared" si="38"/>
        <v>-3.1191930938002928E-2</v>
      </c>
    </row>
    <row r="87" spans="1:31">
      <c r="A87" s="15" t="s">
        <v>59</v>
      </c>
      <c r="B87" s="1"/>
      <c r="D87" s="1">
        <v>0</v>
      </c>
      <c r="E87" s="37">
        <v>5.0999999999999996</v>
      </c>
      <c r="F87" s="38">
        <f t="shared" si="39"/>
        <v>0.70757017609793638</v>
      </c>
      <c r="G87">
        <v>1</v>
      </c>
      <c r="H87" s="16">
        <f t="shared" si="24"/>
        <v>0</v>
      </c>
      <c r="I87" s="19">
        <f t="shared" si="31"/>
        <v>0.70757017609793638</v>
      </c>
      <c r="J87" s="19">
        <f>(LOG(5.1+1.03)-LOG(5.1-1.03))/2</f>
        <v>8.8933032646597521E-2</v>
      </c>
      <c r="K87">
        <f t="shared" si="40"/>
        <v>0</v>
      </c>
      <c r="L87">
        <f t="shared" si="32"/>
        <v>0</v>
      </c>
      <c r="M87">
        <v>0</v>
      </c>
      <c r="N87" s="17">
        <f t="shared" si="25"/>
        <v>0.70757017609793638</v>
      </c>
      <c r="O87" s="21"/>
      <c r="P87">
        <v>25</v>
      </c>
      <c r="Q87">
        <f t="shared" si="27"/>
        <v>3.3540164346805303E-3</v>
      </c>
      <c r="R87" s="17">
        <f t="shared" si="28"/>
        <v>0.70757017609793638</v>
      </c>
      <c r="V87">
        <f t="shared" si="29"/>
        <v>298.14999999999998</v>
      </c>
      <c r="W87">
        <f t="shared" si="30"/>
        <v>0</v>
      </c>
      <c r="X87" s="14">
        <f t="shared" si="33"/>
        <v>0.70757017609793638</v>
      </c>
      <c r="Y87" s="14">
        <v>0.4</v>
      </c>
      <c r="AA87" s="2">
        <f t="shared" si="34"/>
        <v>6.2499999999999991</v>
      </c>
      <c r="AB87" s="2">
        <f t="shared" si="35"/>
        <v>0</v>
      </c>
      <c r="AC87" s="2">
        <f t="shared" si="36"/>
        <v>0</v>
      </c>
      <c r="AD87" s="2">
        <f t="shared" si="37"/>
        <v>4.4223136006121013</v>
      </c>
      <c r="AE87" s="2">
        <f t="shared" si="38"/>
        <v>0</v>
      </c>
    </row>
    <row r="88" spans="1:31">
      <c r="A88" s="15" t="s">
        <v>59</v>
      </c>
      <c r="B88" s="1"/>
      <c r="D88" s="1">
        <v>0</v>
      </c>
      <c r="E88" s="37">
        <v>4.51</v>
      </c>
      <c r="F88" s="38">
        <f t="shared" si="39"/>
        <v>0.65417654187796048</v>
      </c>
      <c r="G88">
        <v>1</v>
      </c>
      <c r="H88" s="16">
        <f t="shared" si="24"/>
        <v>0</v>
      </c>
      <c r="I88" s="19">
        <f t="shared" si="31"/>
        <v>0.65417654187796048</v>
      </c>
      <c r="J88" s="19">
        <f>(LOG(4.51+1.44)-LOG(4.51-1.44))/2</f>
        <v>0.14368929512568154</v>
      </c>
      <c r="K88">
        <f t="shared" si="40"/>
        <v>0</v>
      </c>
      <c r="L88">
        <f t="shared" si="32"/>
        <v>0</v>
      </c>
      <c r="M88">
        <v>0</v>
      </c>
      <c r="N88" s="17">
        <f t="shared" si="25"/>
        <v>0.65417654187796048</v>
      </c>
      <c r="O88" s="21">
        <f t="shared" si="26"/>
        <v>0.14368929512568154</v>
      </c>
      <c r="P88">
        <v>37.5</v>
      </c>
      <c r="Q88">
        <f t="shared" si="27"/>
        <v>3.2190568163528088E-3</v>
      </c>
      <c r="R88" s="17">
        <f t="shared" si="28"/>
        <v>0.65417654187796048</v>
      </c>
      <c r="V88">
        <f t="shared" si="29"/>
        <v>310.64999999999998</v>
      </c>
      <c r="W88">
        <f t="shared" si="30"/>
        <v>7.0493892628066381E-3</v>
      </c>
      <c r="X88" s="14">
        <f t="shared" si="33"/>
        <v>0.65417654187796048</v>
      </c>
      <c r="Y88" s="14">
        <v>0.6</v>
      </c>
      <c r="AA88" s="2">
        <f t="shared" si="34"/>
        <v>2.7777777777777777</v>
      </c>
      <c r="AB88" s="2">
        <f t="shared" si="35"/>
        <v>1.9581636841129551E-2</v>
      </c>
      <c r="AC88" s="2">
        <f t="shared" si="36"/>
        <v>1.3803858049603755E-4</v>
      </c>
      <c r="AD88" s="2">
        <f t="shared" si="37"/>
        <v>1.8171570607721124</v>
      </c>
      <c r="AE88" s="2">
        <f t="shared" si="38"/>
        <v>1.2809847473040198E-2</v>
      </c>
    </row>
    <row r="89" spans="1:31">
      <c r="A89" s="15" t="s">
        <v>60</v>
      </c>
      <c r="B89" s="1"/>
      <c r="D89" s="1">
        <v>0</v>
      </c>
      <c r="E89" s="37">
        <v>5</v>
      </c>
      <c r="F89" s="38">
        <f t="shared" si="39"/>
        <v>0.69897000433601886</v>
      </c>
      <c r="G89">
        <v>1</v>
      </c>
      <c r="H89" s="16">
        <f t="shared" si="24"/>
        <v>0</v>
      </c>
      <c r="I89" s="19">
        <f t="shared" si="31"/>
        <v>0.69897000433601886</v>
      </c>
      <c r="J89" s="19">
        <f>(LOG(5+1)-LOG(5-1))/2</f>
        <v>8.8045629527840619E-2</v>
      </c>
      <c r="K89">
        <f t="shared" si="40"/>
        <v>0</v>
      </c>
      <c r="L89">
        <f t="shared" si="32"/>
        <v>0</v>
      </c>
      <c r="M89">
        <v>0</v>
      </c>
      <c r="N89" s="17">
        <f t="shared" si="25"/>
        <v>0.69897000433601886</v>
      </c>
      <c r="O89" s="21"/>
      <c r="P89">
        <v>5</v>
      </c>
      <c r="Q89">
        <f t="shared" si="27"/>
        <v>3.5951824555096176E-3</v>
      </c>
      <c r="R89" s="17">
        <f t="shared" si="28"/>
        <v>0.69897000433601886</v>
      </c>
      <c r="V89">
        <f t="shared" si="29"/>
        <v>278.14999999999998</v>
      </c>
      <c r="W89">
        <f t="shared" si="30"/>
        <v>-1.2596902531675022E-2</v>
      </c>
      <c r="X89" s="14">
        <f t="shared" si="33"/>
        <v>0.69897000433601886</v>
      </c>
      <c r="Y89" s="14">
        <v>0.4</v>
      </c>
      <c r="AA89" s="2">
        <f t="shared" si="34"/>
        <v>6.2499999999999991</v>
      </c>
      <c r="AB89" s="2">
        <f t="shared" si="35"/>
        <v>-7.8730640822968878E-2</v>
      </c>
      <c r="AC89" s="2">
        <f t="shared" si="36"/>
        <v>9.9176220870325345E-4</v>
      </c>
      <c r="AD89" s="2">
        <f t="shared" si="37"/>
        <v>4.3685625271001172</v>
      </c>
      <c r="AE89" s="2">
        <f t="shared" si="38"/>
        <v>-5.5030356357408099E-2</v>
      </c>
    </row>
    <row r="90" spans="1:31">
      <c r="A90" s="15" t="s">
        <v>60</v>
      </c>
      <c r="B90" s="1"/>
      <c r="D90" s="1">
        <v>0</v>
      </c>
      <c r="E90" s="37">
        <v>10</v>
      </c>
      <c r="F90" s="38">
        <f t="shared" si="39"/>
        <v>1</v>
      </c>
      <c r="G90">
        <v>1</v>
      </c>
      <c r="H90" s="16">
        <f t="shared" si="24"/>
        <v>0</v>
      </c>
      <c r="I90" s="19">
        <f t="shared" si="31"/>
        <v>1</v>
      </c>
      <c r="J90" s="19">
        <f>(LOG(10+1)-LOG(10-1))/2</f>
        <v>4.3575087859450135E-2</v>
      </c>
      <c r="K90">
        <f t="shared" si="40"/>
        <v>0</v>
      </c>
      <c r="L90">
        <f t="shared" si="32"/>
        <v>0</v>
      </c>
      <c r="M90">
        <v>0</v>
      </c>
      <c r="N90" s="17">
        <f t="shared" si="25"/>
        <v>1</v>
      </c>
      <c r="O90" s="21"/>
      <c r="P90">
        <v>15</v>
      </c>
      <c r="Q90">
        <f t="shared" si="27"/>
        <v>3.4704147145583901E-3</v>
      </c>
      <c r="R90" s="17">
        <f t="shared" si="28"/>
        <v>1</v>
      </c>
      <c r="V90">
        <f t="shared" si="29"/>
        <v>288.14999999999998</v>
      </c>
      <c r="W90">
        <f t="shared" si="30"/>
        <v>-6.0798688863185945E-3</v>
      </c>
      <c r="X90" s="14">
        <f t="shared" si="33"/>
        <v>1</v>
      </c>
      <c r="Y90" s="14">
        <v>0.3</v>
      </c>
      <c r="AA90" s="2">
        <f t="shared" si="34"/>
        <v>11.111111111111111</v>
      </c>
      <c r="AB90" s="2">
        <f t="shared" si="35"/>
        <v>-6.7554098736873264E-2</v>
      </c>
      <c r="AC90" s="2">
        <f t="shared" si="36"/>
        <v>4.1072006305361002E-4</v>
      </c>
      <c r="AD90" s="2">
        <f t="shared" si="37"/>
        <v>11.111111111111111</v>
      </c>
      <c r="AE90" s="2">
        <f t="shared" si="38"/>
        <v>-6.7554098736873264E-2</v>
      </c>
    </row>
    <row r="91" spans="1:31">
      <c r="A91" s="15" t="s">
        <v>60</v>
      </c>
      <c r="B91" s="1"/>
      <c r="D91" s="1">
        <v>0</v>
      </c>
      <c r="E91" s="37">
        <v>10</v>
      </c>
      <c r="F91" s="38">
        <f t="shared" si="39"/>
        <v>1</v>
      </c>
      <c r="G91">
        <v>1</v>
      </c>
      <c r="H91" s="16">
        <f t="shared" si="24"/>
        <v>0</v>
      </c>
      <c r="I91" s="19">
        <f t="shared" si="31"/>
        <v>1</v>
      </c>
      <c r="J91" s="19">
        <f>(LOG(10+1)-LOG(10-1))/2</f>
        <v>4.3575087859450135E-2</v>
      </c>
      <c r="K91">
        <f t="shared" si="40"/>
        <v>0</v>
      </c>
      <c r="L91">
        <f t="shared" si="32"/>
        <v>0</v>
      </c>
      <c r="M91">
        <v>0</v>
      </c>
      <c r="N91" s="17">
        <f t="shared" si="25"/>
        <v>1</v>
      </c>
      <c r="O91" s="21"/>
      <c r="P91">
        <v>25</v>
      </c>
      <c r="Q91">
        <f t="shared" si="27"/>
        <v>3.3540164346805303E-3</v>
      </c>
      <c r="R91" s="17">
        <f t="shared" si="28"/>
        <v>1</v>
      </c>
      <c r="V91">
        <f t="shared" si="29"/>
        <v>298.14999999999998</v>
      </c>
      <c r="W91">
        <f t="shared" si="30"/>
        <v>0</v>
      </c>
      <c r="X91" s="14">
        <f t="shared" si="33"/>
        <v>1</v>
      </c>
      <c r="Y91" s="14">
        <v>0.3</v>
      </c>
      <c r="AA91" s="2">
        <f t="shared" si="34"/>
        <v>11.111111111111111</v>
      </c>
      <c r="AB91" s="2">
        <f t="shared" si="35"/>
        <v>0</v>
      </c>
      <c r="AC91" s="2">
        <f t="shared" si="36"/>
        <v>0</v>
      </c>
      <c r="AD91" s="2">
        <f t="shared" si="37"/>
        <v>11.111111111111111</v>
      </c>
      <c r="AE91" s="2">
        <f t="shared" si="38"/>
        <v>0</v>
      </c>
    </row>
    <row r="92" spans="1:31">
      <c r="A92" s="15" t="s">
        <v>60</v>
      </c>
      <c r="B92" s="1"/>
      <c r="D92" s="1">
        <v>0</v>
      </c>
      <c r="E92" s="37">
        <v>11</v>
      </c>
      <c r="F92" s="38">
        <f t="shared" si="39"/>
        <v>1.0413926851582251</v>
      </c>
      <c r="G92">
        <v>1</v>
      </c>
      <c r="H92" s="16">
        <f t="shared" si="24"/>
        <v>0</v>
      </c>
      <c r="I92" s="19">
        <f t="shared" si="31"/>
        <v>1.0413926851582251</v>
      </c>
      <c r="J92" s="19">
        <f>(LOG(11+1)-LOG(11-1))/2</f>
        <v>3.9590623023812443E-2</v>
      </c>
      <c r="K92">
        <f t="shared" si="40"/>
        <v>0</v>
      </c>
      <c r="L92">
        <f t="shared" si="32"/>
        <v>0</v>
      </c>
      <c r="M92">
        <v>0</v>
      </c>
      <c r="N92" s="17">
        <f t="shared" si="25"/>
        <v>1.0413926851582251</v>
      </c>
      <c r="O92" s="21">
        <f t="shared" si="26"/>
        <v>3.9590623023812443E-2</v>
      </c>
      <c r="P92">
        <v>37</v>
      </c>
      <c r="Q92">
        <f t="shared" si="27"/>
        <v>3.224246332419797E-3</v>
      </c>
      <c r="R92" s="17">
        <f t="shared" si="28"/>
        <v>1.0413926851582251</v>
      </c>
      <c r="V92">
        <f t="shared" si="29"/>
        <v>310.14999999999998</v>
      </c>
      <c r="W92">
        <f t="shared" si="30"/>
        <v>6.7783235966830469E-3</v>
      </c>
      <c r="X92" s="14">
        <f t="shared" si="33"/>
        <v>1.0413926851582251</v>
      </c>
      <c r="Y92" s="14">
        <v>0.3</v>
      </c>
      <c r="AA92" s="2">
        <f t="shared" si="34"/>
        <v>11.111111111111111</v>
      </c>
      <c r="AB92" s="2">
        <f t="shared" si="35"/>
        <v>7.5314706629811629E-2</v>
      </c>
      <c r="AC92" s="2">
        <f t="shared" si="36"/>
        <v>5.1050745312611334E-4</v>
      </c>
      <c r="AD92" s="2">
        <f t="shared" si="37"/>
        <v>11.571029835091389</v>
      </c>
      <c r="AE92" s="2">
        <f t="shared" si="38"/>
        <v>7.8432184569123514E-2</v>
      </c>
    </row>
    <row r="93" spans="1:31">
      <c r="A93" s="15" t="s">
        <v>117</v>
      </c>
      <c r="B93" s="1"/>
      <c r="D93" s="1">
        <v>0</v>
      </c>
      <c r="E93" s="66">
        <v>8.48</v>
      </c>
      <c r="F93" s="38">
        <f t="shared" si="39"/>
        <v>0.92839585225671384</v>
      </c>
      <c r="G93">
        <v>1</v>
      </c>
      <c r="H93" s="16">
        <f t="shared" si="24"/>
        <v>0</v>
      </c>
      <c r="I93" s="19">
        <f t="shared" si="31"/>
        <v>0.92839585225671384</v>
      </c>
      <c r="J93" s="19">
        <v>0.1</v>
      </c>
      <c r="K93">
        <f t="shared" si="40"/>
        <v>0</v>
      </c>
      <c r="L93">
        <f t="shared" si="32"/>
        <v>0</v>
      </c>
      <c r="M93">
        <f>$M$35*$H93</f>
        <v>0</v>
      </c>
      <c r="N93" s="17">
        <f t="shared" si="25"/>
        <v>0.92839585225671384</v>
      </c>
      <c r="O93" s="21">
        <f t="shared" si="26"/>
        <v>0.1</v>
      </c>
      <c r="P93">
        <v>25</v>
      </c>
      <c r="Q93">
        <f t="shared" si="27"/>
        <v>3.3540164346805303E-3</v>
      </c>
      <c r="R93" s="17">
        <f>N93</f>
        <v>0.92839585225671384</v>
      </c>
      <c r="V93">
        <f t="shared" si="29"/>
        <v>298.14999999999998</v>
      </c>
      <c r="W93">
        <f t="shared" si="30"/>
        <v>0</v>
      </c>
      <c r="X93" s="14">
        <f>N93</f>
        <v>0.92839585225671384</v>
      </c>
      <c r="Y93" s="14">
        <v>0.3</v>
      </c>
      <c r="AA93" s="2">
        <f>1/Y93^2</f>
        <v>11.111111111111111</v>
      </c>
      <c r="AB93" s="2">
        <f>W93*AA93</f>
        <v>0</v>
      </c>
      <c r="AC93" s="2">
        <f>W93*W93*AA93</f>
        <v>0</v>
      </c>
      <c r="AD93" s="2">
        <f>X93*AA93</f>
        <v>10.315509469519043</v>
      </c>
      <c r="AE93" s="2">
        <f>W93*X93*AA93</f>
        <v>0</v>
      </c>
    </row>
    <row r="94" spans="1:31">
      <c r="A94" s="15" t="s">
        <v>117</v>
      </c>
      <c r="B94" s="1"/>
      <c r="D94" s="1">
        <v>0</v>
      </c>
      <c r="E94" s="37">
        <v>7.01</v>
      </c>
      <c r="F94" s="38">
        <f t="shared" si="39"/>
        <v>0.84571801796665869</v>
      </c>
      <c r="G94">
        <v>1</v>
      </c>
      <c r="H94" s="16">
        <f t="shared" si="24"/>
        <v>0</v>
      </c>
      <c r="I94" s="19">
        <f t="shared" si="31"/>
        <v>0.84571801796665869</v>
      </c>
      <c r="J94" s="19">
        <v>0.1</v>
      </c>
      <c r="K94">
        <f t="shared" si="40"/>
        <v>0</v>
      </c>
      <c r="L94">
        <f t="shared" si="32"/>
        <v>0</v>
      </c>
      <c r="M94">
        <f>$M$35*$H94</f>
        <v>0</v>
      </c>
      <c r="N94" s="17">
        <f t="shared" si="25"/>
        <v>0.84571801796665869</v>
      </c>
      <c r="O94" s="21">
        <f t="shared" si="26"/>
        <v>0.1</v>
      </c>
      <c r="P94">
        <v>37</v>
      </c>
      <c r="Q94">
        <f t="shared" si="27"/>
        <v>3.224246332419797E-3</v>
      </c>
      <c r="R94" s="17">
        <f>N94</f>
        <v>0.84571801796665869</v>
      </c>
      <c r="V94">
        <f t="shared" si="29"/>
        <v>310.14999999999998</v>
      </c>
      <c r="W94">
        <f t="shared" si="30"/>
        <v>6.7783235966830469E-3</v>
      </c>
      <c r="X94" s="14">
        <f>N94</f>
        <v>0.84571801796665869</v>
      </c>
      <c r="Y94" s="14">
        <v>0.3</v>
      </c>
      <c r="AA94" s="2">
        <f>1/Y94^2</f>
        <v>11.111111111111111</v>
      </c>
      <c r="AB94" s="2">
        <f>W94*AA94</f>
        <v>7.5314706629811629E-2</v>
      </c>
      <c r="AC94" s="2">
        <f>W94*W94*AA94</f>
        <v>5.1050745312611334E-4</v>
      </c>
      <c r="AD94" s="2">
        <f>X94*AA94</f>
        <v>9.3968668662962074</v>
      </c>
      <c r="AE94" s="2">
        <f>W94*X94*AA94</f>
        <v>6.3695004414704659E-2</v>
      </c>
    </row>
    <row r="95" spans="1:31">
      <c r="A95" s="15" t="s">
        <v>117</v>
      </c>
      <c r="B95" s="1"/>
      <c r="D95" s="1">
        <v>0</v>
      </c>
      <c r="E95" s="37">
        <v>5.57</v>
      </c>
      <c r="F95" s="38">
        <f t="shared" si="39"/>
        <v>0.74585519517372889</v>
      </c>
      <c r="G95">
        <v>1</v>
      </c>
      <c r="H95" s="16">
        <f t="shared" si="24"/>
        <v>0</v>
      </c>
      <c r="I95" s="19">
        <f t="shared" si="31"/>
        <v>0.74585519517372889</v>
      </c>
      <c r="J95" s="19">
        <v>0.1</v>
      </c>
      <c r="K95">
        <f t="shared" si="40"/>
        <v>0</v>
      </c>
      <c r="L95">
        <f t="shared" si="32"/>
        <v>0</v>
      </c>
      <c r="M95">
        <f>$M$35*$H95</f>
        <v>0</v>
      </c>
      <c r="N95" s="17">
        <f t="shared" si="25"/>
        <v>0.74585519517372889</v>
      </c>
      <c r="O95" s="21">
        <f t="shared" si="26"/>
        <v>0.1</v>
      </c>
      <c r="P95">
        <v>45</v>
      </c>
      <c r="Q95">
        <f t="shared" si="27"/>
        <v>3.1431714600031434E-3</v>
      </c>
      <c r="R95" s="17">
        <f>N95</f>
        <v>0.74585519517372889</v>
      </c>
      <c r="V95">
        <f t="shared" si="29"/>
        <v>318.14999999999998</v>
      </c>
      <c r="W95">
        <f t="shared" si="30"/>
        <v>1.1013133550794935E-2</v>
      </c>
      <c r="X95" s="14">
        <f>N95</f>
        <v>0.74585519517372889</v>
      </c>
      <c r="Y95" s="14">
        <v>0.3</v>
      </c>
      <c r="AA95" s="2">
        <f>1/Y95^2</f>
        <v>11.111111111111111</v>
      </c>
      <c r="AB95" s="2">
        <f>W95*AA95</f>
        <v>0.12236815056438817</v>
      </c>
      <c r="AC95" s="2">
        <f>W95*W95*AA95</f>
        <v>1.3476567845293894E-3</v>
      </c>
      <c r="AD95" s="2">
        <f>X95*AA95</f>
        <v>8.2872799463747651</v>
      </c>
      <c r="AE95" s="2">
        <f>W95*X95*AA95</f>
        <v>9.1268920822249994E-2</v>
      </c>
    </row>
    <row r="96" spans="1:31">
      <c r="A96" s="15"/>
      <c r="B96" s="1"/>
      <c r="D96" s="1"/>
      <c r="E96" s="37"/>
      <c r="F96" s="38"/>
      <c r="H96" s="16"/>
      <c r="I96" s="19"/>
      <c r="J96" s="19"/>
      <c r="N96" s="31">
        <f>AVERAGE(N80:N92)</f>
        <v>0.99435691231012313</v>
      </c>
      <c r="O96" s="21"/>
    </row>
    <row r="97" spans="1:34">
      <c r="A97" s="15"/>
      <c r="B97" s="1"/>
      <c r="D97" s="1"/>
      <c r="E97" s="37"/>
      <c r="F97" s="38"/>
      <c r="H97" s="16"/>
      <c r="I97" s="19"/>
      <c r="J97" s="19"/>
      <c r="N97">
        <f>STDEV(N80:N92)</f>
        <v>0.25648324682433277</v>
      </c>
      <c r="O97" s="21"/>
      <c r="Z97" s="57" t="s">
        <v>98</v>
      </c>
      <c r="AA97">
        <f>SUM(AA80:AA96)</f>
        <v>141.66666666666669</v>
      </c>
      <c r="AB97">
        <f>SUM(AB80:AB96)</f>
        <v>0.20203457039462147</v>
      </c>
      <c r="AC97">
        <f>SUM(AC80:AC96)</f>
        <v>6.3222734255972187E-3</v>
      </c>
      <c r="AD97">
        <f>SUM(AD80:AD96)</f>
        <v>141.02744723575151</v>
      </c>
      <c r="AE97">
        <f>SUM(AE80:AE96)</f>
        <v>0.21644125367990164</v>
      </c>
    </row>
    <row r="98" spans="1:34">
      <c r="Z98" s="57"/>
      <c r="AF98" s="55"/>
      <c r="AG98" s="56"/>
    </row>
    <row r="99" spans="1:34" ht="16.8">
      <c r="Z99" s="57"/>
      <c r="AC99" s="57" t="s">
        <v>99</v>
      </c>
      <c r="AD99">
        <f>AA97*AC97-AB97^2</f>
        <v>0.85483743432506687</v>
      </c>
    </row>
    <row r="100" spans="1:34" ht="16.8">
      <c r="A100" s="1" t="s">
        <v>64</v>
      </c>
      <c r="B100" s="1"/>
      <c r="Z100" s="57"/>
      <c r="AC100" s="57" t="s">
        <v>100</v>
      </c>
      <c r="AD100">
        <f>AC97*AD97</f>
        <v>0.89161408193840574</v>
      </c>
    </row>
    <row r="101" spans="1:34" ht="16.8">
      <c r="U101" s="9" t="s">
        <v>47</v>
      </c>
      <c r="V101" s="61" t="s">
        <v>45</v>
      </c>
      <c r="W101" s="9" t="s">
        <v>107</v>
      </c>
      <c r="X101" s="62" t="s">
        <v>112</v>
      </c>
      <c r="Y101" s="62" t="s">
        <v>113</v>
      </c>
      <c r="AC101" s="57" t="s">
        <v>101</v>
      </c>
      <c r="AD101">
        <f>AB97*AE97</f>
        <v>4.3728615702892208E-2</v>
      </c>
    </row>
    <row r="102" spans="1:34" ht="16.8">
      <c r="A102" s="2" t="s">
        <v>65</v>
      </c>
      <c r="B102" s="2"/>
      <c r="U102">
        <v>0</v>
      </c>
      <c r="V102">
        <f>1/(273.15+U102)</f>
        <v>3.6609921288669233E-3</v>
      </c>
      <c r="W102">
        <f>$AD$102+$AD$105/$W$37*(1/$W$34-$V102)</f>
        <v>0.95116265244026621</v>
      </c>
      <c r="X102">
        <f>($AD$102+$AH$102)+($AD$105-$AH$105)/$W$37*(1/$W$34-$V102)</f>
        <v>1.2435781122848257</v>
      </c>
      <c r="Y102">
        <f>($AD$102-$AH$102)+($AD$105+$AH$105)/$W$37*(1/$W$34-$V102)</f>
        <v>0.6587471925957068</v>
      </c>
      <c r="Z102" s="34" t="s">
        <v>102</v>
      </c>
      <c r="AC102" s="58" t="s">
        <v>108</v>
      </c>
      <c r="AD102" s="1">
        <f>(AD100-AD101)/AD99</f>
        <v>0.99186749689425779</v>
      </c>
      <c r="AG102" s="59" t="s">
        <v>110</v>
      </c>
      <c r="AH102" s="1">
        <f>SQRT(AC97/AD99)</f>
        <v>8.5999291044988893E-2</v>
      </c>
    </row>
    <row r="103" spans="1:34" ht="16.8">
      <c r="A103" s="2"/>
      <c r="B103" s="2"/>
      <c r="D103" s="7" t="s">
        <v>19</v>
      </c>
      <c r="E103" s="8"/>
      <c r="F103" s="5"/>
      <c r="G103" s="5"/>
      <c r="H103" s="5"/>
      <c r="I103" s="5"/>
      <c r="U103">
        <v>25</v>
      </c>
      <c r="V103">
        <f>1/(273.15+U103)</f>
        <v>3.3540164346805303E-3</v>
      </c>
      <c r="W103">
        <f>$AD$102+$AD$105/$W$37*(1/$W$34-$V103)</f>
        <v>0.99186749689425779</v>
      </c>
      <c r="X103">
        <f>($AD$102+$AH$102)+($AD$105-$AH$105)/$W$37*(1/$W$34-$V103)</f>
        <v>1.0778667879392467</v>
      </c>
      <c r="Y103">
        <f>($AD$102-$AH$102)+($AD$105+$AH$105)/$W$37*(1/$W$34-$V103)</f>
        <v>0.90586820584926886</v>
      </c>
      <c r="AC103" s="57" t="s">
        <v>103</v>
      </c>
      <c r="AD103">
        <f>AA97*AE97</f>
        <v>30.66251093798607</v>
      </c>
    </row>
    <row r="104" spans="1:34" ht="16.8">
      <c r="A104" s="11" t="s">
        <v>23</v>
      </c>
      <c r="B104" s="12">
        <f>1^2-3^2-2^2</f>
        <v>-12</v>
      </c>
      <c r="D104" s="6" t="s">
        <v>24</v>
      </c>
      <c r="E104" s="6"/>
      <c r="F104" s="5"/>
      <c r="G104" s="5"/>
      <c r="H104" s="5"/>
      <c r="J104" s="13" t="s">
        <v>25</v>
      </c>
      <c r="K104" s="5">
        <v>0.50900000000000001</v>
      </c>
      <c r="U104">
        <v>47</v>
      </c>
      <c r="V104">
        <f>1/(273.15+U104)</f>
        <v>3.1235358425737939E-3</v>
      </c>
      <c r="W104">
        <f>$AD$102+$AD$105/$W$37*(1/$W$34-$V104)</f>
        <v>1.0224291238537919</v>
      </c>
      <c r="X104">
        <f>($AD$102+$AH$102)+($AD$105+$AH$105)/$W$37*(1/$W$34-$V104)</f>
        <v>1.2634078536827582</v>
      </c>
      <c r="Y104">
        <f>($AD$102-$AH$102)+($AD$105-$AH$105)/$W$37*(1/$W$34-$V104)</f>
        <v>0.78145039402482563</v>
      </c>
      <c r="AC104" s="57" t="s">
        <v>104</v>
      </c>
      <c r="AD104">
        <f>AB97*AD97</f>
        <v>28.492419716125202</v>
      </c>
    </row>
    <row r="105" spans="1:34" ht="16.8">
      <c r="A105" s="11" t="s">
        <v>27</v>
      </c>
      <c r="B105" s="12">
        <f>1-1-1</f>
        <v>-1</v>
      </c>
      <c r="D105" s="7" t="s">
        <v>28</v>
      </c>
      <c r="E105" s="8"/>
      <c r="F105" s="5"/>
      <c r="G105" s="5"/>
      <c r="H105" s="5"/>
      <c r="I105" s="5"/>
      <c r="J105" s="13" t="s">
        <v>29</v>
      </c>
      <c r="K105" s="24">
        <v>0.52</v>
      </c>
      <c r="R105" s="32"/>
      <c r="Z105" s="34" t="s">
        <v>105</v>
      </c>
      <c r="AC105" s="60" t="s">
        <v>109</v>
      </c>
      <c r="AD105" s="1">
        <f>(AD103-AD104)/AD99</f>
        <v>2.5386010657970943</v>
      </c>
      <c r="AG105" s="59" t="s">
        <v>106</v>
      </c>
      <c r="AH105" s="1">
        <f>SQRT(AA97/AD99)</f>
        <v>12.873364660676344</v>
      </c>
    </row>
    <row r="106" spans="1:34" ht="13.8">
      <c r="A106" s="5"/>
      <c r="B106" s="5"/>
      <c r="C106" s="5" t="s">
        <v>30</v>
      </c>
      <c r="D106" s="9" t="s">
        <v>31</v>
      </c>
      <c r="E106" s="9" t="s">
        <v>66</v>
      </c>
      <c r="F106" s="9" t="s">
        <v>33</v>
      </c>
      <c r="G106" s="9" t="s">
        <v>34</v>
      </c>
      <c r="H106" s="9" t="s">
        <v>35</v>
      </c>
      <c r="I106" s="9" t="s">
        <v>36</v>
      </c>
      <c r="J106" s="20" t="s">
        <v>37</v>
      </c>
      <c r="R106" s="33"/>
    </row>
    <row r="107" spans="1:34" ht="16.2">
      <c r="C107" s="5" t="s">
        <v>38</v>
      </c>
      <c r="D107" s="9" t="s">
        <v>39</v>
      </c>
      <c r="E107" s="9" t="s">
        <v>67</v>
      </c>
      <c r="G107" s="5"/>
      <c r="H107" s="9" t="s">
        <v>40</v>
      </c>
      <c r="I107" s="9" t="s">
        <v>40</v>
      </c>
      <c r="J107" s="9"/>
      <c r="K107" s="9" t="s">
        <v>41</v>
      </c>
      <c r="L107" s="29" t="s">
        <v>42</v>
      </c>
      <c r="M107" s="4" t="s">
        <v>43</v>
      </c>
      <c r="N107" s="67" t="s">
        <v>136</v>
      </c>
      <c r="Q107" s="30" t="s">
        <v>45</v>
      </c>
      <c r="V107" s="3" t="s">
        <v>14</v>
      </c>
      <c r="W107" s="3" t="s">
        <v>46</v>
      </c>
      <c r="X107" s="9" t="s">
        <v>107</v>
      </c>
      <c r="Y107" s="20" t="s">
        <v>37</v>
      </c>
    </row>
    <row r="108" spans="1:34" ht="16.8">
      <c r="C108" s="5"/>
      <c r="D108" s="7" t="s">
        <v>19</v>
      </c>
      <c r="F108" s="7" t="s">
        <v>19</v>
      </c>
      <c r="H108" s="5"/>
      <c r="I108" s="5"/>
      <c r="J108" s="5"/>
      <c r="P108" s="9" t="s">
        <v>47</v>
      </c>
      <c r="V108" s="3" t="s">
        <v>48</v>
      </c>
      <c r="AA108" s="54" t="s">
        <v>93</v>
      </c>
      <c r="AB108" s="54" t="s">
        <v>94</v>
      </c>
      <c r="AC108" s="54" t="s">
        <v>95</v>
      </c>
      <c r="AD108" s="54" t="s">
        <v>96</v>
      </c>
      <c r="AE108" s="54" t="s">
        <v>97</v>
      </c>
    </row>
    <row r="109" spans="1:34">
      <c r="A109" s="15" t="s">
        <v>57</v>
      </c>
      <c r="D109" s="1">
        <v>0</v>
      </c>
      <c r="E109" s="5">
        <v>18</v>
      </c>
      <c r="F109" s="39">
        <v>6.48</v>
      </c>
      <c r="G109">
        <v>1</v>
      </c>
      <c r="H109" s="16">
        <f t="shared" ref="H109:H114" si="41">D109*G109</f>
        <v>0</v>
      </c>
      <c r="I109" s="19">
        <f t="shared" ref="I109:I114" si="42">F109+$B$39*LOG(G109)</f>
        <v>6.48</v>
      </c>
      <c r="J109" s="19">
        <v>0.06</v>
      </c>
      <c r="K109">
        <f>$K$39*SQRT($H109)/(1+1.5*SQRT($H109))</f>
        <v>0</v>
      </c>
      <c r="L109">
        <f t="shared" ref="L109:L114" si="43">-$B$38*K109</f>
        <v>0</v>
      </c>
      <c r="M109">
        <f>$M$36*$H109</f>
        <v>0</v>
      </c>
      <c r="N109" s="17">
        <f t="shared" ref="N109:N114" si="44">I109+L109+M109</f>
        <v>6.48</v>
      </c>
      <c r="O109" s="21">
        <f>SQRT(J109^2+(H109*$N$35)^2)</f>
        <v>0.06</v>
      </c>
      <c r="P109">
        <f t="shared" ref="P109:P114" si="45">E109</f>
        <v>18</v>
      </c>
      <c r="Q109">
        <f t="shared" ref="Q109:Q114" si="46">1/(273.15+$P109)</f>
        <v>3.4346556757685045E-3</v>
      </c>
      <c r="V109">
        <f t="shared" ref="V109:V114" si="47">273.15+$P109</f>
        <v>291.14999999999998</v>
      </c>
      <c r="W109">
        <f t="shared" ref="W109:W114" si="48">(1/$W$34-1/$V109)/$W$37</f>
        <v>-4.2120554824485353E-3</v>
      </c>
      <c r="X109" s="14">
        <f t="shared" ref="X109:X114" si="49">N109</f>
        <v>6.48</v>
      </c>
      <c r="Y109" s="14">
        <v>0.3</v>
      </c>
      <c r="AA109" s="2">
        <f t="shared" ref="AA109:AA114" si="50">1/Y109^2</f>
        <v>11.111111111111111</v>
      </c>
      <c r="AB109" s="2">
        <f t="shared" ref="AB109:AB114" si="51">W109*AA109</f>
        <v>-4.6800616471650389E-2</v>
      </c>
      <c r="AC109" s="2">
        <f t="shared" ref="AC109:AC114" si="52">W109*W109*AA109</f>
        <v>1.9712679319138627E-4</v>
      </c>
      <c r="AD109" s="2">
        <f t="shared" ref="AD109:AD114" si="53">X109*AA109</f>
        <v>72</v>
      </c>
      <c r="AE109" s="2">
        <f t="shared" ref="AE109:AE114" si="54">W109*X109*AA109</f>
        <v>-0.30326799473629457</v>
      </c>
    </row>
    <row r="110" spans="1:34">
      <c r="A110" s="15" t="s">
        <v>91</v>
      </c>
      <c r="D110" s="1">
        <v>0</v>
      </c>
      <c r="E110">
        <v>25</v>
      </c>
      <c r="F110" s="51">
        <f>LOG(2900000)</f>
        <v>6.4623979978989565</v>
      </c>
      <c r="G110">
        <v>1</v>
      </c>
      <c r="H110" s="16">
        <f t="shared" si="41"/>
        <v>0</v>
      </c>
      <c r="I110" s="19">
        <f t="shared" si="42"/>
        <v>6.4623979978989565</v>
      </c>
      <c r="J110" s="52">
        <f>(LOG(2900000+100000)-LOG(2900000-100000))/2</f>
        <v>1.4981611688721586E-2</v>
      </c>
      <c r="K110">
        <f>$K$37*SQRT($H110)/(1+1.5*SQRT($H110))</f>
        <v>0</v>
      </c>
      <c r="L110">
        <f t="shared" si="43"/>
        <v>0</v>
      </c>
      <c r="M110">
        <v>0</v>
      </c>
      <c r="N110" s="17">
        <f t="shared" si="44"/>
        <v>6.4623979978989565</v>
      </c>
      <c r="O110" s="21"/>
      <c r="P110">
        <f t="shared" si="45"/>
        <v>25</v>
      </c>
      <c r="Q110">
        <f t="shared" si="46"/>
        <v>3.3540164346805303E-3</v>
      </c>
      <c r="V110">
        <f t="shared" si="47"/>
        <v>298.14999999999998</v>
      </c>
      <c r="W110">
        <f t="shared" si="48"/>
        <v>0</v>
      </c>
      <c r="X110" s="14">
        <f t="shared" si="49"/>
        <v>6.4623979978989565</v>
      </c>
      <c r="Y110" s="14">
        <v>0.2</v>
      </c>
      <c r="AA110" s="2">
        <f t="shared" si="50"/>
        <v>24.999999999999996</v>
      </c>
      <c r="AB110" s="2">
        <f t="shared" si="51"/>
        <v>0</v>
      </c>
      <c r="AC110" s="2">
        <f t="shared" si="52"/>
        <v>0</v>
      </c>
      <c r="AD110" s="2">
        <f t="shared" si="53"/>
        <v>161.55994994747388</v>
      </c>
      <c r="AE110" s="2">
        <f t="shared" si="54"/>
        <v>0</v>
      </c>
    </row>
    <row r="111" spans="1:34">
      <c r="A111" s="15" t="s">
        <v>91</v>
      </c>
      <c r="D111" s="1">
        <v>0</v>
      </c>
      <c r="E111">
        <v>37</v>
      </c>
      <c r="F111" s="51">
        <f>LOG(3460000)</f>
        <v>6.5390760987927763</v>
      </c>
      <c r="G111">
        <v>1</v>
      </c>
      <c r="H111" s="16">
        <f t="shared" si="41"/>
        <v>0</v>
      </c>
      <c r="I111" s="19">
        <f t="shared" si="42"/>
        <v>6.5390760987927763</v>
      </c>
      <c r="J111" s="52">
        <f>(LOG(3460000+200000)-LOG(3460000-200000))/2</f>
        <v>2.5131742663235812E-2</v>
      </c>
      <c r="K111">
        <f>$K$37*SQRT($H111)/(1+1.5*SQRT($H111))</f>
        <v>0</v>
      </c>
      <c r="L111">
        <f t="shared" si="43"/>
        <v>0</v>
      </c>
      <c r="M111">
        <v>0</v>
      </c>
      <c r="N111" s="17">
        <f t="shared" si="44"/>
        <v>6.5390760987927763</v>
      </c>
      <c r="O111" s="21">
        <f>SQRT(J111^2+(H111*$N$35)^2)</f>
        <v>2.5131742663235812E-2</v>
      </c>
      <c r="P111">
        <f t="shared" si="45"/>
        <v>37</v>
      </c>
      <c r="Q111">
        <f t="shared" si="46"/>
        <v>3.224246332419797E-3</v>
      </c>
      <c r="V111">
        <f t="shared" si="47"/>
        <v>310.14999999999998</v>
      </c>
      <c r="W111">
        <f t="shared" si="48"/>
        <v>6.7783235966830469E-3</v>
      </c>
      <c r="X111" s="14">
        <f t="shared" si="49"/>
        <v>6.5390760987927763</v>
      </c>
      <c r="Y111" s="14">
        <v>0.2</v>
      </c>
      <c r="AA111" s="2">
        <f t="shared" si="50"/>
        <v>24.999999999999996</v>
      </c>
      <c r="AB111" s="2">
        <f t="shared" si="51"/>
        <v>0.16945808991707614</v>
      </c>
      <c r="AC111" s="2">
        <f t="shared" si="52"/>
        <v>1.1486417695337548E-3</v>
      </c>
      <c r="AD111" s="2">
        <f t="shared" si="53"/>
        <v>163.47690246981938</v>
      </c>
      <c r="AE111" s="2">
        <f t="shared" si="54"/>
        <v>1.1080993455238297</v>
      </c>
    </row>
    <row r="112" spans="1:34">
      <c r="A112" s="15" t="s">
        <v>117</v>
      </c>
      <c r="D112" s="1">
        <v>0</v>
      </c>
      <c r="E112">
        <v>25</v>
      </c>
      <c r="F112" s="51">
        <f>LOG(2600000)</f>
        <v>6.4149733479708182</v>
      </c>
      <c r="G112">
        <v>1</v>
      </c>
      <c r="H112" s="16">
        <f t="shared" si="41"/>
        <v>0</v>
      </c>
      <c r="I112" s="19">
        <f t="shared" si="42"/>
        <v>6.4149733479708182</v>
      </c>
      <c r="J112" s="52">
        <f>(LOG(3460000+200000)-LOG(3460000-200000))/2</f>
        <v>2.5131742663235812E-2</v>
      </c>
      <c r="K112">
        <f>$K$37*SQRT($H112)/(1+1.5*SQRT($H112))</f>
        <v>0</v>
      </c>
      <c r="L112">
        <f t="shared" si="43"/>
        <v>0</v>
      </c>
      <c r="M112">
        <v>0</v>
      </c>
      <c r="N112" s="17">
        <f t="shared" si="44"/>
        <v>6.4149733479708182</v>
      </c>
      <c r="O112" s="21">
        <f>SQRT(J112^2+(H112*$N$35)^2)</f>
        <v>2.5131742663235812E-2</v>
      </c>
      <c r="P112">
        <f t="shared" si="45"/>
        <v>25</v>
      </c>
      <c r="Q112">
        <f t="shared" si="46"/>
        <v>3.3540164346805303E-3</v>
      </c>
      <c r="V112">
        <f t="shared" si="47"/>
        <v>298.14999999999998</v>
      </c>
      <c r="W112">
        <f t="shared" si="48"/>
        <v>0</v>
      </c>
      <c r="X112" s="14">
        <f t="shared" si="49"/>
        <v>6.4149733479708182</v>
      </c>
      <c r="Y112" s="14">
        <v>0.2</v>
      </c>
      <c r="AA112" s="2">
        <f t="shared" si="50"/>
        <v>24.999999999999996</v>
      </c>
      <c r="AB112" s="2">
        <f t="shared" si="51"/>
        <v>0</v>
      </c>
      <c r="AC112" s="2">
        <f t="shared" si="52"/>
        <v>0</v>
      </c>
      <c r="AD112" s="2">
        <f t="shared" si="53"/>
        <v>160.37433369927044</v>
      </c>
      <c r="AE112" s="2">
        <f t="shared" si="54"/>
        <v>0</v>
      </c>
    </row>
    <row r="113" spans="1:34">
      <c r="A113" s="15" t="s">
        <v>117</v>
      </c>
      <c r="D113" s="1">
        <v>0</v>
      </c>
      <c r="E113">
        <v>37</v>
      </c>
      <c r="F113" s="51">
        <f>LOG(2600000)</f>
        <v>6.4149733479708182</v>
      </c>
      <c r="G113">
        <v>1</v>
      </c>
      <c r="H113" s="16">
        <f t="shared" si="41"/>
        <v>0</v>
      </c>
      <c r="I113" s="19">
        <f t="shared" si="42"/>
        <v>6.4149733479708182</v>
      </c>
      <c r="J113" s="52">
        <f>(LOG(3460000+200000)-LOG(3460000-200000))/2</f>
        <v>2.5131742663235812E-2</v>
      </c>
      <c r="K113">
        <f>$K$37*SQRT($H113)/(1+1.5*SQRT($H113))</f>
        <v>0</v>
      </c>
      <c r="L113">
        <f t="shared" si="43"/>
        <v>0</v>
      </c>
      <c r="M113">
        <v>0</v>
      </c>
      <c r="N113" s="17">
        <f t="shared" si="44"/>
        <v>6.4149733479708182</v>
      </c>
      <c r="O113" s="21">
        <f>SQRT(J113^2+(H113*$N$35)^2)</f>
        <v>2.5131742663235812E-2</v>
      </c>
      <c r="P113">
        <f t="shared" si="45"/>
        <v>37</v>
      </c>
      <c r="Q113">
        <f t="shared" si="46"/>
        <v>3.224246332419797E-3</v>
      </c>
      <c r="V113">
        <f t="shared" si="47"/>
        <v>310.14999999999998</v>
      </c>
      <c r="W113">
        <f t="shared" si="48"/>
        <v>6.7783235966830469E-3</v>
      </c>
      <c r="X113" s="14">
        <f t="shared" si="49"/>
        <v>6.4149733479708182</v>
      </c>
      <c r="Y113" s="14">
        <v>0.2</v>
      </c>
      <c r="AA113" s="2">
        <f t="shared" si="50"/>
        <v>24.999999999999996</v>
      </c>
      <c r="AB113" s="2">
        <f t="shared" si="51"/>
        <v>0.16945808991707614</v>
      </c>
      <c r="AC113" s="2">
        <f t="shared" si="52"/>
        <v>1.1486417695337548E-3</v>
      </c>
      <c r="AD113" s="2">
        <f t="shared" si="53"/>
        <v>160.37433369927044</v>
      </c>
      <c r="AE113" s="2">
        <f t="shared" si="54"/>
        <v>1.087069130416086</v>
      </c>
    </row>
    <row r="114" spans="1:34">
      <c r="A114" s="15" t="s">
        <v>117</v>
      </c>
      <c r="D114" s="1">
        <v>0</v>
      </c>
      <c r="E114">
        <v>45</v>
      </c>
      <c r="F114" s="51">
        <f>LOG(2600000)</f>
        <v>6.4149733479708182</v>
      </c>
      <c r="G114">
        <v>1</v>
      </c>
      <c r="H114" s="16">
        <f t="shared" si="41"/>
        <v>0</v>
      </c>
      <c r="I114" s="19">
        <f t="shared" si="42"/>
        <v>6.4149733479708182</v>
      </c>
      <c r="J114" s="52">
        <f>(LOG(3460000+200000)-LOG(3460000-200000))/2</f>
        <v>2.5131742663235812E-2</v>
      </c>
      <c r="K114">
        <f>$K$37*SQRT($H114)/(1+1.5*SQRT($H114))</f>
        <v>0</v>
      </c>
      <c r="L114">
        <f t="shared" si="43"/>
        <v>0</v>
      </c>
      <c r="M114">
        <v>0</v>
      </c>
      <c r="N114" s="17">
        <f t="shared" si="44"/>
        <v>6.4149733479708182</v>
      </c>
      <c r="O114" s="21">
        <f>SQRT(J114^2+(H114*$N$35)^2)</f>
        <v>2.5131742663235812E-2</v>
      </c>
      <c r="P114">
        <f t="shared" si="45"/>
        <v>45</v>
      </c>
      <c r="Q114">
        <f t="shared" si="46"/>
        <v>3.1431714600031434E-3</v>
      </c>
      <c r="V114">
        <f t="shared" si="47"/>
        <v>318.14999999999998</v>
      </c>
      <c r="W114">
        <f t="shared" si="48"/>
        <v>1.1013133550794935E-2</v>
      </c>
      <c r="X114" s="14">
        <f t="shared" si="49"/>
        <v>6.4149733479708182</v>
      </c>
      <c r="Y114" s="14">
        <v>0.2</v>
      </c>
      <c r="AA114" s="2">
        <f t="shared" si="50"/>
        <v>24.999999999999996</v>
      </c>
      <c r="AB114" s="2">
        <f t="shared" si="51"/>
        <v>0.27532833876987334</v>
      </c>
      <c r="AC114" s="2">
        <f t="shared" si="52"/>
        <v>3.0322277651911259E-3</v>
      </c>
      <c r="AD114" s="2">
        <f t="shared" si="53"/>
        <v>160.37433369927044</v>
      </c>
      <c r="AE114" s="2">
        <f t="shared" si="54"/>
        <v>1.766223955149818</v>
      </c>
    </row>
    <row r="116" spans="1:34">
      <c r="Z116" s="57" t="s">
        <v>98</v>
      </c>
      <c r="AA116">
        <f>SUM(AA109:AA114)</f>
        <v>136.11111111111109</v>
      </c>
      <c r="AB116">
        <f>SUM(AB109:AB114)</f>
        <v>0.56744390213237517</v>
      </c>
      <c r="AC116">
        <f>SUM(AC109:AC114)</f>
        <v>5.5266380974500215E-3</v>
      </c>
      <c r="AD116">
        <f>SUM(AD109:AD114)</f>
        <v>878.1598535151046</v>
      </c>
      <c r="AE116">
        <f>SUM(AE109:AE114)</f>
        <v>3.6581244363534391</v>
      </c>
    </row>
    <row r="117" spans="1:34">
      <c r="Z117" s="57"/>
      <c r="AF117" s="55"/>
      <c r="AG117" s="56"/>
    </row>
    <row r="118" spans="1:34" ht="16.8">
      <c r="Z118" s="57"/>
      <c r="AC118" s="57" t="s">
        <v>99</v>
      </c>
      <c r="AD118">
        <f>AA116*AC116-AB116^2</f>
        <v>0.43024427008570287</v>
      </c>
    </row>
    <row r="119" spans="1:34" ht="16.8">
      <c r="P119" s="1">
        <f t="array" ref="P119:Q123">LINEST(X109:X111,W109:W111,TRUE,TRUE)</f>
        <v>5.9350808402440345</v>
      </c>
      <c r="Q119" s="1">
        <v>6.4887476959920045</v>
      </c>
      <c r="Z119" s="57"/>
      <c r="AC119" s="57" t="s">
        <v>100</v>
      </c>
      <c r="AD119">
        <f>AC116*AD116</f>
        <v>4.8532717020877074</v>
      </c>
    </row>
    <row r="120" spans="1:34" ht="16.8">
      <c r="P120" s="1">
        <v>4.1526334562851588</v>
      </c>
      <c r="Q120" s="1">
        <v>1.9133245644189285E-2</v>
      </c>
      <c r="U120" s="9" t="s">
        <v>47</v>
      </c>
      <c r="V120" s="61" t="s">
        <v>45</v>
      </c>
      <c r="W120" s="9" t="s">
        <v>107</v>
      </c>
      <c r="X120" s="62" t="s">
        <v>112</v>
      </c>
      <c r="Y120" s="62" t="s">
        <v>113</v>
      </c>
      <c r="AC120" s="57" t="s">
        <v>101</v>
      </c>
      <c r="AD120">
        <f>AB116*AE116</f>
        <v>2.0757804046501911</v>
      </c>
    </row>
    <row r="121" spans="1:34" ht="16.8">
      <c r="P121">
        <v>0.67134528723108888</v>
      </c>
      <c r="Q121">
        <v>3.2563594372790244E-2</v>
      </c>
      <c r="U121">
        <v>15</v>
      </c>
      <c r="V121">
        <f>1/(273.15+U121)</f>
        <v>3.4704147145583901E-3</v>
      </c>
      <c r="W121">
        <f>$AD$121+$AD$124/$W$37*(1/$W$34-$V121)</f>
        <v>6.4611976936547286</v>
      </c>
      <c r="X121">
        <f>($AD$121+$AH$121)+($AD$124-$AH$124)/$W$37*(1/$W$34-$V121)</f>
        <v>6.6826742961449943</v>
      </c>
      <c r="Y121">
        <f>($AD$121-$AH$121)+($AD$124+$AH$124)/$W$37*(1/$W$34-$V121)</f>
        <v>6.2397210911644629</v>
      </c>
      <c r="Z121" s="34" t="s">
        <v>102</v>
      </c>
      <c r="AC121" s="58" t="s">
        <v>108</v>
      </c>
      <c r="AD121" s="1">
        <f>(AD119-AD120)/AD118</f>
        <v>6.4556148461529812</v>
      </c>
      <c r="AG121" s="59" t="s">
        <v>110</v>
      </c>
      <c r="AH121" s="1">
        <f>SQRT(AC116/AD118)</f>
        <v>0.11333732695316992</v>
      </c>
    </row>
    <row r="122" spans="1:34" ht="16.8">
      <c r="P122">
        <v>2.0427070148333324</v>
      </c>
      <c r="Q122">
        <v>1</v>
      </c>
      <c r="U122">
        <v>25</v>
      </c>
      <c r="V122">
        <f>1/(273.15+U122)</f>
        <v>3.3540164346805303E-3</v>
      </c>
      <c r="W122">
        <f>$AD$121+$AD$124/$W$37*(1/$W$34-$V122)</f>
        <v>6.4556148461529812</v>
      </c>
      <c r="X122">
        <f>($AD$121+$AH$121)+($AD$124-$AH$124)/$W$37*(1/$W$34-$V122)</f>
        <v>6.5689521731061511</v>
      </c>
      <c r="Y122">
        <f>($AD$121-$AH$121)+($AD$124+$AH$124)/$W$37*(1/$W$34-$V122)</f>
        <v>6.3422775191998113</v>
      </c>
      <c r="AC122" s="57" t="s">
        <v>103</v>
      </c>
      <c r="AD122">
        <f>AA116*AE116</f>
        <v>497.91138161477357</v>
      </c>
    </row>
    <row r="123" spans="1:34" ht="16.8">
      <c r="P123">
        <v>2.1660613492649741E-3</v>
      </c>
      <c r="Q123">
        <v>1.0603876784756165E-3</v>
      </c>
      <c r="U123">
        <v>47</v>
      </c>
      <c r="V123">
        <f>1/(273.15+U123)</f>
        <v>3.1235358425737939E-3</v>
      </c>
      <c r="W123">
        <f>$AD$121+$AD$124/$W$37*(1/$W$34-$V123)</f>
        <v>6.4445602326381204</v>
      </c>
      <c r="X123">
        <f>($AD$121+$AH$121)+($AD$124+$AH$124)/$W$37*(1/$W$34-$V123)</f>
        <v>6.7720244717925429</v>
      </c>
      <c r="Y123">
        <f>($AD$121-$AH$121)+($AD$124-$AH$124)/$W$37*(1/$W$34-$V123)</f>
        <v>6.1170959934836979</v>
      </c>
      <c r="AC123" s="57" t="s">
        <v>104</v>
      </c>
      <c r="AD123">
        <f>AB116*AD116</f>
        <v>498.30645397460592</v>
      </c>
    </row>
    <row r="124" spans="1:34" ht="16.8">
      <c r="Z124" s="34" t="s">
        <v>105</v>
      </c>
      <c r="AC124" s="60" t="s">
        <v>109</v>
      </c>
      <c r="AD124" s="1">
        <f>(AD122-AD123)/AD118</f>
        <v>-0.91825129885784162</v>
      </c>
      <c r="AG124" s="59" t="s">
        <v>106</v>
      </c>
      <c r="AH124" s="1">
        <f>SQRT(AA116/AD118)</f>
        <v>17.786448615765234</v>
      </c>
    </row>
  </sheetData>
  <hyperlinks>
    <hyperlink ref="B11" r:id="rId1" xr:uid="{3DD6E897-F0E4-404C-85FF-9A49EA08B77E}"/>
    <hyperlink ref="B12" r:id="rId2" xr:uid="{562A19F9-68C8-4A1A-B349-9577C296860F}"/>
    <hyperlink ref="B13" r:id="rId3" xr:uid="{297CEB9E-E566-4155-844B-BF5052DE24B8}"/>
    <hyperlink ref="B15" r:id="rId4" xr:uid="{85DDE6F5-1C73-42C2-94D1-F6E91350ACA8}"/>
    <hyperlink ref="B16" r:id="rId5" xr:uid="{3079F94C-A73A-4DCD-8589-832030CAD727}"/>
    <hyperlink ref="B17" r:id="rId6" xr:uid="{FF7ED3B1-F8EA-4629-AD55-718B06F2F038}"/>
    <hyperlink ref="B18" r:id="rId7" xr:uid="{876C00BD-4C21-421D-9948-FCA6A8182BA6}"/>
    <hyperlink ref="B19" r:id="rId8" xr:uid="{8DBC315E-013C-498A-AC75-6794DFEA50C7}"/>
    <hyperlink ref="B20" r:id="rId9" xr:uid="{1A43F2F4-7D94-4EB9-885B-4B80F58F0489}"/>
    <hyperlink ref="B21" r:id="rId10" xr:uid="{C525994B-FAF5-4065-B087-BC59FAA4F807}"/>
    <hyperlink ref="B23" r:id="rId11" xr:uid="{A98393C9-E9BB-44C1-A543-AB4185753F97}"/>
    <hyperlink ref="B14" r:id="rId12" xr:uid="{A251EE9B-0E55-4990-B21F-C58C4A86D50F}"/>
  </hyperlinks>
  <pageMargins left="0.7" right="0.7" top="0.75" bottom="0.75" header="0.3" footer="0.3"/>
  <pageSetup paperSize="9" orientation="portrait" r:id="rId13"/>
  <headerFooter alignWithMargins="0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/>
  </sheetViews>
  <sheetFormatPr defaultColWidth="11.5546875" defaultRowHeight="13.2"/>
  <sheetData>
    <row r="1" spans="1:6">
      <c r="A1" s="15" t="s">
        <v>57</v>
      </c>
      <c r="B1" s="2" t="s">
        <v>68</v>
      </c>
    </row>
    <row r="3" spans="1:6" ht="16.8">
      <c r="B3" s="2" t="s">
        <v>69</v>
      </c>
      <c r="E3" s="1">
        <v>2.63</v>
      </c>
      <c r="F3" s="2" t="s">
        <v>69</v>
      </c>
    </row>
    <row r="4" spans="1:6" ht="16.8">
      <c r="E4" s="42">
        <v>-8.5</v>
      </c>
      <c r="F4" s="2" t="s">
        <v>70</v>
      </c>
    </row>
    <row r="5" spans="1:6" ht="16.8">
      <c r="B5" s="3" t="s">
        <v>71</v>
      </c>
      <c r="E5">
        <v>-12.35</v>
      </c>
      <c r="F5" s="2" t="s">
        <v>72</v>
      </c>
    </row>
    <row r="6" spans="1:6">
      <c r="B6" s="14">
        <v>2.65</v>
      </c>
    </row>
    <row r="7" spans="1:6" ht="16.8">
      <c r="B7" s="14">
        <v>2.96</v>
      </c>
      <c r="E7" s="1">
        <f>E3+E4-E5</f>
        <v>6.4799999999999995</v>
      </c>
      <c r="F7" s="2" t="s">
        <v>73</v>
      </c>
    </row>
    <row r="8" spans="1:6">
      <c r="B8" s="14">
        <v>2.6</v>
      </c>
    </row>
    <row r="9" spans="1:6">
      <c r="B9" s="14">
        <v>2.44</v>
      </c>
    </row>
    <row r="10" spans="1:6">
      <c r="B10" s="14">
        <v>2.56</v>
      </c>
    </row>
    <row r="11" spans="1:6">
      <c r="B11" s="14">
        <v>2.79</v>
      </c>
    </row>
    <row r="12" spans="1:6">
      <c r="B12" s="14">
        <v>2.61</v>
      </c>
    </row>
    <row r="13" spans="1:6">
      <c r="B13" s="14">
        <v>2.52</v>
      </c>
    </row>
    <row r="14" spans="1:6">
      <c r="B14" s="14">
        <v>2.36</v>
      </c>
    </row>
    <row r="15" spans="1:6">
      <c r="B15" s="14">
        <v>2.5</v>
      </c>
    </row>
    <row r="16" spans="1:6">
      <c r="B16" s="14">
        <v>2.68</v>
      </c>
    </row>
    <row r="17" spans="1:2">
      <c r="B17" s="14">
        <v>2.68</v>
      </c>
    </row>
    <row r="18" spans="1:2">
      <c r="B18" s="14">
        <v>2.82</v>
      </c>
    </row>
    <row r="19" spans="1:2">
      <c r="B19" s="14">
        <v>2.72</v>
      </c>
    </row>
    <row r="20" spans="1:2">
      <c r="B20" s="14">
        <v>2.73</v>
      </c>
    </row>
    <row r="21" spans="1:2">
      <c r="B21" s="14">
        <v>2.4900000000000002</v>
      </c>
    </row>
    <row r="23" spans="1:2">
      <c r="A23" s="3" t="s">
        <v>74</v>
      </c>
      <c r="B23" s="41">
        <f>AVERAGE(B6:B21)</f>
        <v>2.6318749999999995</v>
      </c>
    </row>
    <row r="24" spans="1:2">
      <c r="A24" s="3" t="s">
        <v>75</v>
      </c>
      <c r="B24" s="41">
        <f>STDEV(B6:B21)</f>
        <v>0.15445468591143488</v>
      </c>
    </row>
    <row r="25" spans="1:2">
      <c r="A25" s="34"/>
    </row>
    <row r="26" spans="1:2">
      <c r="A26" s="3" t="s">
        <v>76</v>
      </c>
      <c r="B26" s="14">
        <f>MIN(B6:B21)</f>
        <v>2.36</v>
      </c>
    </row>
    <row r="27" spans="1:2">
      <c r="A27" s="3" t="s">
        <v>77</v>
      </c>
      <c r="B27" s="14">
        <f>MAX(B6:B21)</f>
        <v>2.96</v>
      </c>
    </row>
  </sheetData>
  <pageMargins left="0.7" right="0.7" top="0.78740157499999996" bottom="0.78740157499999996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workbookViewId="0"/>
  </sheetViews>
  <sheetFormatPr defaultColWidth="11.5546875" defaultRowHeight="13.2"/>
  <cols>
    <col min="1" max="1" width="12.6640625" customWidth="1"/>
  </cols>
  <sheetData>
    <row r="1" spans="1:10">
      <c r="A1" s="15" t="s">
        <v>60</v>
      </c>
      <c r="B1" s="65" t="s">
        <v>137</v>
      </c>
    </row>
    <row r="2" spans="1:10" ht="13.8">
      <c r="B2" s="3" t="s">
        <v>78</v>
      </c>
      <c r="C2" s="34" t="s">
        <v>79</v>
      </c>
      <c r="D2" s="43" t="s">
        <v>37</v>
      </c>
      <c r="E2" s="43"/>
      <c r="F2" s="43"/>
      <c r="G2" s="34" t="s">
        <v>80</v>
      </c>
      <c r="H2" s="43" t="s">
        <v>37</v>
      </c>
    </row>
    <row r="3" spans="1:10">
      <c r="A3" s="2" t="s">
        <v>81</v>
      </c>
      <c r="B3">
        <v>5</v>
      </c>
      <c r="C3">
        <v>240</v>
      </c>
      <c r="D3" s="44">
        <v>30</v>
      </c>
      <c r="E3" s="44"/>
      <c r="F3" s="44"/>
      <c r="G3">
        <v>5.2</v>
      </c>
      <c r="H3" s="44">
        <v>0.7</v>
      </c>
    </row>
    <row r="4" spans="1:10">
      <c r="A4" s="2"/>
      <c r="D4" s="44"/>
      <c r="E4" s="44"/>
      <c r="F4" s="44"/>
      <c r="H4" s="44"/>
    </row>
    <row r="5" spans="1:10">
      <c r="A5" s="2" t="s">
        <v>81</v>
      </c>
      <c r="B5">
        <v>15</v>
      </c>
      <c r="C5">
        <v>190</v>
      </c>
      <c r="D5" s="44">
        <v>20</v>
      </c>
      <c r="E5" s="44"/>
      <c r="F5" s="44"/>
      <c r="G5">
        <v>9.6</v>
      </c>
      <c r="H5" s="44">
        <v>0.6</v>
      </c>
    </row>
    <row r="6" spans="1:10" ht="16.8">
      <c r="A6" s="2"/>
      <c r="D6" s="44"/>
      <c r="E6" s="4" t="s">
        <v>82</v>
      </c>
      <c r="F6" s="35" t="s">
        <v>83</v>
      </c>
      <c r="H6" s="44"/>
      <c r="I6" s="4" t="s">
        <v>82</v>
      </c>
      <c r="J6" s="35" t="s">
        <v>83</v>
      </c>
    </row>
    <row r="7" spans="1:10">
      <c r="A7" s="2" t="s">
        <v>81</v>
      </c>
      <c r="B7">
        <v>25</v>
      </c>
      <c r="C7">
        <v>370</v>
      </c>
      <c r="D7" s="44">
        <v>60</v>
      </c>
      <c r="E7" s="44">
        <f>C7/D7^2</f>
        <v>0.10277777777777777</v>
      </c>
      <c r="F7" s="44">
        <f>1/D7^2</f>
        <v>2.7777777777777778E-4</v>
      </c>
      <c r="G7">
        <v>9.9</v>
      </c>
      <c r="H7" s="44">
        <v>1</v>
      </c>
      <c r="I7" s="44">
        <f>G7/H7^2</f>
        <v>9.9</v>
      </c>
      <c r="J7" s="44">
        <f>1/H7^2</f>
        <v>1</v>
      </c>
    </row>
    <row r="8" spans="1:10">
      <c r="A8" s="2" t="s">
        <v>84</v>
      </c>
      <c r="B8">
        <v>25</v>
      </c>
      <c r="C8">
        <v>340</v>
      </c>
      <c r="D8" s="44">
        <v>50</v>
      </c>
      <c r="E8" s="44">
        <f>C8/D8^2</f>
        <v>0.13600000000000001</v>
      </c>
      <c r="F8" s="44">
        <f>1/D8^2</f>
        <v>4.0000000000000002E-4</v>
      </c>
      <c r="G8">
        <v>7.5</v>
      </c>
      <c r="H8" s="44">
        <v>1</v>
      </c>
      <c r="I8" s="44">
        <f>G8/H8^2</f>
        <v>7.5</v>
      </c>
      <c r="J8" s="44">
        <f>1/H8^2</f>
        <v>1</v>
      </c>
    </row>
    <row r="9" spans="1:10">
      <c r="A9" s="2" t="s">
        <v>85</v>
      </c>
      <c r="B9">
        <v>25</v>
      </c>
      <c r="C9">
        <v>590</v>
      </c>
      <c r="D9" s="44">
        <v>170</v>
      </c>
      <c r="E9" s="44">
        <f>C9/D9^2</f>
        <v>2.041522491349481E-2</v>
      </c>
      <c r="F9" s="44">
        <f>1/D9^2</f>
        <v>3.4602076124567477E-5</v>
      </c>
      <c r="G9">
        <v>11</v>
      </c>
      <c r="H9" s="44">
        <v>2</v>
      </c>
      <c r="I9" s="44">
        <f>G9/H9^2</f>
        <v>2.75</v>
      </c>
      <c r="J9" s="44">
        <f>1/H9^2</f>
        <v>0.25</v>
      </c>
    </row>
    <row r="10" spans="1:10">
      <c r="A10" s="2"/>
      <c r="B10" s="3" t="s">
        <v>86</v>
      </c>
      <c r="C10" s="45">
        <f>AVERAGE(C7:C9)</f>
        <v>433.33333333333331</v>
      </c>
      <c r="D10" s="47">
        <f>STDEV(C7:C9)</f>
        <v>136.50396819628838</v>
      </c>
      <c r="G10" s="46">
        <f>AVERAGE(G7:G9)</f>
        <v>9.4666666666666668</v>
      </c>
      <c r="H10" s="48">
        <f>STDEV(G7:G9)</f>
        <v>1.7897858344878439</v>
      </c>
    </row>
    <row r="11" spans="1:10">
      <c r="A11" s="2"/>
      <c r="B11" s="3" t="s">
        <v>87</v>
      </c>
      <c r="C11" s="45">
        <f>E11/F11</f>
        <v>363.84100599060935</v>
      </c>
      <c r="D11" s="47">
        <f>SQRT(1/F11)</f>
        <v>37.466591519089206</v>
      </c>
      <c r="E11" s="44">
        <f>SUM(E7:E9)</f>
        <v>0.2591930026912726</v>
      </c>
      <c r="F11" s="44">
        <f>SUM(F7:F9)</f>
        <v>7.1237985390234528E-4</v>
      </c>
      <c r="G11" s="46">
        <f>I11/J11</f>
        <v>8.9555555555555557</v>
      </c>
      <c r="H11" s="48">
        <f>SQRT(1/J11)</f>
        <v>0.66666666666666663</v>
      </c>
      <c r="I11" s="44">
        <f>SUM(I7:I9)</f>
        <v>20.149999999999999</v>
      </c>
      <c r="J11" s="44">
        <f>SUM(J7:J9)</f>
        <v>2.25</v>
      </c>
    </row>
    <row r="12" spans="1:10">
      <c r="A12" s="2"/>
      <c r="C12" s="45"/>
      <c r="D12" s="44"/>
      <c r="E12" s="44"/>
      <c r="F12" s="44"/>
      <c r="G12" s="46"/>
      <c r="H12" s="44"/>
      <c r="I12" s="44"/>
      <c r="J12" s="44"/>
    </row>
    <row r="13" spans="1:10">
      <c r="A13" s="2" t="s">
        <v>81</v>
      </c>
      <c r="B13">
        <v>37</v>
      </c>
      <c r="C13">
        <v>310</v>
      </c>
      <c r="D13" s="44">
        <v>90</v>
      </c>
      <c r="E13" s="44">
        <f>C13/D13^2</f>
        <v>3.8271604938271607E-2</v>
      </c>
      <c r="F13" s="44">
        <f>1/D13^2</f>
        <v>1.2345679012345679E-4</v>
      </c>
      <c r="G13">
        <v>14.6</v>
      </c>
      <c r="H13" s="44">
        <v>1.5</v>
      </c>
      <c r="I13" s="44">
        <f>G13/H13^2</f>
        <v>6.4888888888888889</v>
      </c>
      <c r="J13" s="44">
        <f>1/H13^2</f>
        <v>0.44444444444444442</v>
      </c>
    </row>
    <row r="14" spans="1:10">
      <c r="A14" s="2" t="s">
        <v>84</v>
      </c>
      <c r="B14">
        <v>37</v>
      </c>
      <c r="C14">
        <v>460</v>
      </c>
      <c r="D14" s="44">
        <v>60</v>
      </c>
      <c r="E14" s="44">
        <f>C14/D14^2</f>
        <v>0.12777777777777777</v>
      </c>
      <c r="F14" s="44">
        <f>1/D14^2</f>
        <v>2.7777777777777778E-4</v>
      </c>
      <c r="G14">
        <v>8.4</v>
      </c>
      <c r="H14" s="44">
        <v>0.7</v>
      </c>
      <c r="I14" s="44">
        <f>G14/H14^2</f>
        <v>17.142857142857146</v>
      </c>
      <c r="J14" s="44">
        <f>1/H14^2</f>
        <v>2.0408163265306127</v>
      </c>
    </row>
    <row r="15" spans="1:10">
      <c r="A15" s="2" t="s">
        <v>85</v>
      </c>
      <c r="B15">
        <v>37</v>
      </c>
      <c r="C15">
        <v>460</v>
      </c>
      <c r="D15" s="44">
        <v>110</v>
      </c>
      <c r="E15" s="44">
        <f>C15/D15^2</f>
        <v>3.8016528925619832E-2</v>
      </c>
      <c r="F15" s="44">
        <f>1/D15^2</f>
        <v>8.264462809917356E-5</v>
      </c>
      <c r="G15">
        <v>9.5</v>
      </c>
      <c r="H15" s="44">
        <v>1.7</v>
      </c>
      <c r="I15" s="44">
        <f>G15/H15^2</f>
        <v>3.2871972318339102</v>
      </c>
      <c r="J15" s="44">
        <f>1/H15^2</f>
        <v>0.34602076124567477</v>
      </c>
    </row>
    <row r="16" spans="1:10">
      <c r="B16" s="3" t="s">
        <v>86</v>
      </c>
      <c r="C16">
        <f>AVERAGE(C13:C15)</f>
        <v>410</v>
      </c>
      <c r="D16" s="47">
        <f>STDEV(C13:C15)</f>
        <v>86.602540378443862</v>
      </c>
      <c r="G16" s="46">
        <f>AVERAGE(G13:G15)</f>
        <v>10.833333333333334</v>
      </c>
      <c r="H16" s="48">
        <f>STDEV(G13:G15)</f>
        <v>3.3080709383768294</v>
      </c>
    </row>
    <row r="17" spans="1:10">
      <c r="B17" s="3" t="s">
        <v>87</v>
      </c>
      <c r="C17" s="45">
        <f>E17/F17</f>
        <v>421.72904586188713</v>
      </c>
      <c r="D17" s="47">
        <f>SQRT(1/F17)</f>
        <v>45.460219131215055</v>
      </c>
      <c r="E17" s="44">
        <f>SUM(E13:E15)</f>
        <v>0.20406591164166921</v>
      </c>
      <c r="F17" s="44">
        <f>SUM(F13:F15)</f>
        <v>4.8387919600040817E-4</v>
      </c>
      <c r="G17" s="46">
        <f>I17/J17</f>
        <v>9.5076886410748127</v>
      </c>
      <c r="H17" s="48">
        <f>SQRT(1/J17)</f>
        <v>0.59430375177533978</v>
      </c>
      <c r="I17" s="44">
        <f>SUM(I13:I15)</f>
        <v>26.918943263579944</v>
      </c>
      <c r="J17" s="44">
        <f>SUM(J13:J15)</f>
        <v>2.8312815322207321</v>
      </c>
    </row>
    <row r="18" spans="1:10">
      <c r="B18" s="3"/>
      <c r="C18" s="45"/>
      <c r="D18" s="47"/>
      <c r="E18" s="44"/>
      <c r="F18" s="44"/>
      <c r="G18" s="46"/>
      <c r="H18" s="48"/>
      <c r="I18" s="44"/>
      <c r="J18" s="44"/>
    </row>
    <row r="19" spans="1:10" ht="15.6">
      <c r="C19" s="3" t="s">
        <v>89</v>
      </c>
      <c r="D19" s="43" t="s">
        <v>37</v>
      </c>
      <c r="G19" s="3" t="s">
        <v>90</v>
      </c>
      <c r="H19" s="43" t="s">
        <v>37</v>
      </c>
    </row>
    <row r="20" spans="1:10">
      <c r="A20" s="2" t="s">
        <v>81</v>
      </c>
      <c r="B20">
        <v>5</v>
      </c>
      <c r="C20" s="14">
        <f>LOG(C3)</f>
        <v>2.3802112417116059</v>
      </c>
      <c r="D20" s="49">
        <f>(LOG(C3+D3)-LOG(C3-D3))/2</f>
        <v>5.457223471253414E-2</v>
      </c>
      <c r="G20" s="14">
        <f>LOG(G3)</f>
        <v>0.71600334363479923</v>
      </c>
      <c r="H20" s="49">
        <f>(LOG(G3+H3)-LOG(G3-H3))/2</f>
        <v>5.8819748933400251E-2</v>
      </c>
    </row>
    <row r="21" spans="1:10">
      <c r="A21" s="2"/>
    </row>
    <row r="22" spans="1:10">
      <c r="A22" s="2" t="s">
        <v>81</v>
      </c>
      <c r="B22">
        <v>15</v>
      </c>
      <c r="C22" s="14">
        <f>LOG(C5)</f>
        <v>2.2787536009528289</v>
      </c>
      <c r="D22" s="49">
        <f>(LOG(C5+D5)-LOG(C5-D5))/2</f>
        <v>4.5885186677822487E-2</v>
      </c>
      <c r="G22" s="14">
        <f>LOG(G5)</f>
        <v>0.98227123303956843</v>
      </c>
      <c r="H22" s="49">
        <f>(LOG(G5+H5)-LOG(G5-H5))/2</f>
        <v>2.7178831161296324E-2</v>
      </c>
    </row>
    <row r="23" spans="1:10">
      <c r="A23" s="2"/>
    </row>
    <row r="24" spans="1:10">
      <c r="A24" s="2" t="s">
        <v>81</v>
      </c>
      <c r="B24">
        <v>25</v>
      </c>
      <c r="C24" s="14">
        <f t="shared" ref="C24:C34" si="0">LOG(C7)</f>
        <v>2.568201724066995</v>
      </c>
      <c r="D24" s="49">
        <f>(LOG(C7+D7)-LOG(C7-D7))/2</f>
        <v>7.1053380872657002E-2</v>
      </c>
      <c r="G24" s="14">
        <f t="shared" ref="G24:G34" si="1">LOG(G7)</f>
        <v>0.9956351945975499</v>
      </c>
      <c r="H24" s="49">
        <f>(LOG(G7+H7)-LOG(G7-H7))/2</f>
        <v>4.4018245647855392E-2</v>
      </c>
    </row>
    <row r="25" spans="1:10">
      <c r="A25" s="2" t="s">
        <v>84</v>
      </c>
      <c r="B25">
        <v>25</v>
      </c>
      <c r="C25" s="14">
        <f t="shared" si="0"/>
        <v>2.5314789170422549</v>
      </c>
      <c r="D25" s="49">
        <f>(LOG(C8+D8)-LOG(C8-D8))/2</f>
        <v>6.433330456377151E-2</v>
      </c>
      <c r="G25" s="14">
        <f t="shared" si="1"/>
        <v>0.87506126339170009</v>
      </c>
      <c r="H25" s="49">
        <f>(LOG(G8+H8)-LOG(G8-H8))/2</f>
        <v>5.8252784535718583E-2</v>
      </c>
    </row>
    <row r="26" spans="1:10">
      <c r="A26" s="2" t="s">
        <v>85</v>
      </c>
      <c r="B26">
        <v>25</v>
      </c>
      <c r="C26" s="14">
        <f t="shared" si="0"/>
        <v>2.7708520116421442</v>
      </c>
      <c r="D26" s="49">
        <f>(LOG(C9+D9)-LOG(C9-D9))/2</f>
        <v>0.12878215094144552</v>
      </c>
      <c r="G26" s="14">
        <f t="shared" si="1"/>
        <v>1.0413926851582251</v>
      </c>
      <c r="H26" s="49">
        <f>(LOG(G9+H9)-LOG(G9-H9))/2</f>
        <v>7.9850421433755925E-2</v>
      </c>
    </row>
    <row r="27" spans="1:10">
      <c r="A27" s="2"/>
      <c r="B27" s="3" t="s">
        <v>86</v>
      </c>
      <c r="C27" s="14">
        <f t="shared" si="0"/>
        <v>2.6368220975871743</v>
      </c>
      <c r="D27" s="49">
        <f>(LOG(C10+D10)-LOG(C10-D10))/2</f>
        <v>0.14162200576547712</v>
      </c>
      <c r="G27" s="14">
        <f t="shared" si="1"/>
        <v>0.97619708532737526</v>
      </c>
      <c r="H27" s="49">
        <f>(LOG(G10+H10)-LOG(G10-H10))/2</f>
        <v>8.3108371984729534E-2</v>
      </c>
    </row>
    <row r="28" spans="1:10">
      <c r="A28" s="2"/>
      <c r="B28" s="3" t="s">
        <v>87</v>
      </c>
      <c r="C28" s="14">
        <f t="shared" si="0"/>
        <v>2.560911643798006</v>
      </c>
      <c r="D28" s="49">
        <f>(LOG(C11+D11)-LOG(C11-D11))/2</f>
        <v>4.4880638067455125E-2</v>
      </c>
      <c r="G28" s="14">
        <f t="shared" si="1"/>
        <v>0.95209253236576574</v>
      </c>
      <c r="H28" s="49">
        <f>(LOG(G11+H11)-LOG(G11-H11))/2</f>
        <v>3.2389532272338872E-2</v>
      </c>
    </row>
    <row r="29" spans="1:10">
      <c r="A29" s="2"/>
    </row>
    <row r="30" spans="1:10">
      <c r="A30" s="2" t="s">
        <v>81</v>
      </c>
      <c r="B30">
        <v>37</v>
      </c>
      <c r="C30" s="14">
        <f t="shared" si="0"/>
        <v>2.4913616938342726</v>
      </c>
      <c r="D30" s="49">
        <f>(LOG(C13+D13)-LOG(C13-D13))/2</f>
        <v>0.12981865525287817</v>
      </c>
      <c r="G30" s="14">
        <f t="shared" si="1"/>
        <v>1.1643528557844371</v>
      </c>
      <c r="H30" s="49">
        <f>(LOG(G13+H13)-LOG(G13-H13))/2</f>
        <v>4.4777290188042773E-2</v>
      </c>
    </row>
    <row r="31" spans="1:10">
      <c r="A31" s="2" t="s">
        <v>84</v>
      </c>
      <c r="B31">
        <v>37</v>
      </c>
      <c r="C31" s="14">
        <f t="shared" si="0"/>
        <v>2.6627578316815739</v>
      </c>
      <c r="D31" s="49">
        <f>(LOG(C14+D14)-LOG(C14-D14))/2</f>
        <v>5.6971676153418249E-2</v>
      </c>
      <c r="G31" s="14">
        <f t="shared" si="1"/>
        <v>0.9242792860618817</v>
      </c>
      <c r="H31" s="49">
        <f>(LOG(G14+H14)-LOG(G14-H14))/2</f>
        <v>3.6275333574305846E-2</v>
      </c>
    </row>
    <row r="32" spans="1:10">
      <c r="A32" s="2" t="s">
        <v>85</v>
      </c>
      <c r="B32">
        <v>37</v>
      </c>
      <c r="C32" s="14">
        <f t="shared" si="0"/>
        <v>2.6627578316815739</v>
      </c>
      <c r="D32" s="49">
        <f>(LOG(C15+D15)-LOG(C15-D15))/2</f>
        <v>0.1059034056611079</v>
      </c>
      <c r="G32" s="14">
        <f t="shared" si="1"/>
        <v>0.97772360528884772</v>
      </c>
      <c r="H32" s="49">
        <f>(LOG(G15+H15)-LOG(G15-H15))/2</f>
        <v>7.856170998985057E-2</v>
      </c>
    </row>
    <row r="33" spans="2:8">
      <c r="B33" s="3" t="s">
        <v>86</v>
      </c>
      <c r="C33" s="14">
        <f t="shared" si="0"/>
        <v>2.6127838567197355</v>
      </c>
      <c r="D33" s="49">
        <f>(LOG(C16+D16)-LOG(C16-D16))/2</f>
        <v>9.3136166393445352E-2</v>
      </c>
      <c r="G33" s="14">
        <f t="shared" si="1"/>
        <v>1.0347621062592121</v>
      </c>
      <c r="H33" s="49">
        <f>(LOG(G16+H16)-LOG(G16-H16))/2</f>
        <v>0.13698544511345356</v>
      </c>
    </row>
    <row r="34" spans="2:8">
      <c r="B34" s="3" t="s">
        <v>87</v>
      </c>
      <c r="C34" s="14">
        <f t="shared" si="0"/>
        <v>2.6250335133296137</v>
      </c>
      <c r="D34" s="49">
        <f>(LOG(C17+D17)-LOG(C17-D17))/2</f>
        <v>4.6997307927626242E-2</v>
      </c>
      <c r="G34" s="14">
        <f t="shared" si="1"/>
        <v>0.97807495096135932</v>
      </c>
      <c r="H34" s="49">
        <f>(LOG(G17+H17)-LOG(G17-H17))/2</f>
        <v>2.7182188459320966E-2</v>
      </c>
    </row>
  </sheetData>
  <pageMargins left="0.7" right="0.7" top="0.78740157499999996" bottom="0.78740157499999996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CaPO4</vt:lpstr>
      <vt:lpstr>1963GRE</vt:lpstr>
      <vt:lpstr>1971MCD_BRO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2023-12-16T15:39:43Z</dcterms:modified>
</cp:coreProperties>
</file>