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\OneDrive\Desktop\"/>
    </mc:Choice>
  </mc:AlternateContent>
  <xr:revisionPtr revIDLastSave="0" documentId="13_ncr:1_{F3395B94-9484-48E6-99F6-2FC204FD2E1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yllabus" sheetId="1" r:id="rId1"/>
    <sheet name="BAML_Data" sheetId="2" state="hidden" r:id="rId2"/>
    <sheet name="Source" sheetId="3" state="hidden" r:id="rId3"/>
    <sheet name="BAML_Data_(2)" sheetId="4" r:id="rId4"/>
    <sheet name="BAML_Data_(3)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4" l="1"/>
  <c r="I9" i="4"/>
  <c r="I10" i="4"/>
  <c r="I11" i="4"/>
  <c r="I7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N2" i="4"/>
  <c r="M2" i="4"/>
  <c r="F11" i="4"/>
  <c r="F10" i="4"/>
  <c r="F9" i="4"/>
  <c r="F8" i="4"/>
  <c r="F7" i="4"/>
  <c r="E2" i="4"/>
  <c r="F6" i="4"/>
  <c r="F5" i="4"/>
  <c r="F4" i="4"/>
  <c r="F3" i="4"/>
  <c r="F2" i="4"/>
  <c r="I6" i="4"/>
  <c r="I5" i="4"/>
  <c r="I4" i="4"/>
  <c r="I2" i="4"/>
  <c r="I3" i="4"/>
  <c r="L6" i="4"/>
  <c r="L5" i="4"/>
  <c r="L4" i="4"/>
  <c r="L3" i="4"/>
  <c r="L2" i="4"/>
  <c r="H6" i="4"/>
  <c r="H5" i="4"/>
  <c r="H4" i="4"/>
  <c r="H3" i="4"/>
  <c r="H2" i="4"/>
  <c r="E4" i="4"/>
  <c r="E3" i="4"/>
  <c r="I37" i="4"/>
  <c r="I38" i="4"/>
  <c r="I39" i="4"/>
  <c r="I40" i="4"/>
  <c r="I41" i="4"/>
  <c r="L37" i="4"/>
  <c r="L38" i="4"/>
  <c r="L39" i="4"/>
  <c r="L40" i="4"/>
  <c r="L41" i="4"/>
  <c r="L32" i="4"/>
  <c r="L33" i="4"/>
  <c r="L34" i="4"/>
  <c r="L35" i="4"/>
  <c r="L36" i="4"/>
  <c r="L48" i="4"/>
  <c r="L49" i="4"/>
  <c r="L50" i="4"/>
  <c r="L51" i="4"/>
  <c r="L47" i="4"/>
  <c r="I48" i="4"/>
  <c r="I49" i="4"/>
  <c r="I50" i="4"/>
  <c r="I51" i="4"/>
  <c r="I47" i="4"/>
  <c r="F48" i="4"/>
  <c r="F49" i="4"/>
  <c r="F50" i="4"/>
  <c r="F51" i="4"/>
  <c r="F47" i="4"/>
  <c r="I43" i="4"/>
  <c r="I44" i="4"/>
  <c r="I45" i="4"/>
  <c r="I46" i="4"/>
  <c r="L43" i="4"/>
  <c r="L44" i="4"/>
  <c r="L45" i="4"/>
  <c r="L46" i="4"/>
  <c r="L42" i="4"/>
  <c r="L8" i="4"/>
  <c r="L9" i="4"/>
  <c r="L10" i="4"/>
  <c r="L11" i="4"/>
  <c r="L7" i="4"/>
  <c r="L23" i="4"/>
  <c r="L24" i="4"/>
  <c r="L25" i="4"/>
  <c r="L26" i="4"/>
  <c r="L27" i="4"/>
  <c r="L28" i="4"/>
  <c r="L29" i="4"/>
  <c r="L30" i="4"/>
  <c r="L31" i="4"/>
  <c r="L22" i="4"/>
  <c r="L18" i="4"/>
  <c r="L19" i="4"/>
  <c r="L20" i="4"/>
  <c r="L21" i="4"/>
  <c r="L17" i="4"/>
  <c r="I18" i="4"/>
  <c r="I19" i="4"/>
  <c r="I20" i="4"/>
  <c r="I21" i="4"/>
  <c r="I17" i="4"/>
  <c r="F18" i="4"/>
  <c r="F19" i="4"/>
  <c r="F20" i="4"/>
  <c r="F21" i="4"/>
  <c r="F17" i="4"/>
  <c r="F17" i="5"/>
  <c r="M53" i="5"/>
  <c r="M52" i="5"/>
  <c r="M51" i="5"/>
  <c r="M50" i="5"/>
  <c r="M49" i="5"/>
  <c r="M48" i="5"/>
  <c r="M47" i="5"/>
  <c r="M46" i="5"/>
  <c r="N46" i="5" s="1"/>
  <c r="N45" i="5"/>
  <c r="M45" i="5"/>
  <c r="N44" i="5"/>
  <c r="M44" i="5"/>
  <c r="N43" i="5"/>
  <c r="M43" i="5"/>
  <c r="M42" i="5"/>
  <c r="G42" i="5"/>
  <c r="N42" i="5" s="1"/>
  <c r="K41" i="5"/>
  <c r="J41" i="5"/>
  <c r="M41" i="5" s="1"/>
  <c r="I41" i="5"/>
  <c r="H41" i="5"/>
  <c r="G41" i="5"/>
  <c r="F41" i="5"/>
  <c r="E41" i="5"/>
  <c r="K40" i="5"/>
  <c r="M40" i="5" s="1"/>
  <c r="J40" i="5"/>
  <c r="I40" i="5"/>
  <c r="H40" i="5"/>
  <c r="E40" i="5"/>
  <c r="G40" i="5" s="1"/>
  <c r="M39" i="5"/>
  <c r="K39" i="5"/>
  <c r="J39" i="5"/>
  <c r="I39" i="5"/>
  <c r="H39" i="5"/>
  <c r="E39" i="5"/>
  <c r="G39" i="5" s="1"/>
  <c r="K38" i="5"/>
  <c r="J38" i="5"/>
  <c r="M38" i="5" s="1"/>
  <c r="I38" i="5"/>
  <c r="F38" i="5"/>
  <c r="G38" i="5" s="1"/>
  <c r="E38" i="5"/>
  <c r="M37" i="5"/>
  <c r="K37" i="5"/>
  <c r="J37" i="5"/>
  <c r="F37" i="5"/>
  <c r="G37" i="5" s="1"/>
  <c r="E37" i="5"/>
  <c r="K36" i="5"/>
  <c r="J36" i="5"/>
  <c r="M36" i="5" s="1"/>
  <c r="I36" i="5"/>
  <c r="H36" i="5"/>
  <c r="G36" i="5"/>
  <c r="F36" i="5"/>
  <c r="E36" i="5"/>
  <c r="K35" i="5"/>
  <c r="J35" i="5"/>
  <c r="M35" i="5" s="1"/>
  <c r="N35" i="5" s="1"/>
  <c r="I35" i="5"/>
  <c r="H35" i="5"/>
  <c r="F35" i="5"/>
  <c r="G35" i="5" s="1"/>
  <c r="E35" i="5"/>
  <c r="C35" i="5"/>
  <c r="M34" i="5"/>
  <c r="K34" i="5"/>
  <c r="N34" i="5" s="1"/>
  <c r="J34" i="5"/>
  <c r="I34" i="5"/>
  <c r="H34" i="5"/>
  <c r="F34" i="5"/>
  <c r="E34" i="5"/>
  <c r="G34" i="5" s="1"/>
  <c r="C34" i="5"/>
  <c r="M33" i="5"/>
  <c r="N33" i="5" s="1"/>
  <c r="K33" i="5"/>
  <c r="J33" i="5"/>
  <c r="I33" i="5"/>
  <c r="H33" i="5"/>
  <c r="F33" i="5"/>
  <c r="E33" i="5"/>
  <c r="G33" i="5" s="1"/>
  <c r="C33" i="5"/>
  <c r="M32" i="5"/>
  <c r="K32" i="5"/>
  <c r="J32" i="5"/>
  <c r="I32" i="5"/>
  <c r="H32" i="5"/>
  <c r="F32" i="5"/>
  <c r="G32" i="5" s="1"/>
  <c r="N32" i="5" s="1"/>
  <c r="E32" i="5"/>
  <c r="C32" i="5"/>
  <c r="G31" i="5"/>
  <c r="I31" i="5" s="1"/>
  <c r="G30" i="5"/>
  <c r="I30" i="5" s="1"/>
  <c r="G29" i="5"/>
  <c r="I29" i="5" s="1"/>
  <c r="G28" i="5"/>
  <c r="I28" i="5" s="1"/>
  <c r="N27" i="5"/>
  <c r="I27" i="5"/>
  <c r="G27" i="5"/>
  <c r="G26" i="5"/>
  <c r="I26" i="5" s="1"/>
  <c r="G25" i="5"/>
  <c r="I25" i="5" s="1"/>
  <c r="I24" i="5"/>
  <c r="G24" i="5"/>
  <c r="I23" i="5"/>
  <c r="G23" i="5"/>
  <c r="N22" i="5"/>
  <c r="G22" i="5"/>
  <c r="I22" i="5" s="1"/>
  <c r="M21" i="5"/>
  <c r="N21" i="5" s="1"/>
  <c r="H21" i="5"/>
  <c r="I21" i="5" s="1"/>
  <c r="F21" i="5"/>
  <c r="N20" i="5"/>
  <c r="M20" i="5"/>
  <c r="I20" i="5"/>
  <c r="H20" i="5"/>
  <c r="F20" i="5"/>
  <c r="M19" i="5"/>
  <c r="N19" i="5" s="1"/>
  <c r="H19" i="5"/>
  <c r="I19" i="5" s="1"/>
  <c r="F19" i="5"/>
  <c r="M18" i="5"/>
  <c r="N18" i="5" s="1"/>
  <c r="I18" i="5"/>
  <c r="H18" i="5"/>
  <c r="F18" i="5"/>
  <c r="M17" i="5"/>
  <c r="N17" i="5" s="1"/>
  <c r="H17" i="5"/>
  <c r="I17" i="5" s="1"/>
  <c r="M16" i="5"/>
  <c r="N16" i="5" s="1"/>
  <c r="L16" i="5"/>
  <c r="G16" i="5"/>
  <c r="I16" i="5" s="1"/>
  <c r="M15" i="5"/>
  <c r="N15" i="5" s="1"/>
  <c r="L15" i="5"/>
  <c r="I15" i="5"/>
  <c r="G15" i="5"/>
  <c r="N14" i="5"/>
  <c r="M14" i="5"/>
  <c r="L14" i="5"/>
  <c r="G14" i="5"/>
  <c r="I14" i="5" s="1"/>
  <c r="M13" i="5"/>
  <c r="N13" i="5" s="1"/>
  <c r="L13" i="5"/>
  <c r="I13" i="5"/>
  <c r="G13" i="5"/>
  <c r="N12" i="5"/>
  <c r="M12" i="5"/>
  <c r="L12" i="5"/>
  <c r="G12" i="5"/>
  <c r="I12" i="5" s="1"/>
  <c r="M11" i="5"/>
  <c r="F11" i="5"/>
  <c r="N11" i="5" s="1"/>
  <c r="N10" i="5"/>
  <c r="M10" i="5"/>
  <c r="F10" i="5"/>
  <c r="M9" i="5"/>
  <c r="F9" i="5"/>
  <c r="N9" i="5" s="1"/>
  <c r="M8" i="5"/>
  <c r="F8" i="5"/>
  <c r="N8" i="5" s="1"/>
  <c r="M7" i="5"/>
  <c r="F7" i="5"/>
  <c r="N7" i="5" s="1"/>
  <c r="N6" i="5"/>
  <c r="M6" i="5"/>
  <c r="L6" i="5"/>
  <c r="H6" i="5"/>
  <c r="I6" i="5" s="1"/>
  <c r="F6" i="5"/>
  <c r="M5" i="5"/>
  <c r="L5" i="5"/>
  <c r="H5" i="5"/>
  <c r="I5" i="5" s="1"/>
  <c r="F5" i="5"/>
  <c r="N5" i="5" s="1"/>
  <c r="M4" i="5"/>
  <c r="L4" i="5"/>
  <c r="H4" i="5"/>
  <c r="I4" i="5" s="1"/>
  <c r="E4" i="5"/>
  <c r="F4" i="5" s="1"/>
  <c r="N4" i="5" s="1"/>
  <c r="M3" i="5"/>
  <c r="L3" i="5"/>
  <c r="H3" i="5"/>
  <c r="I3" i="5" s="1"/>
  <c r="F3" i="5"/>
  <c r="N3" i="5" s="1"/>
  <c r="E3" i="5"/>
  <c r="M2" i="5"/>
  <c r="L2" i="5"/>
  <c r="H2" i="5"/>
  <c r="I2" i="5" s="1"/>
  <c r="E2" i="5"/>
  <c r="F2" i="5" s="1"/>
  <c r="N2" i="5" s="1"/>
  <c r="L16" i="4"/>
  <c r="L14" i="4"/>
  <c r="L15" i="4"/>
  <c r="L13" i="4"/>
  <c r="L12" i="4"/>
  <c r="G13" i="4"/>
  <c r="I13" i="4" s="1"/>
  <c r="G14" i="4"/>
  <c r="I14" i="4" s="1"/>
  <c r="G15" i="4"/>
  <c r="G16" i="4"/>
  <c r="G12" i="4"/>
  <c r="I12" i="4" s="1"/>
  <c r="G42" i="4"/>
  <c r="I42" i="4" s="1"/>
  <c r="G41" i="4"/>
  <c r="F41" i="4"/>
  <c r="E41" i="4"/>
  <c r="K40" i="4"/>
  <c r="E40" i="4"/>
  <c r="G40" i="4" s="1"/>
  <c r="E39" i="4"/>
  <c r="G39" i="4" s="1"/>
  <c r="K38" i="4"/>
  <c r="J38" i="4"/>
  <c r="F38" i="4"/>
  <c r="E38" i="4"/>
  <c r="G38" i="4" s="1"/>
  <c r="K37" i="4"/>
  <c r="J37" i="4"/>
  <c r="F37" i="4"/>
  <c r="E37" i="4"/>
  <c r="K36" i="4"/>
  <c r="J36" i="4"/>
  <c r="I36" i="4"/>
  <c r="H36" i="4"/>
  <c r="F36" i="4"/>
  <c r="E36" i="4"/>
  <c r="G36" i="4" s="1"/>
  <c r="K35" i="4"/>
  <c r="J35" i="4"/>
  <c r="I35" i="4"/>
  <c r="H35" i="4"/>
  <c r="F35" i="4"/>
  <c r="E35" i="4"/>
  <c r="C35" i="4"/>
  <c r="K34" i="4"/>
  <c r="J34" i="4"/>
  <c r="I34" i="4"/>
  <c r="H34" i="4"/>
  <c r="F34" i="4"/>
  <c r="E34" i="4"/>
  <c r="C34" i="4"/>
  <c r="K33" i="4"/>
  <c r="J33" i="4"/>
  <c r="I33" i="4"/>
  <c r="H33" i="4"/>
  <c r="F33" i="4"/>
  <c r="E33" i="4"/>
  <c r="C33" i="4"/>
  <c r="K32" i="4"/>
  <c r="J32" i="4"/>
  <c r="I32" i="4"/>
  <c r="H32" i="4"/>
  <c r="F32" i="4"/>
  <c r="E32" i="4"/>
  <c r="G32" i="4" s="1"/>
  <c r="C32" i="4"/>
  <c r="G31" i="4"/>
  <c r="I31" i="4" s="1"/>
  <c r="G30" i="4"/>
  <c r="I30" i="4" s="1"/>
  <c r="G29" i="4"/>
  <c r="I29" i="4" s="1"/>
  <c r="G28" i="4"/>
  <c r="I28" i="4" s="1"/>
  <c r="G27" i="4"/>
  <c r="I27" i="4" s="1"/>
  <c r="G26" i="4"/>
  <c r="I26" i="4" s="1"/>
  <c r="G25" i="4"/>
  <c r="I25" i="4" s="1"/>
  <c r="G24" i="4"/>
  <c r="I24" i="4" s="1"/>
  <c r="G23" i="4"/>
  <c r="I23" i="4" s="1"/>
  <c r="G22" i="4"/>
  <c r="N2" i="2"/>
  <c r="L2" i="2"/>
  <c r="G2" i="2"/>
  <c r="M2" i="2" s="1"/>
  <c r="I22" i="4" l="1"/>
  <c r="N36" i="5"/>
  <c r="I16" i="4"/>
  <c r="I15" i="4"/>
  <c r="G37" i="4"/>
  <c r="G34" i="4"/>
  <c r="G33" i="4"/>
  <c r="G35" i="4"/>
  <c r="H4" i="2"/>
</calcChain>
</file>

<file path=xl/sharedStrings.xml><?xml version="1.0" encoding="utf-8"?>
<sst xmlns="http://schemas.openxmlformats.org/spreadsheetml/2006/main" count="213" uniqueCount="50">
  <si>
    <t>Completed Analysis Uploaded to GitHub (20 points)</t>
  </si>
  <si>
    <t>Final data analysis contains ample and complete information in README file (10 points)</t>
  </si>
  <si>
    <t>Final repository is acceptable for professional quality presentation (10 points)</t>
  </si>
  <si>
    <t>Visualizations (20 points)</t>
  </si>
  <si>
    <t>6–8 visualizations of data (at least two per question) (10 points)</t>
  </si>
  <si>
    <t>Clear and accurate labeling of images (5 points)</t>
  </si>
  <si>
    <t>Visualizations supported with ample and precise explanation (5 points)</t>
  </si>
  <si>
    <t>Analysis and Conclusion (20 points)</t>
  </si>
  <si>
    <t>Write-up summarizes major findings and implications at a professional level (5 points)</t>
  </si>
  <si>
    <t>Each question in the project proposal is answered with precise descriptions and findings (5 points)</t>
  </si>
  <si>
    <t>Findings are strongly supported with numbers and visualizations (5 points)</t>
  </si>
  <si>
    <t>Each question response is supported with a well-discerned statistical analysis from lessons (e.g., aggregation, correlation, comparison, summary statistics, sentiment analysis, and time series analysis) (5 points)</t>
  </si>
  <si>
    <t>Group Presentation (20 points)</t>
  </si>
  <si>
    <t>All group members spoke during the presentation (5 points)</t>
  </si>
  <si>
    <t>Group was well prepared (5 points)</t>
  </si>
  <si>
    <t>Presentation is relevant to material (5 points)</t>
  </si>
  <si>
    <t>Presentation maintains audience interest (5 points)</t>
  </si>
  <si>
    <t>Slide Deck (20 points)</t>
  </si>
  <si>
    <t>Slides are visually clean and professional (5 points)</t>
  </si>
  <si>
    <t>Slides are relevant to material (5 points)</t>
  </si>
  <si>
    <t>Slides effectively demonstrate the project (5 points)</t>
  </si>
  <si>
    <t>Slides are clear and maintain audience interest (5 points)</t>
  </si>
  <si>
    <t>Bank</t>
  </si>
  <si>
    <t>Fiscal Year</t>
  </si>
  <si>
    <t>Total IB fees</t>
  </si>
  <si>
    <t>Market Share %</t>
  </si>
  <si>
    <t>Net Interest Income</t>
  </si>
  <si>
    <t>Non interest income</t>
  </si>
  <si>
    <t>Total Revenue</t>
  </si>
  <si>
    <t>Net Income</t>
  </si>
  <si>
    <t>Total non-interest expense</t>
  </si>
  <si>
    <t>Total Assets</t>
  </si>
  <si>
    <t>Total Liabilities</t>
  </si>
  <si>
    <t>Net</t>
  </si>
  <si>
    <t>IB fees as a % of net revenue</t>
  </si>
  <si>
    <t>IB fees as a % of non-interest income</t>
  </si>
  <si>
    <t>BANK OF AMERICA NA</t>
  </si>
  <si>
    <t>if No net interest income, then it should be interest income and interest expense</t>
  </si>
  <si>
    <t>Jefferies Financial Group Inc.</t>
  </si>
  <si>
    <t>CREDIT SUISSE</t>
  </si>
  <si>
    <t>Citi Bank</t>
  </si>
  <si>
    <t>Barclay's</t>
  </si>
  <si>
    <t>GS</t>
  </si>
  <si>
    <t>Na</t>
  </si>
  <si>
    <t>NA</t>
  </si>
  <si>
    <t>JPM</t>
  </si>
  <si>
    <t>RBC Bank</t>
  </si>
  <si>
    <t>Deutsche Bank</t>
  </si>
  <si>
    <t>Morgan Stanley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</si>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</sst>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0%"/>
    <numFmt numFmtId="165" formatCode="[$-409]General"/>
    <numFmt numFmtId="166" formatCode="&quot; &quot;&quot;$&quot;* #,##0.00&quot; &quot;;&quot; &quot;&quot;$&quot;* &quot;(&quot;#,##0.00&quot;)&quot;;&quot; &quot;&quot;$&quot;* &quot;-&quot;#&quot; &quot;;&quot; &quot;@&quot; &quot;"/>
    <numFmt numFmtId="167" formatCode="&quot; $&quot;#,##0.00&quot; &quot;;&quot; $(&quot;#,##0.00&quot;)&quot;;&quot; $-&quot;#&quot; &quot;;@&quot; &quot;"/>
    <numFmt numFmtId="168" formatCode="&quot; &quot;#,##0.00&quot; &quot;;&quot; (&quot;#,##0.00&quot;)&quot;;&quot; -&quot;#&quot; &quot;;&quot; &quot;@&quot; &quot;"/>
    <numFmt numFmtId="169" formatCode="[$$-409]#,##0.00;[Red]&quot;-&quot;[$$-409]#,##0.00"/>
  </numFmts>
  <fonts count="8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3"/>
      <color rgb="FF000000"/>
      <name val="Roboto"/>
    </font>
    <font>
      <b/>
      <sz val="11"/>
      <color rgb="FF000000"/>
      <name val="Calibri"/>
      <family val="2"/>
    </font>
    <font>
      <sz val="15"/>
      <color rgb="FF2B2B2B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8" fontId="2" fillId="0" borderId="0" applyBorder="0" applyProtection="0"/>
    <xf numFmtId="167" fontId="2" fillId="0" borderId="0" applyBorder="0" applyProtection="0"/>
    <xf numFmtId="165" fontId="2" fillId="0" borderId="0" applyBorder="0" applyProtection="0"/>
    <xf numFmtId="164" fontId="2" fillId="0" borderId="0" applyBorder="0" applyProtection="0"/>
    <xf numFmtId="0" fontId="3" fillId="0" borderId="0" applyNumberFormat="0" applyBorder="0" applyProtection="0">
      <alignment horizontal="center"/>
    </xf>
    <xf numFmtId="0" fontId="3" fillId="0" borderId="0" applyNumberFormat="0" applyBorder="0" applyProtection="0">
      <alignment horizontal="center" textRotation="90"/>
    </xf>
    <xf numFmtId="0" fontId="4" fillId="0" borderId="0" applyNumberFormat="0" applyBorder="0" applyProtection="0"/>
    <xf numFmtId="169" fontId="4" fillId="0" borderId="0" applyBorder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5" fontId="2" fillId="0" borderId="0" xfId="4" applyProtection="1"/>
    <xf numFmtId="165" fontId="5" fillId="0" borderId="0" xfId="4" applyFont="1" applyAlignment="1" applyProtection="1">
      <alignment vertical="center" wrapText="1"/>
    </xf>
    <xf numFmtId="165" fontId="6" fillId="0" borderId="0" xfId="4" applyFont="1" applyProtection="1"/>
    <xf numFmtId="165" fontId="7" fillId="2" borderId="0" xfId="4" applyFont="1" applyFill="1" applyAlignment="1" applyProtection="1">
      <alignment horizontal="left" vertical="center" wrapText="1" indent="1"/>
    </xf>
    <xf numFmtId="165" fontId="7" fillId="0" borderId="0" xfId="4" applyFont="1" applyAlignment="1" applyProtection="1">
      <alignment horizontal="left" vertical="center" wrapText="1" indent="1"/>
    </xf>
    <xf numFmtId="167" fontId="2" fillId="0" borderId="0" xfId="3" applyProtection="1"/>
    <xf numFmtId="167" fontId="2" fillId="2" borderId="0" xfId="3" applyFill="1" applyProtection="1"/>
    <xf numFmtId="167" fontId="2" fillId="0" borderId="0" xfId="4" applyNumberFormat="1" applyProtection="1"/>
    <xf numFmtId="164" fontId="2" fillId="0" borderId="0" xfId="5" applyProtection="1"/>
    <xf numFmtId="164" fontId="2" fillId="2" borderId="0" xfId="5" applyFill="1" applyProtection="1"/>
    <xf numFmtId="165" fontId="2" fillId="0" borderId="0" xfId="4" applyAlignment="1" applyProtection="1">
      <alignment wrapText="1"/>
    </xf>
    <xf numFmtId="166" fontId="2" fillId="0" borderId="0" xfId="1" applyFont="1"/>
    <xf numFmtId="0" fontId="0" fillId="3" borderId="0" xfId="0" applyFill="1"/>
    <xf numFmtId="166" fontId="2" fillId="3" borderId="0" xfId="1" applyFont="1" applyFill="1"/>
    <xf numFmtId="165" fontId="2" fillId="3" borderId="0" xfId="4" applyFill="1" applyProtection="1"/>
    <xf numFmtId="0" fontId="0" fillId="4" borderId="0" xfId="0" applyFill="1"/>
    <xf numFmtId="166" fontId="2" fillId="4" borderId="0" xfId="1" applyFont="1" applyFill="1"/>
    <xf numFmtId="165" fontId="2" fillId="4" borderId="0" xfId="4" applyFill="1" applyProtection="1"/>
    <xf numFmtId="2" fontId="2" fillId="0" borderId="0" xfId="1" applyNumberFormat="1" applyFont="1" applyFill="1"/>
    <xf numFmtId="2" fontId="2" fillId="0" borderId="0" xfId="10" applyNumberFormat="1" applyFont="1" applyFill="1"/>
    <xf numFmtId="166" fontId="2" fillId="0" borderId="0" xfId="1" applyFont="1" applyFill="1" applyProtection="1"/>
    <xf numFmtId="166" fontId="2" fillId="0" borderId="0" xfId="1" applyFont="1" applyFill="1"/>
    <xf numFmtId="166" fontId="2" fillId="0" borderId="0" xfId="1" applyFont="1" applyProtection="1"/>
    <xf numFmtId="0" fontId="0" fillId="0" borderId="0" xfId="0" applyFill="1"/>
  </cellXfs>
  <cellStyles count="11">
    <cellStyle name="Currency" xfId="1" builtinId="4" customBuiltin="1"/>
    <cellStyle name="Excel Built-in Comma" xfId="2" xr:uid="{00000000-0005-0000-0000-000001000000}"/>
    <cellStyle name="Excel Built-in Currency" xfId="3" xr:uid="{00000000-0005-0000-0000-000002000000}"/>
    <cellStyle name="Excel Built-in Normal" xfId="4" xr:uid="{00000000-0005-0000-0000-000003000000}"/>
    <cellStyle name="Excel Built-in Percent" xfId="5" xr:uid="{00000000-0005-0000-0000-000004000000}"/>
    <cellStyle name="Heading" xfId="6" xr:uid="{00000000-0005-0000-0000-000005000000}"/>
    <cellStyle name="Heading1" xfId="7" xr:uid="{00000000-0005-0000-0000-000006000000}"/>
    <cellStyle name="Normal" xfId="0" builtinId="0" customBuiltin="1"/>
    <cellStyle name="Percent" xfId="10" builtinId="5"/>
    <cellStyle name="Result" xfId="8" xr:uid="{00000000-0005-0000-0000-000008000000}"/>
    <cellStyle name="Result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530626</xdr:colOff>
      <xdr:row>63</xdr:row>
      <xdr:rowOff>113751</xdr:rowOff>
    </xdr:from>
    <xdr:ext cx="11441887" cy="2604576"/>
    <xdr:pic>
      <xdr:nvPicPr>
        <xdr:cNvPr id="4" name="Picture 1">
          <a:extLst>
            <a:ext uri="{FF2B5EF4-FFF2-40B4-BE49-F238E27FC236}">
              <a16:creationId xmlns:a16="http://schemas.microsoft.com/office/drawing/2014/main" id="{5E30F3C4-13F6-B046-2C61-BD17BB886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13132201" y="18258876"/>
          <a:ext cx="11441887" cy="260457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26974</xdr:colOff>
      <xdr:row>0</xdr:row>
      <xdr:rowOff>0</xdr:rowOff>
    </xdr:from>
    <xdr:ext cx="11473159" cy="8354141"/>
    <xdr:pic>
      <xdr:nvPicPr>
        <xdr:cNvPr id="2" name="Picture 2">
          <a:extLst>
            <a:ext uri="{FF2B5EF4-FFF2-40B4-BE49-F238E27FC236}">
              <a16:creationId xmlns:a16="http://schemas.microsoft.com/office/drawing/2014/main" id="{DDAC0BD5-76F7-8F47-681F-7A41D255A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26974" y="0"/>
          <a:ext cx="11473159" cy="835414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26974</xdr:colOff>
      <xdr:row>40</xdr:row>
      <xdr:rowOff>59436</xdr:rowOff>
    </xdr:from>
    <xdr:ext cx="10762213" cy="2502347"/>
    <xdr:pic>
      <xdr:nvPicPr>
        <xdr:cNvPr id="3" name="Picture 3">
          <a:extLst>
            <a:ext uri="{FF2B5EF4-FFF2-40B4-BE49-F238E27FC236}">
              <a16:creationId xmlns:a16="http://schemas.microsoft.com/office/drawing/2014/main" id="{16D80C84-5411-6029-3E7F-7727513BE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26974" y="14480286"/>
          <a:ext cx="10762213" cy="250234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26974</xdr:colOff>
      <xdr:row>10</xdr:row>
      <xdr:rowOff>105521</xdr:rowOff>
    </xdr:from>
    <xdr:ext cx="7755117" cy="949695"/>
    <xdr:pic>
      <xdr:nvPicPr>
        <xdr:cNvPr id="2" name="Picture 1">
          <a:extLst>
            <a:ext uri="{FF2B5EF4-FFF2-40B4-BE49-F238E27FC236}">
              <a16:creationId xmlns:a16="http://schemas.microsoft.com/office/drawing/2014/main" id="{3EB22DAC-B16A-3CEB-403E-F7F377E46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26974" y="2124821"/>
          <a:ext cx="7755117" cy="94969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9</xdr:col>
      <xdr:colOff>27340</xdr:colOff>
      <xdr:row>40</xdr:row>
      <xdr:rowOff>48920</xdr:rowOff>
    </xdr:from>
    <xdr:ext cx="8454633" cy="2162556"/>
    <xdr:pic>
      <xdr:nvPicPr>
        <xdr:cNvPr id="3" name="Picture 2">
          <a:extLst>
            <a:ext uri="{FF2B5EF4-FFF2-40B4-BE49-F238E27FC236}">
              <a16:creationId xmlns:a16="http://schemas.microsoft.com/office/drawing/2014/main" id="{E7D31A33-ADE3-8E0F-2DC7-A1777275B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14657740" y="6925970"/>
          <a:ext cx="8454633" cy="2162556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26974</xdr:colOff>
      <xdr:row>0</xdr:row>
      <xdr:rowOff>0</xdr:rowOff>
    </xdr:from>
    <xdr:ext cx="17425446" cy="4772893"/>
    <xdr:pic>
      <xdr:nvPicPr>
        <xdr:cNvPr id="2" name="Picture 1">
          <a:extLst>
            <a:ext uri="{FF2B5EF4-FFF2-40B4-BE49-F238E27FC236}">
              <a16:creationId xmlns:a16="http://schemas.microsoft.com/office/drawing/2014/main" id="{17A118C6-80C3-CAEF-09EB-1F48A9347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26974" y="0"/>
          <a:ext cx="17425446" cy="477289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1</xdr:col>
      <xdr:colOff>41422</xdr:colOff>
      <xdr:row>29</xdr:row>
      <xdr:rowOff>130302</xdr:rowOff>
    </xdr:from>
    <xdr:ext cx="8745870" cy="6089721"/>
    <xdr:pic>
      <xdr:nvPicPr>
        <xdr:cNvPr id="4" name="Picture 2">
          <a:extLst>
            <a:ext uri="{FF2B5EF4-FFF2-40B4-BE49-F238E27FC236}">
              <a16:creationId xmlns:a16="http://schemas.microsoft.com/office/drawing/2014/main" id="{9734E5E7-2C1C-D1BA-524E-0CE921FC6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641497" y="4826127"/>
          <a:ext cx="8745870" cy="608972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14</xdr:col>
      <xdr:colOff>503285</xdr:colOff>
      <xdr:row>27</xdr:row>
      <xdr:rowOff>29900</xdr:rowOff>
    </xdr:from>
    <xdr:ext cx="17387956" cy="5941039"/>
    <xdr:pic>
      <xdr:nvPicPr>
        <xdr:cNvPr id="3" name="Picture 3">
          <a:extLst>
            <a:ext uri="{FF2B5EF4-FFF2-40B4-BE49-F238E27FC236}">
              <a16:creationId xmlns:a16="http://schemas.microsoft.com/office/drawing/2014/main" id="{F333AADE-0372-0F95-B477-FFB9B5915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8904335" y="4401875"/>
          <a:ext cx="17387956" cy="5941039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MJ34"/>
  <sheetViews>
    <sheetView workbookViewId="0"/>
  </sheetViews>
  <sheetFormatPr defaultRowHeight="15" x14ac:dyDescent="0.25"/>
  <cols>
    <col min="1" max="22" width="7.875" style="1" customWidth="1"/>
    <col min="23" max="23" width="11.375" style="1" customWidth="1"/>
    <col min="24" max="24" width="49.5" style="1" customWidth="1"/>
    <col min="25" max="25" width="95.375" style="1" customWidth="1"/>
    <col min="26" max="1024" width="7.875" style="1" customWidth="1"/>
    <col min="1025" max="1025" width="9" customWidth="1"/>
  </cols>
  <sheetData>
    <row r="5" spans="23:24" ht="33" x14ac:dyDescent="0.25">
      <c r="X5" s="2" t="s">
        <v>0</v>
      </c>
    </row>
    <row r="6" spans="23:24" ht="56.25" x14ac:dyDescent="0.25">
      <c r="W6" s="3">
        <v>1</v>
      </c>
      <c r="X6" s="4" t="s">
        <v>1</v>
      </c>
    </row>
    <row r="7" spans="23:24" ht="56.25" x14ac:dyDescent="0.25">
      <c r="W7" s="3">
        <v>2</v>
      </c>
      <c r="X7" s="5" t="s">
        <v>2</v>
      </c>
    </row>
    <row r="8" spans="23:24" x14ac:dyDescent="0.25">
      <c r="W8" s="3"/>
    </row>
    <row r="9" spans="23:24" x14ac:dyDescent="0.25">
      <c r="W9" s="3"/>
    </row>
    <row r="10" spans="23:24" ht="16.5" x14ac:dyDescent="0.25">
      <c r="W10" s="3"/>
      <c r="X10" s="2" t="s">
        <v>3</v>
      </c>
    </row>
    <row r="11" spans="23:24" ht="37.5" x14ac:dyDescent="0.25">
      <c r="W11" s="3">
        <v>3</v>
      </c>
      <c r="X11" s="5" t="s">
        <v>4</v>
      </c>
    </row>
    <row r="12" spans="23:24" ht="37.5" x14ac:dyDescent="0.25">
      <c r="W12" s="3">
        <v>4</v>
      </c>
      <c r="X12" s="5" t="s">
        <v>5</v>
      </c>
    </row>
    <row r="13" spans="23:24" ht="37.5" x14ac:dyDescent="0.25">
      <c r="W13" s="3">
        <v>5</v>
      </c>
      <c r="X13" s="5" t="s">
        <v>6</v>
      </c>
    </row>
    <row r="14" spans="23:24" x14ac:dyDescent="0.25">
      <c r="W14" s="3"/>
    </row>
    <row r="15" spans="23:24" x14ac:dyDescent="0.25">
      <c r="W15" s="3"/>
    </row>
    <row r="16" spans="23:24" ht="16.5" x14ac:dyDescent="0.25">
      <c r="W16" s="3"/>
      <c r="X16" s="2" t="s">
        <v>7</v>
      </c>
    </row>
    <row r="17" spans="23:24" ht="56.25" x14ac:dyDescent="0.25">
      <c r="W17" s="3">
        <v>6</v>
      </c>
      <c r="X17" s="5" t="s">
        <v>8</v>
      </c>
    </row>
    <row r="18" spans="23:24" ht="56.25" x14ac:dyDescent="0.25">
      <c r="W18" s="3">
        <v>7</v>
      </c>
      <c r="X18" s="5" t="s">
        <v>9</v>
      </c>
    </row>
    <row r="19" spans="23:24" ht="37.5" x14ac:dyDescent="0.25">
      <c r="W19" s="3">
        <v>8</v>
      </c>
      <c r="X19" s="5" t="s">
        <v>10</v>
      </c>
    </row>
    <row r="20" spans="23:24" ht="112.5" x14ac:dyDescent="0.25">
      <c r="W20" s="3">
        <v>9</v>
      </c>
      <c r="X20" s="5" t="s">
        <v>11</v>
      </c>
    </row>
    <row r="22" spans="23:24" ht="16.5" x14ac:dyDescent="0.25">
      <c r="X22" s="2" t="s">
        <v>12</v>
      </c>
    </row>
    <row r="24" spans="23:24" ht="37.5" x14ac:dyDescent="0.25">
      <c r="W24" s="3">
        <v>10</v>
      </c>
      <c r="X24" s="5" t="s">
        <v>13</v>
      </c>
    </row>
    <row r="25" spans="23:24" ht="18.75" x14ac:dyDescent="0.25">
      <c r="W25" s="3">
        <v>11</v>
      </c>
      <c r="X25" s="5" t="s">
        <v>14</v>
      </c>
    </row>
    <row r="26" spans="23:24" ht="37.5" x14ac:dyDescent="0.25">
      <c r="W26" s="3">
        <v>12</v>
      </c>
      <c r="X26" s="5" t="s">
        <v>15</v>
      </c>
    </row>
    <row r="27" spans="23:24" ht="37.5" x14ac:dyDescent="0.25">
      <c r="W27" s="3">
        <v>13</v>
      </c>
      <c r="X27" s="5" t="s">
        <v>16</v>
      </c>
    </row>
    <row r="30" spans="23:24" ht="16.5" x14ac:dyDescent="0.25">
      <c r="X30" s="2" t="s">
        <v>17</v>
      </c>
    </row>
    <row r="31" spans="23:24" ht="37.5" x14ac:dyDescent="0.25">
      <c r="W31" s="3">
        <v>14</v>
      </c>
      <c r="X31" s="5" t="s">
        <v>18</v>
      </c>
    </row>
    <row r="32" spans="23:24" ht="18.75" x14ac:dyDescent="0.25">
      <c r="W32" s="3">
        <v>15</v>
      </c>
      <c r="X32" s="5" t="s">
        <v>19</v>
      </c>
    </row>
    <row r="33" spans="23:24" ht="37.5" x14ac:dyDescent="0.25">
      <c r="W33" s="3">
        <v>16</v>
      </c>
      <c r="X33" s="5" t="s">
        <v>20</v>
      </c>
    </row>
    <row r="34" spans="23:24" ht="37.5" x14ac:dyDescent="0.25">
      <c r="W34" s="3">
        <v>17</v>
      </c>
      <c r="X34" s="5" t="s">
        <v>21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9"/>
  <sheetViews>
    <sheetView workbookViewId="0"/>
  </sheetViews>
  <sheetFormatPr defaultRowHeight="15" x14ac:dyDescent="0.25"/>
  <cols>
    <col min="1" max="2" width="39.375" style="1" customWidth="1"/>
    <col min="3" max="3" width="11" style="1" customWidth="1"/>
    <col min="4" max="4" width="13.875" style="1" customWidth="1"/>
    <col min="5" max="5" width="21.875" style="1" customWidth="1"/>
    <col min="6" max="6" width="18.125" style="1" customWidth="1"/>
    <col min="7" max="7" width="13.875" style="1" customWidth="1"/>
    <col min="8" max="8" width="10.75" style="1" customWidth="1"/>
    <col min="9" max="9" width="23.75" style="1" customWidth="1"/>
    <col min="10" max="10" width="13.25" style="1" customWidth="1"/>
    <col min="11" max="12" width="13.5" style="1" customWidth="1"/>
    <col min="13" max="13" width="25" style="1" customWidth="1"/>
    <col min="14" max="14" width="32" style="1" customWidth="1"/>
    <col min="15" max="1024" width="7.875" style="1" customWidth="1"/>
    <col min="1025" max="1025" width="9" customWidth="1"/>
  </cols>
  <sheetData>
    <row r="1" spans="1:14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</row>
    <row r="2" spans="1:14" x14ac:dyDescent="0.25">
      <c r="A2" s="1" t="s">
        <v>36</v>
      </c>
      <c r="B2" s="1">
        <v>2021</v>
      </c>
      <c r="C2" s="6">
        <v>8887</v>
      </c>
      <c r="E2" s="6">
        <v>42934</v>
      </c>
      <c r="F2" s="7">
        <v>46179</v>
      </c>
      <c r="G2" s="8">
        <f>E2+F2</f>
        <v>89113</v>
      </c>
      <c r="H2" s="6">
        <v>31978</v>
      </c>
      <c r="I2" s="6">
        <v>59731</v>
      </c>
      <c r="J2" s="6">
        <v>3169495</v>
      </c>
      <c r="K2" s="6">
        <v>2899429</v>
      </c>
      <c r="L2" s="6">
        <f>J2-K2</f>
        <v>270066</v>
      </c>
      <c r="M2" s="9">
        <f>C2/G2</f>
        <v>9.9727312513325783E-2</v>
      </c>
      <c r="N2" s="10">
        <f>C2/F2</f>
        <v>0.1924467831698391</v>
      </c>
    </row>
    <row r="3" spans="1:14" x14ac:dyDescent="0.25">
      <c r="B3" s="1">
        <v>2020</v>
      </c>
    </row>
    <row r="4" spans="1:14" x14ac:dyDescent="0.25">
      <c r="H4" s="8">
        <f>G2-I2</f>
        <v>29382</v>
      </c>
    </row>
    <row r="9" spans="1:14" ht="26.25" customHeight="1" x14ac:dyDescent="0.25">
      <c r="E9" s="11" t="s">
        <v>37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"/>
  <sheetViews>
    <sheetView workbookViewId="0"/>
  </sheetViews>
  <sheetFormatPr defaultRowHeight="15" x14ac:dyDescent="0.25"/>
  <cols>
    <col min="1" max="1024" width="7.875" style="1" customWidth="1"/>
    <col min="1025" max="1025" width="9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53"/>
  <sheetViews>
    <sheetView tabSelected="1" zoomScale="80" zoomScaleNormal="80" workbookViewId="0">
      <selection activeCell="F12" sqref="F12"/>
    </sheetView>
  </sheetViews>
  <sheetFormatPr defaultRowHeight="15" x14ac:dyDescent="0.25"/>
  <cols>
    <col min="1" max="1" width="39.375" style="1" customWidth="1"/>
    <col min="2" max="2" width="10.25" style="1" customWidth="1"/>
    <col min="3" max="3" width="19.5" style="1" customWidth="1"/>
    <col min="4" max="4" width="13.875" style="1" customWidth="1"/>
    <col min="5" max="5" width="21.875" style="1" customWidth="1"/>
    <col min="6" max="6" width="18.125" style="1" customWidth="1"/>
    <col min="7" max="7" width="19.25" style="1" customWidth="1"/>
    <col min="8" max="8" width="22.25" style="1" bestFit="1" customWidth="1"/>
    <col min="9" max="9" width="23.75" style="1" customWidth="1"/>
    <col min="10" max="11" width="19.75" style="1" bestFit="1" customWidth="1"/>
    <col min="12" max="12" width="19.625" style="1" bestFit="1" customWidth="1"/>
    <col min="13" max="13" width="25" style="1" customWidth="1"/>
    <col min="14" max="14" width="32" style="1" customWidth="1"/>
    <col min="15" max="1025" width="7.875" style="1" customWidth="1"/>
    <col min="1026" max="1026" width="9" customWidth="1"/>
  </cols>
  <sheetData>
    <row r="1" spans="1:14" x14ac:dyDescent="0.25">
      <c r="A1" t="s">
        <v>22</v>
      </c>
      <c r="B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30</v>
      </c>
      <c r="I1" s="1" t="s">
        <v>29</v>
      </c>
      <c r="J1" s="1" t="s">
        <v>31</v>
      </c>
      <c r="K1" s="1" t="s">
        <v>32</v>
      </c>
      <c r="L1" s="1" t="s">
        <v>49</v>
      </c>
      <c r="M1" s="1" t="s">
        <v>34</v>
      </c>
      <c r="N1" s="1" t="s">
        <v>35</v>
      </c>
    </row>
    <row r="2" spans="1:14" x14ac:dyDescent="0.25">
      <c r="A2" t="s">
        <v>38</v>
      </c>
      <c r="B2">
        <v>2021</v>
      </c>
      <c r="C2" s="21">
        <v>4365.6989999999996</v>
      </c>
      <c r="D2" s="22"/>
      <c r="E2" s="21">
        <f>(943336-854554)/1000</f>
        <v>88.781999999999996</v>
      </c>
      <c r="F2" s="21">
        <f t="shared" ref="F2:F11" si="0">(G2-E2)</f>
        <v>8096.5469999999996</v>
      </c>
      <c r="G2" s="21">
        <v>8185.3289999999997</v>
      </c>
      <c r="H2" s="21">
        <f>(5836805-77084)/1000</f>
        <v>5759.7209999999995</v>
      </c>
      <c r="I2" s="21">
        <f>(G2-H2)</f>
        <v>2425.6080000000002</v>
      </c>
      <c r="J2" s="21">
        <v>60404.11</v>
      </c>
      <c r="K2" s="21">
        <v>49674.07</v>
      </c>
      <c r="L2" s="21">
        <f>(J2-K2)</f>
        <v>10730.04</v>
      </c>
      <c r="M2" s="20">
        <f>C2/G2</f>
        <v>0.53335657002913384</v>
      </c>
      <c r="N2" s="19">
        <f>C2/F2</f>
        <v>0.53920504629936683</v>
      </c>
    </row>
    <row r="3" spans="1:14" x14ac:dyDescent="0.25">
      <c r="A3" t="s">
        <v>38</v>
      </c>
      <c r="B3">
        <v>2020</v>
      </c>
      <c r="C3" s="21">
        <v>2501.4940000000001</v>
      </c>
      <c r="D3" s="22"/>
      <c r="E3" s="21">
        <f>(997555-945056)/1000</f>
        <v>52.499000000000002</v>
      </c>
      <c r="F3" s="21">
        <f t="shared" si="0"/>
        <v>5958.375</v>
      </c>
      <c r="G3" s="21">
        <v>6010.8739999999998</v>
      </c>
      <c r="H3" s="21">
        <f>(4868308-84870)/1000</f>
        <v>4783.4380000000001</v>
      </c>
      <c r="I3" s="21">
        <f>(G3-H3)</f>
        <v>1227.4359999999997</v>
      </c>
      <c r="J3" s="21">
        <v>53118.351999999999</v>
      </c>
      <c r="K3" s="21">
        <v>43530.150999999998</v>
      </c>
      <c r="L3" s="21">
        <f>(J3-K3)</f>
        <v>9588.2010000000009</v>
      </c>
      <c r="M3" s="20">
        <f t="shared" ref="M3:M51" si="1">C3/G3</f>
        <v>0.41616144341072531</v>
      </c>
      <c r="N3" s="19">
        <f t="shared" ref="N3:N51" si="2">C3/F3</f>
        <v>0.41982822497744776</v>
      </c>
    </row>
    <row r="4" spans="1:14" x14ac:dyDescent="0.25">
      <c r="A4" t="s">
        <v>38</v>
      </c>
      <c r="B4">
        <v>2019</v>
      </c>
      <c r="C4" s="21">
        <v>1526.992</v>
      </c>
      <c r="D4" s="22"/>
      <c r="E4" s="21">
        <f>(1603940-1465680)/1000</f>
        <v>138.26</v>
      </c>
      <c r="F4" s="21">
        <f t="shared" si="0"/>
        <v>3754.7160000000003</v>
      </c>
      <c r="G4" s="21">
        <v>3892.9760000000001</v>
      </c>
      <c r="H4" s="21">
        <f>(3617363-87177)/1000</f>
        <v>3530.1860000000001</v>
      </c>
      <c r="I4" s="21">
        <f>(G4-H4)</f>
        <v>362.78999999999996</v>
      </c>
      <c r="J4" s="21">
        <v>49460.233999999997</v>
      </c>
      <c r="K4" s="21">
        <v>39706.945</v>
      </c>
      <c r="L4" s="21">
        <f>(J4-K4)</f>
        <v>9753.288999999997</v>
      </c>
      <c r="M4" s="20">
        <f t="shared" si="1"/>
        <v>0.39224284968620404</v>
      </c>
      <c r="N4" s="19">
        <f t="shared" si="2"/>
        <v>0.40668641782760662</v>
      </c>
    </row>
    <row r="5" spans="1:14" x14ac:dyDescent="0.25">
      <c r="A5" t="s">
        <v>38</v>
      </c>
      <c r="B5">
        <v>2018</v>
      </c>
      <c r="C5" s="21">
        <v>1904.87</v>
      </c>
      <c r="D5" s="22"/>
      <c r="E5" s="21">
        <v>1294.325</v>
      </c>
      <c r="F5" s="21">
        <f t="shared" si="0"/>
        <v>2469.7089999999998</v>
      </c>
      <c r="G5" s="21">
        <v>3764.0340000000001</v>
      </c>
      <c r="H5" s="21">
        <f>(3524957-89249)/1000</f>
        <v>3435.7080000000001</v>
      </c>
      <c r="I5" s="21">
        <f>(G5-H5)</f>
        <v>328.32600000000002</v>
      </c>
      <c r="J5" s="21">
        <v>47131.095000000001</v>
      </c>
      <c r="K5" s="21">
        <v>36907.059000000001</v>
      </c>
      <c r="L5" s="21">
        <f>(J5-K5)</f>
        <v>10224.036</v>
      </c>
      <c r="M5" s="20">
        <f t="shared" si="1"/>
        <v>0.50607141168225367</v>
      </c>
      <c r="N5" s="19">
        <f t="shared" si="2"/>
        <v>0.77129329811730851</v>
      </c>
    </row>
    <row r="6" spans="1:14" x14ac:dyDescent="0.25">
      <c r="A6" t="s">
        <v>38</v>
      </c>
      <c r="B6">
        <v>2017</v>
      </c>
      <c r="C6" s="21">
        <v>1764.2850000000001</v>
      </c>
      <c r="D6" s="22"/>
      <c r="E6" s="21">
        <v>993.19799999999998</v>
      </c>
      <c r="F6" s="21">
        <f t="shared" si="0"/>
        <v>3084.2470000000003</v>
      </c>
      <c r="G6" s="21">
        <v>4077.4450000000002</v>
      </c>
      <c r="H6" s="21">
        <f>(3396042-101202)/1000</f>
        <v>3294.84</v>
      </c>
      <c r="I6" s="21">
        <f>(G6-H6)</f>
        <v>782.60500000000002</v>
      </c>
      <c r="J6" s="21">
        <v>47169.108</v>
      </c>
      <c r="K6" s="21">
        <v>36478.536</v>
      </c>
      <c r="L6" s="21">
        <f>(J6-K6)</f>
        <v>10690.572</v>
      </c>
      <c r="M6" s="20">
        <f t="shared" si="1"/>
        <v>0.43269375797834181</v>
      </c>
      <c r="N6" s="19">
        <f t="shared" si="2"/>
        <v>0.572031033830948</v>
      </c>
    </row>
    <row r="7" spans="1:14" x14ac:dyDescent="0.25">
      <c r="A7" t="s">
        <v>39</v>
      </c>
      <c r="B7" s="24">
        <v>2021</v>
      </c>
      <c r="C7" s="21">
        <v>2717.3700000000003</v>
      </c>
      <c r="D7" s="22"/>
      <c r="E7" s="21">
        <v>6373.8069999999998</v>
      </c>
      <c r="F7" s="21">
        <f t="shared" si="0"/>
        <v>18520.346999999998</v>
      </c>
      <c r="G7" s="21">
        <v>24894.153999999999</v>
      </c>
      <c r="H7" s="21">
        <v>20940.002</v>
      </c>
      <c r="I7" s="21">
        <f>G7-H7</f>
        <v>3954.1519999999982</v>
      </c>
      <c r="J7" s="21">
        <v>829036.96400000004</v>
      </c>
      <c r="K7" s="21">
        <v>780523.19799999997</v>
      </c>
      <c r="L7" s="22">
        <f>J7-K7</f>
        <v>48513.766000000061</v>
      </c>
      <c r="M7" s="20">
        <f t="shared" si="1"/>
        <v>0.1091569530742037</v>
      </c>
      <c r="N7" s="19">
        <f t="shared" si="2"/>
        <v>0.14672349281576638</v>
      </c>
    </row>
    <row r="8" spans="1:14" x14ac:dyDescent="0.25">
      <c r="A8" t="s">
        <v>39</v>
      </c>
      <c r="B8" s="24">
        <v>2020</v>
      </c>
      <c r="C8" s="21">
        <v>2457.9500000000003</v>
      </c>
      <c r="D8" s="22"/>
      <c r="E8" s="21">
        <v>6682.3950000000004</v>
      </c>
      <c r="F8" s="21">
        <f t="shared" si="0"/>
        <v>18470.958999999999</v>
      </c>
      <c r="G8" s="21">
        <v>25153.353999999999</v>
      </c>
      <c r="H8" s="21">
        <v>20026.963</v>
      </c>
      <c r="I8" s="21">
        <f t="shared" ref="I8:I11" si="3">G8-H8</f>
        <v>5126.3909999999996</v>
      </c>
      <c r="J8" s="21">
        <v>920082.01300000004</v>
      </c>
      <c r="K8" s="21">
        <v>871839.11899999995</v>
      </c>
      <c r="L8" s="22">
        <f t="shared" ref="L8:L11" si="4">J8-K8</f>
        <v>48242.894000000088</v>
      </c>
      <c r="M8" s="20">
        <f t="shared" si="1"/>
        <v>9.7718578603871287E-2</v>
      </c>
      <c r="N8" s="19">
        <f t="shared" si="2"/>
        <v>0.13307105494630789</v>
      </c>
    </row>
    <row r="9" spans="1:14" x14ac:dyDescent="0.25">
      <c r="A9" t="s">
        <v>39</v>
      </c>
      <c r="B9" s="24">
        <v>2019</v>
      </c>
      <c r="C9" s="21">
        <v>1704.7600000000002</v>
      </c>
      <c r="D9" s="22"/>
      <c r="E9" s="21">
        <v>7216.9080000000004</v>
      </c>
      <c r="F9" s="21">
        <f t="shared" si="0"/>
        <v>15907.642</v>
      </c>
      <c r="G9" s="21">
        <v>23124.55</v>
      </c>
      <c r="H9" s="21">
        <v>17936.850999999999</v>
      </c>
      <c r="I9" s="21">
        <f t="shared" si="3"/>
        <v>5187.6990000000005</v>
      </c>
      <c r="J9" s="21">
        <v>809724.36499999999</v>
      </c>
      <c r="K9" s="21">
        <v>764764.99</v>
      </c>
      <c r="L9" s="22">
        <f t="shared" si="4"/>
        <v>44959.375</v>
      </c>
      <c r="M9" s="20">
        <f t="shared" si="1"/>
        <v>7.3720785917996259E-2</v>
      </c>
      <c r="N9" s="19">
        <f t="shared" si="2"/>
        <v>0.10716610293342031</v>
      </c>
    </row>
    <row r="10" spans="1:14" x14ac:dyDescent="0.25">
      <c r="A10" t="s">
        <v>39</v>
      </c>
      <c r="B10" s="24">
        <v>2018</v>
      </c>
      <c r="C10" s="21">
        <v>1318.9</v>
      </c>
      <c r="D10" s="22"/>
      <c r="E10" s="21">
        <v>7104.9160000000002</v>
      </c>
      <c r="F10" s="21">
        <f t="shared" si="0"/>
        <v>14101.368999999999</v>
      </c>
      <c r="G10" s="21">
        <v>21206.285</v>
      </c>
      <c r="H10" s="21">
        <v>17539.787</v>
      </c>
      <c r="I10" s="21">
        <f t="shared" si="3"/>
        <v>3666.4979999999996</v>
      </c>
      <c r="J10" s="21">
        <v>779438.41899999999</v>
      </c>
      <c r="K10" s="21">
        <v>724896</v>
      </c>
      <c r="L10" s="22">
        <f t="shared" si="4"/>
        <v>54542.418999999994</v>
      </c>
      <c r="M10" s="20">
        <f t="shared" si="1"/>
        <v>6.2193826028462795E-2</v>
      </c>
      <c r="N10" s="19">
        <f t="shared" si="2"/>
        <v>9.352992606604367E-2</v>
      </c>
    </row>
    <row r="11" spans="1:14" x14ac:dyDescent="0.25">
      <c r="A11" t="s">
        <v>39</v>
      </c>
      <c r="B11" s="24">
        <v>2017</v>
      </c>
      <c r="C11" s="21">
        <v>534.1</v>
      </c>
      <c r="D11" s="22"/>
      <c r="E11" s="21">
        <v>6729.96</v>
      </c>
      <c r="F11" s="21">
        <f t="shared" si="0"/>
        <v>14721.338</v>
      </c>
      <c r="G11" s="21">
        <v>21451.297999999999</v>
      </c>
      <c r="H11" s="21">
        <v>19395.463</v>
      </c>
      <c r="I11" s="21">
        <f t="shared" si="3"/>
        <v>2055.8349999999991</v>
      </c>
      <c r="J11" s="21">
        <v>817293.44099999999</v>
      </c>
      <c r="K11" s="21">
        <v>773991.58400000003</v>
      </c>
      <c r="L11" s="22">
        <f t="shared" si="4"/>
        <v>43301.85699999996</v>
      </c>
      <c r="M11" s="20">
        <f t="shared" si="1"/>
        <v>2.4898260235814172E-2</v>
      </c>
      <c r="N11" s="19">
        <f t="shared" si="2"/>
        <v>3.6280669596744537E-2</v>
      </c>
    </row>
    <row r="12" spans="1:14" x14ac:dyDescent="0.25">
      <c r="A12" t="s">
        <v>40</v>
      </c>
      <c r="B12">
        <v>2021</v>
      </c>
      <c r="C12" s="21">
        <v>6547.63</v>
      </c>
      <c r="D12" s="22"/>
      <c r="E12" s="22">
        <v>42494</v>
      </c>
      <c r="F12" s="22">
        <v>29390</v>
      </c>
      <c r="G12" s="22">
        <f>E12+F12</f>
        <v>71884</v>
      </c>
      <c r="H12" s="22">
        <v>48193</v>
      </c>
      <c r="I12" s="22">
        <f>G12-H12</f>
        <v>23691</v>
      </c>
      <c r="J12" s="22">
        <v>2291413</v>
      </c>
      <c r="K12" s="22">
        <v>2088741</v>
      </c>
      <c r="L12" s="22">
        <f>J12-K12</f>
        <v>202672</v>
      </c>
      <c r="M12" s="20">
        <f t="shared" si="1"/>
        <v>9.1086055311334929E-2</v>
      </c>
      <c r="N12" s="19">
        <f t="shared" si="2"/>
        <v>0.22278428036747194</v>
      </c>
    </row>
    <row r="13" spans="1:14" x14ac:dyDescent="0.25">
      <c r="A13" t="s">
        <v>40</v>
      </c>
      <c r="B13">
        <v>2020</v>
      </c>
      <c r="C13" s="22">
        <v>4486</v>
      </c>
      <c r="D13" s="22"/>
      <c r="E13" s="22">
        <v>44751</v>
      </c>
      <c r="F13" s="22">
        <v>30750</v>
      </c>
      <c r="G13" s="22">
        <f t="shared" ref="G13:G16" si="5">E13+F13</f>
        <v>75501</v>
      </c>
      <c r="H13" s="22">
        <v>44374</v>
      </c>
      <c r="I13" s="22">
        <f t="shared" ref="I13:I16" si="6">G13-H13</f>
        <v>31127</v>
      </c>
      <c r="J13" s="22">
        <v>2260090</v>
      </c>
      <c r="K13" s="22">
        <v>2059890</v>
      </c>
      <c r="L13" s="22">
        <f>J13-K13</f>
        <v>200200</v>
      </c>
      <c r="M13" s="20">
        <f t="shared" si="1"/>
        <v>5.9416431570442775E-2</v>
      </c>
      <c r="N13" s="19">
        <f t="shared" si="2"/>
        <v>0.14588617886178862</v>
      </c>
    </row>
    <row r="14" spans="1:14" x14ac:dyDescent="0.25">
      <c r="A14" t="s">
        <v>40</v>
      </c>
      <c r="B14">
        <v>2019</v>
      </c>
      <c r="C14" s="22">
        <v>3767</v>
      </c>
      <c r="D14" s="22"/>
      <c r="E14" s="22">
        <v>48128</v>
      </c>
      <c r="F14" s="22">
        <v>26939</v>
      </c>
      <c r="G14" s="22">
        <f t="shared" si="5"/>
        <v>75067</v>
      </c>
      <c r="H14" s="22">
        <v>42783</v>
      </c>
      <c r="I14" s="22">
        <f t="shared" si="6"/>
        <v>32284</v>
      </c>
      <c r="J14" s="22">
        <v>1951158</v>
      </c>
      <c r="K14" s="22">
        <v>1757212</v>
      </c>
      <c r="L14" s="22">
        <f t="shared" ref="L14:L16" si="7">J14-K14</f>
        <v>193946</v>
      </c>
      <c r="M14" s="20">
        <f t="shared" si="1"/>
        <v>5.0181837558447788E-2</v>
      </c>
      <c r="N14" s="19">
        <f t="shared" si="2"/>
        <v>0.13983444077359961</v>
      </c>
    </row>
    <row r="15" spans="1:14" x14ac:dyDescent="0.25">
      <c r="A15" t="s">
        <v>40</v>
      </c>
      <c r="B15">
        <v>2018</v>
      </c>
      <c r="C15" s="22">
        <v>3568</v>
      </c>
      <c r="D15" s="22"/>
      <c r="E15" s="22">
        <v>46562</v>
      </c>
      <c r="F15" s="22">
        <v>26292</v>
      </c>
      <c r="G15" s="22">
        <f t="shared" si="5"/>
        <v>72854</v>
      </c>
      <c r="H15" s="22">
        <v>41841</v>
      </c>
      <c r="I15" s="22">
        <f t="shared" si="6"/>
        <v>31013</v>
      </c>
      <c r="J15" s="22">
        <v>1917383</v>
      </c>
      <c r="K15" s="22">
        <v>1720309</v>
      </c>
      <c r="L15" s="22">
        <f t="shared" si="7"/>
        <v>197074</v>
      </c>
      <c r="M15" s="20">
        <f t="shared" si="1"/>
        <v>4.8974661652071268E-2</v>
      </c>
      <c r="N15" s="19">
        <f t="shared" si="2"/>
        <v>0.13570667883766926</v>
      </c>
    </row>
    <row r="16" spans="1:14" x14ac:dyDescent="0.25">
      <c r="A16" t="s">
        <v>40</v>
      </c>
      <c r="B16">
        <v>2017</v>
      </c>
      <c r="C16" s="22">
        <v>3817</v>
      </c>
      <c r="D16" s="22"/>
      <c r="E16" s="22">
        <v>45061</v>
      </c>
      <c r="F16" s="22">
        <v>27383</v>
      </c>
      <c r="G16" s="22">
        <f t="shared" si="5"/>
        <v>72444</v>
      </c>
      <c r="H16" s="22">
        <v>42232</v>
      </c>
      <c r="I16" s="22">
        <f t="shared" si="6"/>
        <v>30212</v>
      </c>
      <c r="J16" s="22">
        <v>1842465</v>
      </c>
      <c r="K16" s="22">
        <v>1640793</v>
      </c>
      <c r="L16" s="22">
        <f t="shared" si="7"/>
        <v>201672</v>
      </c>
      <c r="M16" s="20">
        <f t="shared" si="1"/>
        <v>5.2688973551984979E-2</v>
      </c>
      <c r="N16" s="19">
        <f t="shared" si="2"/>
        <v>0.13939305408465105</v>
      </c>
    </row>
    <row r="17" spans="1:14" x14ac:dyDescent="0.25">
      <c r="A17" t="s">
        <v>41</v>
      </c>
      <c r="B17">
        <v>2021</v>
      </c>
      <c r="C17" s="21">
        <v>4390.8</v>
      </c>
      <c r="D17" s="22"/>
      <c r="E17" s="21">
        <v>9687.6</v>
      </c>
      <c r="F17" s="22">
        <f>G17-E17</f>
        <v>16640.400000000001</v>
      </c>
      <c r="G17" s="21">
        <v>26328</v>
      </c>
      <c r="H17" s="21">
        <v>17326.8</v>
      </c>
      <c r="I17" s="22">
        <f>G17-H17</f>
        <v>9001.2000000000007</v>
      </c>
      <c r="J17" s="21">
        <v>1661142</v>
      </c>
      <c r="K17" s="21">
        <v>1576888.8</v>
      </c>
      <c r="L17" s="22">
        <f>J17-K17</f>
        <v>84253.199999999953</v>
      </c>
      <c r="M17" s="20">
        <f t="shared" si="1"/>
        <v>0.16677301731996355</v>
      </c>
      <c r="N17" s="19">
        <f t="shared" si="2"/>
        <v>0.26386384942669644</v>
      </c>
    </row>
    <row r="18" spans="1:14" x14ac:dyDescent="0.25">
      <c r="A18" t="s">
        <v>41</v>
      </c>
      <c r="B18">
        <v>2020</v>
      </c>
      <c r="C18" s="21">
        <v>3277.2</v>
      </c>
      <c r="D18" s="22"/>
      <c r="E18" s="21">
        <v>9746.4</v>
      </c>
      <c r="F18" s="22">
        <f t="shared" ref="F18:F21" si="8">G18-E18</f>
        <v>16372.800000000001</v>
      </c>
      <c r="G18" s="21">
        <v>26119.200000000001</v>
      </c>
      <c r="H18" s="21">
        <v>16663.2</v>
      </c>
      <c r="I18" s="22">
        <f t="shared" ref="I18:I21" si="9">G18-H18</f>
        <v>9456</v>
      </c>
      <c r="J18" s="21">
        <v>1619416.8</v>
      </c>
      <c r="K18" s="21">
        <v>1539158.4</v>
      </c>
      <c r="L18" s="22">
        <f t="shared" ref="L18:L21" si="10">J18-K18</f>
        <v>80258.40000000014</v>
      </c>
      <c r="M18" s="20">
        <f t="shared" si="1"/>
        <v>0.12547091794541945</v>
      </c>
      <c r="N18" s="19">
        <f t="shared" si="2"/>
        <v>0.20016124303723246</v>
      </c>
    </row>
    <row r="19" spans="1:14" x14ac:dyDescent="0.25">
      <c r="A19" t="s">
        <v>41</v>
      </c>
      <c r="B19">
        <v>2019</v>
      </c>
      <c r="C19" s="21">
        <v>3042</v>
      </c>
      <c r="D19" s="22"/>
      <c r="E19" s="21">
        <v>11288.4</v>
      </c>
      <c r="F19" s="22">
        <f t="shared" si="8"/>
        <v>14669.999999999998</v>
      </c>
      <c r="G19" s="21">
        <v>25958.399999999998</v>
      </c>
      <c r="H19" s="21">
        <v>18520.8</v>
      </c>
      <c r="I19" s="22">
        <f t="shared" si="9"/>
        <v>7437.5999999999985</v>
      </c>
      <c r="J19" s="21">
        <v>1368274.8</v>
      </c>
      <c r="K19" s="21">
        <v>1289482.8</v>
      </c>
      <c r="L19" s="22">
        <f t="shared" si="10"/>
        <v>78792</v>
      </c>
      <c r="M19" s="20">
        <f t="shared" si="1"/>
        <v>0.11718750000000001</v>
      </c>
      <c r="N19" s="19">
        <f t="shared" si="2"/>
        <v>0.20736196319018407</v>
      </c>
    </row>
    <row r="20" spans="1:14" x14ac:dyDescent="0.25">
      <c r="A20" t="s">
        <v>41</v>
      </c>
      <c r="B20">
        <v>2018</v>
      </c>
      <c r="C20" s="21">
        <v>3042</v>
      </c>
      <c r="D20" s="22"/>
      <c r="E20" s="21">
        <v>10874.4</v>
      </c>
      <c r="F20" s="22">
        <f t="shared" si="8"/>
        <v>14488.800000000001</v>
      </c>
      <c r="G20" s="21">
        <v>25363.200000000001</v>
      </c>
      <c r="H20" s="21">
        <v>19491.599999999999</v>
      </c>
      <c r="I20" s="22">
        <f t="shared" si="9"/>
        <v>5871.6000000000022</v>
      </c>
      <c r="J20" s="21">
        <v>1359939.5999999999</v>
      </c>
      <c r="K20" s="21">
        <v>1283404.8</v>
      </c>
      <c r="L20" s="22">
        <f t="shared" si="10"/>
        <v>76534.799999999814</v>
      </c>
      <c r="M20" s="20">
        <f t="shared" si="1"/>
        <v>0.11993754731264193</v>
      </c>
      <c r="N20" s="19">
        <f t="shared" si="2"/>
        <v>0.20995527579923801</v>
      </c>
    </row>
    <row r="21" spans="1:14" x14ac:dyDescent="0.25">
      <c r="A21" t="s">
        <v>41</v>
      </c>
      <c r="B21">
        <v>2017</v>
      </c>
      <c r="C21" s="21">
        <v>3037.2</v>
      </c>
      <c r="D21" s="22"/>
      <c r="E21" s="21">
        <v>11814</v>
      </c>
      <c r="F21" s="22">
        <f t="shared" si="8"/>
        <v>13477.2</v>
      </c>
      <c r="G21" s="21">
        <v>25291.200000000001</v>
      </c>
      <c r="H21" s="21">
        <v>18547.2</v>
      </c>
      <c r="I21" s="22">
        <f t="shared" si="9"/>
        <v>6744</v>
      </c>
      <c r="J21" s="21">
        <v>1359897.5999999999</v>
      </c>
      <c r="K21" s="21">
        <v>1280678.3999999999</v>
      </c>
      <c r="L21" s="22">
        <f t="shared" si="10"/>
        <v>79219.199999999953</v>
      </c>
      <c r="M21" s="20">
        <f t="shared" si="1"/>
        <v>0.12008920098690452</v>
      </c>
      <c r="N21" s="19">
        <f t="shared" si="2"/>
        <v>0.22535838304692365</v>
      </c>
    </row>
    <row r="22" spans="1:14" x14ac:dyDescent="0.25">
      <c r="A22" t="s">
        <v>42</v>
      </c>
      <c r="B22">
        <v>2021</v>
      </c>
      <c r="C22" s="21">
        <v>14168</v>
      </c>
      <c r="D22" s="22"/>
      <c r="E22" s="21">
        <v>6470</v>
      </c>
      <c r="F22" s="21">
        <v>52869</v>
      </c>
      <c r="G22" s="22">
        <f t="shared" ref="G22:G42" si="11">E22+F22</f>
        <v>59339</v>
      </c>
      <c r="H22" s="21">
        <v>31938</v>
      </c>
      <c r="I22" s="22">
        <f t="shared" ref="I22:I31" si="12">G22-H22</f>
        <v>27401</v>
      </c>
      <c r="J22" s="21">
        <v>1463988</v>
      </c>
      <c r="K22" s="21">
        <v>1354062</v>
      </c>
      <c r="L22" s="22">
        <f>J22-K22</f>
        <v>109926</v>
      </c>
      <c r="M22" s="20">
        <f t="shared" si="1"/>
        <v>0.2387637135779167</v>
      </c>
      <c r="N22" s="19">
        <f t="shared" si="2"/>
        <v>0.26798312810909986</v>
      </c>
    </row>
    <row r="23" spans="1:14" x14ac:dyDescent="0.25">
      <c r="A23" t="s">
        <v>42</v>
      </c>
      <c r="B23">
        <v>2020</v>
      </c>
      <c r="C23" s="21">
        <v>9141</v>
      </c>
      <c r="D23" s="22"/>
      <c r="E23" s="21">
        <v>4751</v>
      </c>
      <c r="F23" s="21">
        <v>39809</v>
      </c>
      <c r="G23" s="22">
        <f t="shared" si="11"/>
        <v>44560</v>
      </c>
      <c r="H23" s="21">
        <v>28983</v>
      </c>
      <c r="I23" s="22">
        <f t="shared" si="12"/>
        <v>15577</v>
      </c>
      <c r="J23" s="21">
        <v>1163028</v>
      </c>
      <c r="K23" s="21">
        <v>1067096</v>
      </c>
      <c r="L23" s="22">
        <f t="shared" ref="L23:L35" si="13">J23-K23</f>
        <v>95932</v>
      </c>
      <c r="M23" s="20">
        <f t="shared" si="1"/>
        <v>0.2051391382405745</v>
      </c>
      <c r="N23" s="19">
        <f t="shared" si="2"/>
        <v>0.22962144238739984</v>
      </c>
    </row>
    <row r="24" spans="1:14" x14ac:dyDescent="0.25">
      <c r="A24" t="s">
        <v>42</v>
      </c>
      <c r="B24">
        <v>2019</v>
      </c>
      <c r="C24" s="21">
        <v>6798</v>
      </c>
      <c r="D24" s="22"/>
      <c r="E24" s="21">
        <v>4362</v>
      </c>
      <c r="F24" s="21">
        <v>32184</v>
      </c>
      <c r="G24" s="22">
        <f t="shared" si="11"/>
        <v>36546</v>
      </c>
      <c r="H24" s="21">
        <v>24898</v>
      </c>
      <c r="I24" s="22">
        <f t="shared" si="12"/>
        <v>11648</v>
      </c>
      <c r="J24" s="21">
        <v>992968</v>
      </c>
      <c r="K24" s="21">
        <v>902703</v>
      </c>
      <c r="L24" s="22">
        <f t="shared" si="13"/>
        <v>90265</v>
      </c>
      <c r="M24" s="20">
        <f t="shared" si="1"/>
        <v>0.18601214907240191</v>
      </c>
      <c r="N24" s="19">
        <f t="shared" si="2"/>
        <v>0.21122296793437734</v>
      </c>
    </row>
    <row r="25" spans="1:14" x14ac:dyDescent="0.25">
      <c r="A25" t="s">
        <v>42</v>
      </c>
      <c r="B25">
        <v>2018</v>
      </c>
      <c r="C25" s="21">
        <v>7430</v>
      </c>
      <c r="D25" s="22"/>
      <c r="E25" s="21">
        <v>4362</v>
      </c>
      <c r="F25" s="21">
        <v>32849</v>
      </c>
      <c r="G25" s="22">
        <f t="shared" si="11"/>
        <v>37211</v>
      </c>
      <c r="H25" s="21">
        <v>23461</v>
      </c>
      <c r="I25" s="22">
        <f t="shared" si="12"/>
        <v>13750</v>
      </c>
      <c r="J25" s="21">
        <v>931796</v>
      </c>
      <c r="K25" s="21">
        <v>841611</v>
      </c>
      <c r="L25" s="22">
        <f t="shared" si="13"/>
        <v>90185</v>
      </c>
      <c r="M25" s="20">
        <f t="shared" si="1"/>
        <v>0.19967213995861438</v>
      </c>
      <c r="N25" s="19">
        <f t="shared" si="2"/>
        <v>0.2261864896952723</v>
      </c>
    </row>
    <row r="26" spans="1:14" x14ac:dyDescent="0.25">
      <c r="A26" t="s">
        <v>42</v>
      </c>
      <c r="B26">
        <v>2017</v>
      </c>
      <c r="C26" s="21">
        <v>7076</v>
      </c>
      <c r="D26" s="22"/>
      <c r="E26" s="21">
        <v>3767</v>
      </c>
      <c r="F26" s="21">
        <v>29798</v>
      </c>
      <c r="G26" s="22">
        <f t="shared" si="11"/>
        <v>33565</v>
      </c>
      <c r="H26" s="21">
        <v>20941</v>
      </c>
      <c r="I26" s="22">
        <f t="shared" si="12"/>
        <v>12624</v>
      </c>
      <c r="J26" s="21">
        <v>916776</v>
      </c>
      <c r="K26" s="21">
        <v>834533</v>
      </c>
      <c r="L26" s="22">
        <f t="shared" si="13"/>
        <v>82243</v>
      </c>
      <c r="M26" s="20">
        <f t="shared" si="1"/>
        <v>0.21081483688365857</v>
      </c>
      <c r="N26" s="19">
        <f t="shared" si="2"/>
        <v>0.23746560171823614</v>
      </c>
    </row>
    <row r="27" spans="1:14" x14ac:dyDescent="0.25">
      <c r="A27" t="s">
        <v>45</v>
      </c>
      <c r="B27">
        <v>2021</v>
      </c>
      <c r="C27" s="21">
        <v>13216</v>
      </c>
      <c r="D27" s="22"/>
      <c r="E27" s="21">
        <v>52311</v>
      </c>
      <c r="F27" s="21">
        <v>69338</v>
      </c>
      <c r="G27" s="22">
        <f t="shared" si="11"/>
        <v>121649</v>
      </c>
      <c r="H27" s="21">
        <v>71343</v>
      </c>
      <c r="I27" s="22">
        <f t="shared" si="12"/>
        <v>50306</v>
      </c>
      <c r="J27" s="21">
        <v>3743567</v>
      </c>
      <c r="K27" s="21">
        <v>3449440</v>
      </c>
      <c r="L27" s="22">
        <f t="shared" si="13"/>
        <v>294127</v>
      </c>
      <c r="M27" s="20">
        <f t="shared" si="1"/>
        <v>0.10864043272036762</v>
      </c>
      <c r="N27" s="19">
        <f t="shared" si="2"/>
        <v>0.19060255559721942</v>
      </c>
    </row>
    <row r="28" spans="1:14" x14ac:dyDescent="0.25">
      <c r="A28" t="s">
        <v>45</v>
      </c>
      <c r="B28">
        <v>2020</v>
      </c>
      <c r="C28" s="21">
        <v>9486</v>
      </c>
      <c r="D28" s="22"/>
      <c r="E28" s="21">
        <v>54563</v>
      </c>
      <c r="F28" s="21">
        <v>65388</v>
      </c>
      <c r="G28" s="22">
        <f t="shared" si="11"/>
        <v>119951</v>
      </c>
      <c r="H28" s="21">
        <v>66656</v>
      </c>
      <c r="I28" s="22">
        <f t="shared" si="12"/>
        <v>53295</v>
      </c>
      <c r="J28" s="21">
        <v>3384757</v>
      </c>
      <c r="K28" s="21">
        <v>3105403</v>
      </c>
      <c r="L28" s="22">
        <f t="shared" si="13"/>
        <v>279354</v>
      </c>
      <c r="M28" s="20">
        <f t="shared" si="1"/>
        <v>7.9082291935873822E-2</v>
      </c>
      <c r="N28" s="19">
        <f t="shared" si="2"/>
        <v>0.14507249036520461</v>
      </c>
    </row>
    <row r="29" spans="1:14" x14ac:dyDescent="0.25">
      <c r="A29" t="s">
        <v>45</v>
      </c>
      <c r="B29">
        <v>2019</v>
      </c>
      <c r="C29" s="21">
        <v>7501</v>
      </c>
      <c r="D29" s="22"/>
      <c r="E29" s="21">
        <v>57245</v>
      </c>
      <c r="F29" s="21">
        <v>58475</v>
      </c>
      <c r="G29" s="22">
        <f t="shared" si="11"/>
        <v>115720</v>
      </c>
      <c r="H29" s="21">
        <v>65269</v>
      </c>
      <c r="I29" s="22">
        <f t="shared" si="12"/>
        <v>50451</v>
      </c>
      <c r="J29" s="21">
        <v>2687379</v>
      </c>
      <c r="K29" s="21">
        <v>2426049</v>
      </c>
      <c r="L29" s="22">
        <f t="shared" si="13"/>
        <v>261330</v>
      </c>
      <c r="M29" s="20">
        <f t="shared" si="1"/>
        <v>6.4820255789837536E-2</v>
      </c>
      <c r="N29" s="19">
        <f t="shared" si="2"/>
        <v>0.12827704147071398</v>
      </c>
    </row>
    <row r="30" spans="1:14" x14ac:dyDescent="0.25">
      <c r="A30" t="s">
        <v>45</v>
      </c>
      <c r="B30">
        <v>2018</v>
      </c>
      <c r="C30" s="21">
        <v>7550</v>
      </c>
      <c r="D30" s="22"/>
      <c r="E30" s="21">
        <v>55059</v>
      </c>
      <c r="F30" s="21">
        <v>53970</v>
      </c>
      <c r="G30" s="22">
        <f t="shared" si="11"/>
        <v>109029</v>
      </c>
      <c r="H30" s="21">
        <v>63394</v>
      </c>
      <c r="I30" s="22">
        <f t="shared" si="12"/>
        <v>45635</v>
      </c>
      <c r="J30" s="21">
        <v>2622532</v>
      </c>
      <c r="K30" s="21">
        <v>2366017</v>
      </c>
      <c r="L30" s="22">
        <f t="shared" si="13"/>
        <v>256515</v>
      </c>
      <c r="M30" s="20">
        <f t="shared" si="1"/>
        <v>6.9247631364132478E-2</v>
      </c>
      <c r="N30" s="19">
        <f t="shared" si="2"/>
        <v>0.13989253288864184</v>
      </c>
    </row>
    <row r="31" spans="1:14" x14ac:dyDescent="0.25">
      <c r="A31" t="s">
        <v>45</v>
      </c>
      <c r="B31">
        <v>2017</v>
      </c>
      <c r="C31" s="21">
        <v>7412</v>
      </c>
      <c r="D31" s="22"/>
      <c r="E31" s="21">
        <v>50097</v>
      </c>
      <c r="F31" s="21">
        <v>50608</v>
      </c>
      <c r="G31" s="22">
        <f t="shared" si="11"/>
        <v>100705</v>
      </c>
      <c r="H31" s="21">
        <v>59515</v>
      </c>
      <c r="I31" s="22">
        <f t="shared" si="12"/>
        <v>41190</v>
      </c>
      <c r="J31" s="21">
        <v>2533600</v>
      </c>
      <c r="K31" s="21">
        <v>2277907</v>
      </c>
      <c r="L31" s="22">
        <f t="shared" si="13"/>
        <v>255693</v>
      </c>
      <c r="M31" s="20">
        <f t="shared" si="1"/>
        <v>7.3601112159277102E-2</v>
      </c>
      <c r="N31" s="19">
        <f t="shared" si="2"/>
        <v>0.14645905785646537</v>
      </c>
    </row>
    <row r="32" spans="1:14" x14ac:dyDescent="0.25">
      <c r="A32" t="s">
        <v>46</v>
      </c>
      <c r="B32">
        <v>2017</v>
      </c>
      <c r="C32" s="22">
        <f>1947</f>
        <v>1947</v>
      </c>
      <c r="D32" s="22"/>
      <c r="E32" s="22">
        <f>26904*0.74</f>
        <v>19908.96</v>
      </c>
      <c r="F32" s="22">
        <f>23529*0.74</f>
        <v>17411.46</v>
      </c>
      <c r="G32" s="22">
        <f t="shared" si="11"/>
        <v>37320.42</v>
      </c>
      <c r="H32" s="22">
        <f>11469*0.74</f>
        <v>8487.06</v>
      </c>
      <c r="I32" s="22">
        <f>21794*0.74</f>
        <v>16127.56</v>
      </c>
      <c r="J32" s="22">
        <f>1212853*0.74</f>
        <v>897511.22</v>
      </c>
      <c r="K32" s="22">
        <f>1138425*0.74</f>
        <v>842434.5</v>
      </c>
      <c r="L32" s="22">
        <f t="shared" si="13"/>
        <v>55076.719999999972</v>
      </c>
      <c r="M32" s="20">
        <f t="shared" si="1"/>
        <v>5.2169830886147586E-2</v>
      </c>
      <c r="N32" s="19">
        <f t="shared" si="2"/>
        <v>0.11182290284674577</v>
      </c>
    </row>
    <row r="33" spans="1:14" x14ac:dyDescent="0.25">
      <c r="A33" t="s">
        <v>46</v>
      </c>
      <c r="B33">
        <v>2018</v>
      </c>
      <c r="C33" s="22">
        <f>668</f>
        <v>668</v>
      </c>
      <c r="D33" s="22"/>
      <c r="E33" s="22">
        <f>17952*0.74</f>
        <v>13284.48</v>
      </c>
      <c r="F33" s="22">
        <f>24385*0.74</f>
        <v>18044.900000000001</v>
      </c>
      <c r="G33" s="22">
        <f t="shared" si="11"/>
        <v>31329.38</v>
      </c>
      <c r="H33" s="22">
        <f>0.74*12431</f>
        <v>9198.94</v>
      </c>
      <c r="I33" s="22">
        <f>22833*0.74</f>
        <v>16896.419999999998</v>
      </c>
      <c r="J33" s="22">
        <f>1334734*0.74</f>
        <v>987703.16</v>
      </c>
      <c r="K33" s="22">
        <f>1254779*0.74</f>
        <v>928536.46</v>
      </c>
      <c r="L33" s="22">
        <f t="shared" si="13"/>
        <v>59166.70000000007</v>
      </c>
      <c r="M33" s="20">
        <f t="shared" si="1"/>
        <v>2.1321839117148186E-2</v>
      </c>
      <c r="N33" s="19">
        <f t="shared" si="2"/>
        <v>3.7018769846327772E-2</v>
      </c>
    </row>
    <row r="34" spans="1:14" x14ac:dyDescent="0.25">
      <c r="A34" t="s">
        <v>46</v>
      </c>
      <c r="B34">
        <v>2019</v>
      </c>
      <c r="C34" s="22">
        <f>1698</f>
        <v>1698</v>
      </c>
      <c r="D34" s="22"/>
      <c r="E34" s="22">
        <f>19749* 0.74</f>
        <v>14614.26</v>
      </c>
      <c r="F34" s="22">
        <f>26253*0.74</f>
        <v>19427.22</v>
      </c>
      <c r="G34" s="22">
        <f t="shared" si="11"/>
        <v>34041.480000000003</v>
      </c>
      <c r="H34" s="22">
        <f>0.74*12871</f>
        <v>9524.5399999999991</v>
      </c>
      <c r="I34" s="22">
        <f>0.74*24139</f>
        <v>17862.86</v>
      </c>
      <c r="J34" s="22">
        <f>1428935*0.74</f>
        <v>1057411.8999999999</v>
      </c>
      <c r="K34" s="22">
        <f>1345310*0.74</f>
        <v>995529.4</v>
      </c>
      <c r="L34" s="22">
        <f t="shared" si="13"/>
        <v>61882.499999999884</v>
      </c>
      <c r="M34" s="20">
        <f t="shared" si="1"/>
        <v>4.9880322477166089E-2</v>
      </c>
      <c r="N34" s="19">
        <f t="shared" si="2"/>
        <v>8.7403138483015064E-2</v>
      </c>
    </row>
    <row r="35" spans="1:14" x14ac:dyDescent="0.25">
      <c r="A35" t="s">
        <v>46</v>
      </c>
      <c r="B35">
        <v>2020</v>
      </c>
      <c r="C35" s="22">
        <f>1757</f>
        <v>1757</v>
      </c>
      <c r="D35" s="22"/>
      <c r="E35" s="22">
        <f>20835*0.74</f>
        <v>15417.9</v>
      </c>
      <c r="F35" s="22">
        <f>26346*0.74</f>
        <v>19496.04</v>
      </c>
      <c r="G35" s="22">
        <f t="shared" si="11"/>
        <v>34913.94</v>
      </c>
      <c r="H35" s="22">
        <f>11437*0.74</f>
        <v>8463.3799999999992</v>
      </c>
      <c r="I35" s="22">
        <f>24758*0.74</f>
        <v>18320.919999999998</v>
      </c>
      <c r="J35" s="22">
        <f>1624548*0.74</f>
        <v>1202165.52</v>
      </c>
      <c r="K35" s="22">
        <f>1537781*0.74</f>
        <v>1137957.94</v>
      </c>
      <c r="L35" s="22">
        <f t="shared" si="13"/>
        <v>64207.580000000075</v>
      </c>
      <c r="M35" s="20">
        <f t="shared" si="1"/>
        <v>5.0323738884812196E-2</v>
      </c>
      <c r="N35" s="19">
        <f t="shared" si="2"/>
        <v>9.0120865570649217E-2</v>
      </c>
    </row>
    <row r="36" spans="1:14" x14ac:dyDescent="0.25">
      <c r="A36" t="s">
        <v>46</v>
      </c>
      <c r="B36">
        <v>2021</v>
      </c>
      <c r="C36" s="22">
        <v>2559</v>
      </c>
      <c r="D36" s="22"/>
      <c r="E36" s="22">
        <f>20002*0.74</f>
        <v>14801.48</v>
      </c>
      <c r="F36" s="22">
        <f>29691*0.74</f>
        <v>21971.34</v>
      </c>
      <c r="G36" s="22">
        <f t="shared" si="11"/>
        <v>36772.82</v>
      </c>
      <c r="H36" s="22">
        <f>16050*0.74</f>
        <v>11877</v>
      </c>
      <c r="I36" s="22">
        <f>25924*0.74</f>
        <v>19183.759999999998</v>
      </c>
      <c r="J36" s="22">
        <f>1706323*0.74</f>
        <v>1262679.02</v>
      </c>
      <c r="K36" s="22">
        <f>1607561*0.74</f>
        <v>1189595.1399999999</v>
      </c>
      <c r="L36" s="22">
        <f>J36-K36</f>
        <v>73083.880000000121</v>
      </c>
      <c r="M36" s="20">
        <f t="shared" si="1"/>
        <v>6.9589441331940283E-2</v>
      </c>
      <c r="N36" s="19">
        <f t="shared" si="2"/>
        <v>0.11646991034684274</v>
      </c>
    </row>
    <row r="37" spans="1:14" x14ac:dyDescent="0.25">
      <c r="A37" t="s">
        <v>47</v>
      </c>
      <c r="B37">
        <v>2017</v>
      </c>
      <c r="C37" s="22">
        <v>2985</v>
      </c>
      <c r="D37" s="22"/>
      <c r="E37" s="22">
        <f>12378</f>
        <v>12378</v>
      </c>
      <c r="F37" s="22">
        <f>14070</f>
        <v>14070</v>
      </c>
      <c r="G37" s="22">
        <f t="shared" si="11"/>
        <v>26448</v>
      </c>
      <c r="H37" s="22">
        <v>24695</v>
      </c>
      <c r="I37" s="22">
        <f t="shared" ref="I37:I40" si="14">G37-H37</f>
        <v>1753</v>
      </c>
      <c r="J37" s="22">
        <f>1474732</f>
        <v>1474732</v>
      </c>
      <c r="K37" s="22">
        <f>1406633</f>
        <v>1406633</v>
      </c>
      <c r="L37" s="22">
        <f t="shared" ref="L37:L39" si="15">J37-K37</f>
        <v>68099</v>
      </c>
      <c r="M37" s="20">
        <f t="shared" si="1"/>
        <v>0.11286297640653357</v>
      </c>
      <c r="N37" s="19">
        <f t="shared" si="2"/>
        <v>0.21215351812366737</v>
      </c>
    </row>
    <row r="38" spans="1:14" x14ac:dyDescent="0.25">
      <c r="A38" t="s">
        <v>47</v>
      </c>
      <c r="B38">
        <v>2018</v>
      </c>
      <c r="C38" s="22">
        <v>1696</v>
      </c>
      <c r="D38" s="22"/>
      <c r="E38" s="22">
        <f>13192</f>
        <v>13192</v>
      </c>
      <c r="F38" s="22">
        <f>12124</f>
        <v>12124</v>
      </c>
      <c r="G38" s="22">
        <f t="shared" si="11"/>
        <v>25316</v>
      </c>
      <c r="H38" s="22">
        <v>23461</v>
      </c>
      <c r="I38" s="22">
        <f t="shared" si="14"/>
        <v>1855</v>
      </c>
      <c r="J38" s="22">
        <f>1348137</f>
        <v>1348137</v>
      </c>
      <c r="K38" s="22">
        <f>1279400</f>
        <v>1279400</v>
      </c>
      <c r="L38" s="22">
        <f t="shared" si="15"/>
        <v>68737</v>
      </c>
      <c r="M38" s="20">
        <f t="shared" si="1"/>
        <v>6.6993205877705797E-2</v>
      </c>
      <c r="N38" s="19">
        <f t="shared" si="2"/>
        <v>0.13988782580006598</v>
      </c>
    </row>
    <row r="39" spans="1:14" x14ac:dyDescent="0.25">
      <c r="A39" t="s">
        <v>47</v>
      </c>
      <c r="B39">
        <v>2019</v>
      </c>
      <c r="C39" s="22">
        <v>1656</v>
      </c>
      <c r="D39" s="22"/>
      <c r="E39" s="22">
        <f>13749</f>
        <v>13749</v>
      </c>
      <c r="F39" s="22">
        <v>9416</v>
      </c>
      <c r="G39" s="22">
        <f t="shared" si="11"/>
        <v>23165</v>
      </c>
      <c r="H39" s="22">
        <v>25076</v>
      </c>
      <c r="I39" s="22">
        <f t="shared" si="14"/>
        <v>-1911</v>
      </c>
      <c r="J39" s="22">
        <v>1297674</v>
      </c>
      <c r="K39" s="22">
        <v>1235515</v>
      </c>
      <c r="L39" s="22">
        <f t="shared" si="15"/>
        <v>62159</v>
      </c>
      <c r="M39" s="20">
        <f t="shared" si="1"/>
        <v>7.1487157349449604E-2</v>
      </c>
      <c r="N39" s="19">
        <f t="shared" si="2"/>
        <v>0.17587085811384875</v>
      </c>
    </row>
    <row r="40" spans="1:14" x14ac:dyDescent="0.25">
      <c r="A40" t="s">
        <v>47</v>
      </c>
      <c r="B40">
        <v>2020</v>
      </c>
      <c r="C40" s="22">
        <v>1688</v>
      </c>
      <c r="D40" s="22"/>
      <c r="E40" s="22">
        <f>11526</f>
        <v>11526</v>
      </c>
      <c r="F40" s="22">
        <v>12503</v>
      </c>
      <c r="G40" s="22">
        <f t="shared" si="11"/>
        <v>24029</v>
      </c>
      <c r="H40" s="22">
        <v>21216</v>
      </c>
      <c r="I40" s="22">
        <f t="shared" si="14"/>
        <v>2813</v>
      </c>
      <c r="J40" s="22">
        <v>1325259</v>
      </c>
      <c r="K40" s="22">
        <f>1263063</f>
        <v>1263063</v>
      </c>
      <c r="L40" s="22">
        <f>J40-K40</f>
        <v>62196</v>
      </c>
      <c r="M40" s="20">
        <f t="shared" si="1"/>
        <v>7.0248449789837283E-2</v>
      </c>
      <c r="N40" s="19">
        <f t="shared" si="2"/>
        <v>0.13500759817643765</v>
      </c>
    </row>
    <row r="41" spans="1:14" x14ac:dyDescent="0.25">
      <c r="A41" t="s">
        <v>47</v>
      </c>
      <c r="B41">
        <v>2021</v>
      </c>
      <c r="C41" s="22">
        <v>2264</v>
      </c>
      <c r="D41" s="22"/>
      <c r="E41" s="22">
        <f>11155</f>
        <v>11155</v>
      </c>
      <c r="F41" s="22">
        <f>14255</f>
        <v>14255</v>
      </c>
      <c r="G41" s="22">
        <f t="shared" si="11"/>
        <v>25410</v>
      </c>
      <c r="H41" s="22">
        <v>21505</v>
      </c>
      <c r="I41" s="22">
        <f>G41-H41</f>
        <v>3905</v>
      </c>
      <c r="J41" s="22">
        <v>1323993</v>
      </c>
      <c r="K41" s="22">
        <v>1255962</v>
      </c>
      <c r="L41" s="22">
        <f>J41-K41</f>
        <v>68031</v>
      </c>
      <c r="M41" s="20">
        <f t="shared" si="1"/>
        <v>8.9098780007870915E-2</v>
      </c>
      <c r="N41" s="19">
        <f t="shared" si="2"/>
        <v>0.15882146615222728</v>
      </c>
    </row>
    <row r="42" spans="1:14" x14ac:dyDescent="0.25">
      <c r="A42" t="s">
        <v>36</v>
      </c>
      <c r="B42">
        <v>2021</v>
      </c>
      <c r="C42" s="22">
        <v>8887</v>
      </c>
      <c r="D42" s="22"/>
      <c r="E42" s="22">
        <v>42934</v>
      </c>
      <c r="F42" s="22">
        <v>46179</v>
      </c>
      <c r="G42" s="22">
        <f t="shared" si="11"/>
        <v>89113</v>
      </c>
      <c r="H42" s="22">
        <v>59731</v>
      </c>
      <c r="I42" s="22">
        <f>G42-H42</f>
        <v>29382</v>
      </c>
      <c r="J42" s="22">
        <v>3169495</v>
      </c>
      <c r="K42" s="22">
        <v>2899429</v>
      </c>
      <c r="L42" s="22">
        <f>J42-K42</f>
        <v>270066</v>
      </c>
      <c r="M42" s="20">
        <f t="shared" si="1"/>
        <v>9.9727312513325783E-2</v>
      </c>
      <c r="N42" s="19">
        <f t="shared" si="2"/>
        <v>0.1924467831698391</v>
      </c>
    </row>
    <row r="43" spans="1:14" x14ac:dyDescent="0.25">
      <c r="A43" t="s">
        <v>36</v>
      </c>
      <c r="B43">
        <v>2020</v>
      </c>
      <c r="C43" s="22">
        <v>7180</v>
      </c>
      <c r="D43" s="22"/>
      <c r="E43" s="22">
        <v>43360</v>
      </c>
      <c r="F43" s="22">
        <v>42168</v>
      </c>
      <c r="G43" s="22">
        <v>85528</v>
      </c>
      <c r="H43" s="22">
        <v>55213</v>
      </c>
      <c r="I43" s="22">
        <f t="shared" ref="I43:I46" si="16">G43-H43</f>
        <v>30315</v>
      </c>
      <c r="J43" s="22">
        <v>2819627</v>
      </c>
      <c r="K43" s="22">
        <v>2546703</v>
      </c>
      <c r="L43" s="22">
        <f t="shared" ref="L43:L46" si="17">J43-K43</f>
        <v>272924</v>
      </c>
      <c r="M43" s="20">
        <f t="shared" si="1"/>
        <v>8.394911607894491E-2</v>
      </c>
      <c r="N43" s="19">
        <f t="shared" si="2"/>
        <v>0.17027129576930375</v>
      </c>
    </row>
    <row r="44" spans="1:14" x14ac:dyDescent="0.25">
      <c r="A44" t="s">
        <v>36</v>
      </c>
      <c r="B44">
        <v>2019</v>
      </c>
      <c r="C44" s="22">
        <v>5642</v>
      </c>
      <c r="D44" s="22"/>
      <c r="E44" s="22">
        <v>48891</v>
      </c>
      <c r="F44" s="22">
        <v>42353</v>
      </c>
      <c r="G44" s="22">
        <v>91244</v>
      </c>
      <c r="H44" s="22">
        <v>54900</v>
      </c>
      <c r="I44" s="22">
        <f t="shared" si="16"/>
        <v>36344</v>
      </c>
      <c r="J44" s="22">
        <v>2434079</v>
      </c>
      <c r="K44" s="22">
        <v>2169269</v>
      </c>
      <c r="L44" s="22">
        <f t="shared" si="17"/>
        <v>264810</v>
      </c>
      <c r="M44" s="20">
        <f t="shared" si="1"/>
        <v>6.1834202796896234E-2</v>
      </c>
      <c r="N44" s="19">
        <f t="shared" si="2"/>
        <v>0.13321370386985573</v>
      </c>
    </row>
    <row r="45" spans="1:14" x14ac:dyDescent="0.25">
      <c r="A45" t="s">
        <v>36</v>
      </c>
      <c r="B45">
        <v>2018</v>
      </c>
      <c r="C45" s="22">
        <v>5327</v>
      </c>
      <c r="D45" s="22"/>
      <c r="E45" s="22">
        <v>48162</v>
      </c>
      <c r="F45" s="22">
        <v>42858</v>
      </c>
      <c r="G45" s="22">
        <v>91020</v>
      </c>
      <c r="H45" s="22">
        <v>53381</v>
      </c>
      <c r="I45" s="22">
        <f t="shared" si="16"/>
        <v>37639</v>
      </c>
      <c r="J45" s="22">
        <v>2325246</v>
      </c>
      <c r="K45" s="22">
        <v>2060498</v>
      </c>
      <c r="L45" s="22">
        <f t="shared" si="17"/>
        <v>264748</v>
      </c>
      <c r="M45" s="20">
        <f t="shared" si="1"/>
        <v>5.8525598769501211E-2</v>
      </c>
      <c r="N45" s="19">
        <f t="shared" si="2"/>
        <v>0.124294180783051</v>
      </c>
    </row>
    <row r="46" spans="1:14" x14ac:dyDescent="0.25">
      <c r="A46" t="s">
        <v>36</v>
      </c>
      <c r="B46">
        <v>2017</v>
      </c>
      <c r="C46" s="22">
        <v>6011</v>
      </c>
      <c r="D46" s="22"/>
      <c r="E46" s="22">
        <v>45239</v>
      </c>
      <c r="F46" s="22">
        <v>41887</v>
      </c>
      <c r="G46" s="22">
        <v>87126</v>
      </c>
      <c r="H46" s="22">
        <v>54743</v>
      </c>
      <c r="I46" s="22">
        <f t="shared" si="16"/>
        <v>32383</v>
      </c>
      <c r="J46" s="22">
        <v>2268633</v>
      </c>
      <c r="K46" s="22">
        <v>1997344</v>
      </c>
      <c r="L46" s="22">
        <f t="shared" si="17"/>
        <v>271289</v>
      </c>
      <c r="M46" s="20">
        <f t="shared" si="1"/>
        <v>6.8992034524711338E-2</v>
      </c>
      <c r="N46" s="19">
        <f t="shared" si="2"/>
        <v>0.1435051447943276</v>
      </c>
    </row>
    <row r="47" spans="1:14" x14ac:dyDescent="0.25">
      <c r="A47" t="s">
        <v>48</v>
      </c>
      <c r="B47">
        <v>2021</v>
      </c>
      <c r="C47" s="22">
        <v>10994</v>
      </c>
      <c r="D47" s="22"/>
      <c r="E47" s="22">
        <v>8045</v>
      </c>
      <c r="F47" s="22">
        <f>G47-E47</f>
        <v>51710</v>
      </c>
      <c r="G47" s="22">
        <v>59755</v>
      </c>
      <c r="H47" s="22">
        <v>40083</v>
      </c>
      <c r="I47" s="22">
        <f>G47-H47</f>
        <v>19672</v>
      </c>
      <c r="J47" s="22">
        <v>1188140</v>
      </c>
      <c r="K47" s="22">
        <v>1081542</v>
      </c>
      <c r="L47" s="22">
        <f>J47-K47</f>
        <v>106598</v>
      </c>
      <c r="M47" s="20">
        <f t="shared" si="1"/>
        <v>0.18398460379884529</v>
      </c>
      <c r="N47" s="19">
        <f t="shared" si="2"/>
        <v>0.21260877973312706</v>
      </c>
    </row>
    <row r="48" spans="1:14" x14ac:dyDescent="0.25">
      <c r="A48" t="s">
        <v>48</v>
      </c>
      <c r="B48">
        <v>2020</v>
      </c>
      <c r="C48" s="22">
        <v>7674</v>
      </c>
      <c r="D48" s="22"/>
      <c r="E48" s="22">
        <v>6313</v>
      </c>
      <c r="F48" s="22">
        <f t="shared" ref="F48:F51" si="18">G48-E48</f>
        <v>42444</v>
      </c>
      <c r="G48" s="22">
        <v>48757</v>
      </c>
      <c r="H48" s="22">
        <v>33578</v>
      </c>
      <c r="I48" s="22">
        <f t="shared" ref="I48:I51" si="19">G48-H48</f>
        <v>15179</v>
      </c>
      <c r="J48" s="22">
        <v>1115862</v>
      </c>
      <c r="K48" s="22">
        <v>1012713</v>
      </c>
      <c r="L48" s="22">
        <f t="shared" ref="L48:L51" si="20">J48-K48</f>
        <v>103149</v>
      </c>
      <c r="M48" s="20">
        <f t="shared" si="1"/>
        <v>0.15739278462579731</v>
      </c>
      <c r="N48" s="19">
        <f t="shared" si="2"/>
        <v>0.18080294034492508</v>
      </c>
    </row>
    <row r="49" spans="1:14" x14ac:dyDescent="0.25">
      <c r="A49" t="s">
        <v>48</v>
      </c>
      <c r="B49">
        <v>2019</v>
      </c>
      <c r="C49" s="22">
        <v>6163</v>
      </c>
      <c r="D49" s="23"/>
      <c r="E49" s="22">
        <v>4694</v>
      </c>
      <c r="F49" s="22">
        <f t="shared" si="18"/>
        <v>36844</v>
      </c>
      <c r="G49" s="22">
        <v>41538</v>
      </c>
      <c r="H49" s="22">
        <v>30076</v>
      </c>
      <c r="I49" s="22">
        <f t="shared" si="19"/>
        <v>11462</v>
      </c>
      <c r="J49" s="22">
        <v>895429</v>
      </c>
      <c r="K49" s="22">
        <v>812732</v>
      </c>
      <c r="L49" s="22">
        <f t="shared" si="20"/>
        <v>82697</v>
      </c>
      <c r="M49" s="20">
        <f t="shared" si="1"/>
        <v>0.14837016707593048</v>
      </c>
      <c r="N49" s="19">
        <f t="shared" si="2"/>
        <v>0.16727282596895016</v>
      </c>
    </row>
    <row r="50" spans="1:14" x14ac:dyDescent="0.25">
      <c r="A50" t="s">
        <v>48</v>
      </c>
      <c r="B50">
        <v>2018</v>
      </c>
      <c r="C50" s="22">
        <v>6482</v>
      </c>
      <c r="D50" s="23"/>
      <c r="E50" s="22">
        <v>3806</v>
      </c>
      <c r="F50" s="22">
        <f t="shared" si="18"/>
        <v>36301</v>
      </c>
      <c r="G50" s="22">
        <v>40107</v>
      </c>
      <c r="H50" s="22">
        <v>28870</v>
      </c>
      <c r="I50" s="22">
        <f t="shared" si="19"/>
        <v>11237</v>
      </c>
      <c r="J50" s="22">
        <v>853531</v>
      </c>
      <c r="K50" s="22">
        <v>772125</v>
      </c>
      <c r="L50" s="22">
        <f t="shared" si="20"/>
        <v>81406</v>
      </c>
      <c r="M50" s="20">
        <f t="shared" si="1"/>
        <v>0.1616176727254594</v>
      </c>
      <c r="N50" s="19">
        <f t="shared" si="2"/>
        <v>0.17856257403377318</v>
      </c>
    </row>
    <row r="51" spans="1:14" x14ac:dyDescent="0.25">
      <c r="A51" t="s">
        <v>48</v>
      </c>
      <c r="B51">
        <v>2017</v>
      </c>
      <c r="C51" s="22">
        <v>6003</v>
      </c>
      <c r="D51" s="23"/>
      <c r="E51" s="22">
        <v>3300</v>
      </c>
      <c r="F51" s="22">
        <f t="shared" si="18"/>
        <v>34645</v>
      </c>
      <c r="G51" s="22">
        <v>37945</v>
      </c>
      <c r="H51" s="22">
        <v>27542</v>
      </c>
      <c r="I51" s="22">
        <f t="shared" si="19"/>
        <v>10403</v>
      </c>
      <c r="J51" s="22">
        <v>851733</v>
      </c>
      <c r="K51" s="22">
        <v>737772</v>
      </c>
      <c r="L51" s="22">
        <f t="shared" si="20"/>
        <v>113961</v>
      </c>
      <c r="M51" s="20">
        <f t="shared" si="1"/>
        <v>0.15820266174726577</v>
      </c>
      <c r="N51" s="19">
        <f t="shared" si="2"/>
        <v>0.1732717563862029</v>
      </c>
    </row>
    <row r="52" spans="1:14" x14ac:dyDescent="0.25">
      <c r="A52"/>
      <c r="B52"/>
    </row>
    <row r="53" spans="1:14" x14ac:dyDescent="0.25">
      <c r="M53" s="6"/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268E-C383-4E4F-B3B7-10185F54AA2C}">
  <dimension ref="A1:AMK53"/>
  <sheetViews>
    <sheetView zoomScale="90" zoomScaleNormal="90" workbookViewId="0">
      <selection activeCell="H17" sqref="H17"/>
    </sheetView>
  </sheetViews>
  <sheetFormatPr defaultRowHeight="15" x14ac:dyDescent="0.25"/>
  <cols>
    <col min="1" max="1" width="39.375" style="1" customWidth="1"/>
    <col min="2" max="2" width="10.25" style="1" customWidth="1"/>
    <col min="3" max="3" width="19.5" style="1" customWidth="1"/>
    <col min="4" max="4" width="13.875" style="1" customWidth="1"/>
    <col min="5" max="5" width="21.875" style="1" customWidth="1"/>
    <col min="6" max="6" width="18.125" style="1" customWidth="1"/>
    <col min="7" max="7" width="19.25" style="1" customWidth="1"/>
    <col min="8" max="8" width="22.25" style="1" bestFit="1" customWidth="1"/>
    <col min="9" max="9" width="23.75" style="1" customWidth="1"/>
    <col min="10" max="11" width="19.75" style="1" bestFit="1" customWidth="1"/>
    <col min="12" max="12" width="18.875" style="1" customWidth="1"/>
    <col min="13" max="13" width="25" style="1" customWidth="1"/>
    <col min="14" max="14" width="32" style="1" customWidth="1"/>
    <col min="15" max="1025" width="7.875" style="1" customWidth="1"/>
    <col min="1026" max="1026" width="9" customWidth="1"/>
  </cols>
  <sheetData>
    <row r="1" spans="1:1025" x14ac:dyDescent="0.25">
      <c r="A1" t="s">
        <v>22</v>
      </c>
      <c r="B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30</v>
      </c>
      <c r="I1" s="1" t="s">
        <v>29</v>
      </c>
      <c r="J1" s="1" t="s">
        <v>31</v>
      </c>
      <c r="K1" s="1" t="s">
        <v>32</v>
      </c>
      <c r="L1" s="1" t="s">
        <v>49</v>
      </c>
      <c r="M1" s="1" t="s">
        <v>34</v>
      </c>
      <c r="N1" s="1" t="s">
        <v>35</v>
      </c>
    </row>
    <row r="2" spans="1:1025" s="13" customFormat="1" x14ac:dyDescent="0.25">
      <c r="A2" s="13" t="s">
        <v>38</v>
      </c>
      <c r="B2" s="13">
        <v>2021</v>
      </c>
      <c r="C2" s="14">
        <v>4365699</v>
      </c>
      <c r="D2" s="14"/>
      <c r="E2" s="14">
        <f>943336-854554</f>
        <v>88782</v>
      </c>
      <c r="F2" s="14">
        <f t="shared" ref="F2:F11" si="0">G2-E2</f>
        <v>8096547</v>
      </c>
      <c r="G2" s="14">
        <v>8185329</v>
      </c>
      <c r="H2" s="14">
        <f>5836805-77084</f>
        <v>5759721</v>
      </c>
      <c r="I2" s="14">
        <f>G2-H2</f>
        <v>2425608</v>
      </c>
      <c r="J2" s="14">
        <v>60404110</v>
      </c>
      <c r="K2" s="14">
        <v>49674070</v>
      </c>
      <c r="L2" s="14">
        <f>J2-K2</f>
        <v>10730040</v>
      </c>
      <c r="M2" s="14">
        <f t="shared" ref="M2:M11" si="1">C2/G2</f>
        <v>0.53335657002913384</v>
      </c>
      <c r="N2" s="14">
        <f t="shared" ref="N2:N11" si="2">C2/F2</f>
        <v>0.53920504629936683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  <c r="AMK2" s="15"/>
    </row>
    <row r="3" spans="1:1025" s="13" customFormat="1" x14ac:dyDescent="0.25">
      <c r="A3" s="13" t="s">
        <v>38</v>
      </c>
      <c r="B3" s="13">
        <v>2020</v>
      </c>
      <c r="C3" s="14">
        <v>2501494</v>
      </c>
      <c r="D3" s="14"/>
      <c r="E3" s="14">
        <f>997555-945056</f>
        <v>52499</v>
      </c>
      <c r="F3" s="14">
        <f t="shared" si="0"/>
        <v>5958375</v>
      </c>
      <c r="G3" s="14">
        <v>6010874</v>
      </c>
      <c r="H3" s="14">
        <f>4868308-84870</f>
        <v>4783438</v>
      </c>
      <c r="I3" s="14">
        <f t="shared" ref="I3:I6" si="3">G3-H3</f>
        <v>1227436</v>
      </c>
      <c r="J3" s="14">
        <v>53118352</v>
      </c>
      <c r="K3" s="14">
        <v>43530151</v>
      </c>
      <c r="L3" s="14">
        <f t="shared" ref="L3:L6" si="4">J3-K3</f>
        <v>9588201</v>
      </c>
      <c r="M3" s="14">
        <f t="shared" si="1"/>
        <v>0.41616144341072531</v>
      </c>
      <c r="N3" s="14">
        <f t="shared" si="2"/>
        <v>0.41982822497744771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</row>
    <row r="4" spans="1:1025" s="13" customFormat="1" x14ac:dyDescent="0.25">
      <c r="A4" s="13" t="s">
        <v>38</v>
      </c>
      <c r="B4" s="13">
        <v>2019</v>
      </c>
      <c r="C4" s="14">
        <v>1526992</v>
      </c>
      <c r="D4" s="14"/>
      <c r="E4" s="14">
        <f>1603940-1465680</f>
        <v>138260</v>
      </c>
      <c r="F4" s="14">
        <f t="shared" si="0"/>
        <v>3754716</v>
      </c>
      <c r="G4" s="14">
        <v>3892976</v>
      </c>
      <c r="H4" s="14">
        <f>3617363-87177</f>
        <v>3530186</v>
      </c>
      <c r="I4" s="14">
        <f t="shared" si="3"/>
        <v>362790</v>
      </c>
      <c r="J4" s="14">
        <v>49460234</v>
      </c>
      <c r="K4" s="14">
        <v>39706945</v>
      </c>
      <c r="L4" s="14">
        <f t="shared" si="4"/>
        <v>9753289</v>
      </c>
      <c r="M4" s="14">
        <f t="shared" si="1"/>
        <v>0.3922428496862041</v>
      </c>
      <c r="N4" s="14">
        <f t="shared" si="2"/>
        <v>0.40668641782760667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/>
      <c r="ND4" s="15"/>
      <c r="NE4" s="15"/>
      <c r="NF4" s="15"/>
      <c r="NG4" s="15"/>
      <c r="NH4" s="15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/>
      <c r="NT4" s="15"/>
      <c r="NU4" s="15"/>
      <c r="NV4" s="15"/>
      <c r="NW4" s="15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/>
      <c r="OJ4" s="15"/>
      <c r="OK4" s="15"/>
      <c r="OL4" s="15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/>
      <c r="OZ4" s="15"/>
      <c r="PA4" s="15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O4" s="15"/>
      <c r="PP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5"/>
      <c r="QE4" s="15"/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/>
      <c r="QV4" s="15"/>
      <c r="QW4" s="15"/>
      <c r="QX4" s="15"/>
      <c r="QY4" s="15"/>
      <c r="QZ4" s="15"/>
      <c r="RA4" s="15"/>
      <c r="RB4" s="15"/>
      <c r="RC4" s="15"/>
      <c r="RD4" s="15"/>
      <c r="RE4" s="15"/>
      <c r="RF4" s="15"/>
      <c r="RG4" s="15"/>
      <c r="RH4" s="15"/>
      <c r="RI4" s="15"/>
      <c r="RJ4" s="15"/>
      <c r="RK4" s="15"/>
      <c r="RL4" s="15"/>
      <c r="RM4" s="15"/>
      <c r="RN4" s="15"/>
      <c r="RO4" s="15"/>
      <c r="RP4" s="15"/>
      <c r="RQ4" s="15"/>
      <c r="RR4" s="15"/>
      <c r="RS4" s="15"/>
      <c r="RT4" s="15"/>
      <c r="RU4" s="15"/>
      <c r="RV4" s="15"/>
      <c r="RW4" s="15"/>
      <c r="RX4" s="15"/>
      <c r="RY4" s="15"/>
      <c r="RZ4" s="15"/>
      <c r="SA4" s="15"/>
      <c r="SB4" s="15"/>
      <c r="SC4" s="15"/>
      <c r="SD4" s="15"/>
      <c r="SE4" s="15"/>
      <c r="SF4" s="15"/>
      <c r="SG4" s="15"/>
      <c r="SH4" s="15"/>
      <c r="SI4" s="15"/>
      <c r="SJ4" s="15"/>
      <c r="SK4" s="15"/>
      <c r="SL4" s="15"/>
      <c r="SM4" s="15"/>
      <c r="SN4" s="15"/>
      <c r="SO4" s="15"/>
      <c r="SP4" s="15"/>
      <c r="SQ4" s="15"/>
      <c r="SR4" s="15"/>
      <c r="SS4" s="15"/>
      <c r="ST4" s="15"/>
      <c r="SU4" s="15"/>
      <c r="SV4" s="15"/>
      <c r="SW4" s="15"/>
      <c r="SX4" s="15"/>
      <c r="SY4" s="15"/>
      <c r="SZ4" s="15"/>
      <c r="TA4" s="15"/>
      <c r="TB4" s="15"/>
      <c r="TC4" s="15"/>
      <c r="TD4" s="15"/>
      <c r="TE4" s="15"/>
      <c r="TF4" s="15"/>
      <c r="TG4" s="15"/>
      <c r="TH4" s="15"/>
      <c r="TI4" s="15"/>
      <c r="TJ4" s="15"/>
      <c r="TK4" s="15"/>
      <c r="TL4" s="15"/>
      <c r="TM4" s="15"/>
      <c r="TN4" s="15"/>
      <c r="TO4" s="15"/>
      <c r="TP4" s="15"/>
      <c r="TQ4" s="15"/>
      <c r="TR4" s="15"/>
      <c r="TS4" s="15"/>
      <c r="TT4" s="15"/>
      <c r="TU4" s="15"/>
      <c r="TV4" s="15"/>
      <c r="TW4" s="15"/>
      <c r="TX4" s="15"/>
      <c r="TY4" s="15"/>
      <c r="TZ4" s="15"/>
      <c r="UA4" s="15"/>
      <c r="UB4" s="15"/>
      <c r="UC4" s="15"/>
      <c r="UD4" s="15"/>
      <c r="UE4" s="15"/>
      <c r="UF4" s="15"/>
      <c r="UG4" s="15"/>
      <c r="UH4" s="15"/>
      <c r="UI4" s="15"/>
      <c r="UJ4" s="15"/>
      <c r="UK4" s="15"/>
      <c r="UL4" s="15"/>
      <c r="UM4" s="15"/>
      <c r="UN4" s="15"/>
      <c r="UO4" s="15"/>
      <c r="UP4" s="15"/>
      <c r="UQ4" s="15"/>
      <c r="UR4" s="15"/>
      <c r="US4" s="15"/>
      <c r="UT4" s="15"/>
      <c r="UU4" s="15"/>
      <c r="UV4" s="15"/>
      <c r="UW4" s="15"/>
      <c r="UX4" s="15"/>
      <c r="UY4" s="15"/>
      <c r="UZ4" s="15"/>
      <c r="VA4" s="15"/>
      <c r="VB4" s="15"/>
      <c r="VC4" s="15"/>
      <c r="VD4" s="15"/>
      <c r="VE4" s="15"/>
      <c r="VF4" s="15"/>
      <c r="VG4" s="15"/>
      <c r="VH4" s="15"/>
      <c r="VI4" s="15"/>
      <c r="VJ4" s="15"/>
      <c r="VK4" s="15"/>
      <c r="VL4" s="15"/>
      <c r="VM4" s="15"/>
      <c r="VN4" s="15"/>
      <c r="VO4" s="15"/>
      <c r="VP4" s="15"/>
      <c r="VQ4" s="15"/>
      <c r="VR4" s="15"/>
      <c r="VS4" s="15"/>
      <c r="VT4" s="15"/>
      <c r="VU4" s="15"/>
      <c r="VV4" s="15"/>
      <c r="VW4" s="15"/>
      <c r="VX4" s="15"/>
      <c r="VY4" s="15"/>
      <c r="VZ4" s="15"/>
      <c r="WA4" s="15"/>
      <c r="WB4" s="15"/>
      <c r="WC4" s="15"/>
      <c r="WD4" s="15"/>
      <c r="WE4" s="15"/>
      <c r="WF4" s="15"/>
      <c r="WG4" s="15"/>
      <c r="WH4" s="15"/>
      <c r="WI4" s="15"/>
      <c r="WJ4" s="15"/>
      <c r="WK4" s="15"/>
      <c r="WL4" s="15"/>
      <c r="WM4" s="15"/>
      <c r="WN4" s="15"/>
      <c r="WO4" s="15"/>
      <c r="WP4" s="15"/>
      <c r="WQ4" s="15"/>
      <c r="WR4" s="15"/>
      <c r="WS4" s="15"/>
      <c r="WT4" s="15"/>
      <c r="WU4" s="15"/>
      <c r="WV4" s="15"/>
      <c r="WW4" s="15"/>
      <c r="WX4" s="15"/>
      <c r="WY4" s="15"/>
      <c r="WZ4" s="15"/>
      <c r="XA4" s="15"/>
      <c r="XB4" s="15"/>
      <c r="XC4" s="15"/>
      <c r="XD4" s="15"/>
      <c r="XE4" s="15"/>
      <c r="XF4" s="15"/>
      <c r="XG4" s="15"/>
      <c r="XH4" s="15"/>
      <c r="XI4" s="15"/>
      <c r="XJ4" s="15"/>
      <c r="XK4" s="15"/>
      <c r="XL4" s="15"/>
      <c r="XM4" s="15"/>
      <c r="XN4" s="15"/>
      <c r="XO4" s="15"/>
      <c r="XP4" s="15"/>
      <c r="XQ4" s="15"/>
      <c r="XR4" s="15"/>
      <c r="XS4" s="15"/>
      <c r="XT4" s="15"/>
      <c r="XU4" s="15"/>
      <c r="XV4" s="15"/>
      <c r="XW4" s="15"/>
      <c r="XX4" s="15"/>
      <c r="XY4" s="15"/>
      <c r="XZ4" s="15"/>
      <c r="YA4" s="15"/>
      <c r="YB4" s="15"/>
      <c r="YC4" s="15"/>
      <c r="YD4" s="15"/>
      <c r="YE4" s="15"/>
      <c r="YF4" s="15"/>
      <c r="YG4" s="15"/>
      <c r="YH4" s="15"/>
      <c r="YI4" s="15"/>
      <c r="YJ4" s="15"/>
      <c r="YK4" s="15"/>
      <c r="YL4" s="15"/>
      <c r="YM4" s="15"/>
      <c r="YN4" s="15"/>
      <c r="YO4" s="15"/>
      <c r="YP4" s="15"/>
      <c r="YQ4" s="15"/>
      <c r="YR4" s="15"/>
      <c r="YS4" s="15"/>
      <c r="YT4" s="15"/>
      <c r="YU4" s="15"/>
      <c r="YV4" s="15"/>
      <c r="YW4" s="15"/>
      <c r="YX4" s="15"/>
      <c r="YY4" s="15"/>
      <c r="YZ4" s="15"/>
      <c r="ZA4" s="15"/>
      <c r="ZB4" s="15"/>
      <c r="ZC4" s="15"/>
      <c r="ZD4" s="15"/>
      <c r="ZE4" s="15"/>
      <c r="ZF4" s="15"/>
      <c r="ZG4" s="15"/>
      <c r="ZH4" s="15"/>
      <c r="ZI4" s="15"/>
      <c r="ZJ4" s="15"/>
      <c r="ZK4" s="15"/>
      <c r="ZL4" s="15"/>
      <c r="ZM4" s="15"/>
      <c r="ZN4" s="15"/>
      <c r="ZO4" s="15"/>
      <c r="ZP4" s="15"/>
      <c r="ZQ4" s="15"/>
      <c r="ZR4" s="15"/>
      <c r="ZS4" s="15"/>
      <c r="ZT4" s="15"/>
      <c r="ZU4" s="15"/>
      <c r="ZV4" s="15"/>
      <c r="ZW4" s="15"/>
      <c r="ZX4" s="15"/>
      <c r="ZY4" s="15"/>
      <c r="ZZ4" s="15"/>
      <c r="AAA4" s="15"/>
      <c r="AAB4" s="15"/>
      <c r="AAC4" s="15"/>
      <c r="AAD4" s="15"/>
      <c r="AAE4" s="15"/>
      <c r="AAF4" s="15"/>
      <c r="AAG4" s="15"/>
      <c r="AAH4" s="15"/>
      <c r="AAI4" s="15"/>
      <c r="AAJ4" s="15"/>
      <c r="AAK4" s="15"/>
      <c r="AAL4" s="15"/>
      <c r="AAM4" s="15"/>
      <c r="AAN4" s="15"/>
      <c r="AAO4" s="15"/>
      <c r="AAP4" s="15"/>
      <c r="AAQ4" s="15"/>
      <c r="AAR4" s="15"/>
      <c r="AAS4" s="15"/>
      <c r="AAT4" s="15"/>
      <c r="AAU4" s="15"/>
      <c r="AAV4" s="15"/>
      <c r="AAW4" s="15"/>
      <c r="AAX4" s="15"/>
      <c r="AAY4" s="15"/>
      <c r="AAZ4" s="15"/>
      <c r="ABA4" s="15"/>
      <c r="ABB4" s="15"/>
      <c r="ABC4" s="15"/>
      <c r="ABD4" s="15"/>
      <c r="ABE4" s="15"/>
      <c r="ABF4" s="15"/>
      <c r="ABG4" s="15"/>
      <c r="ABH4" s="15"/>
      <c r="ABI4" s="15"/>
      <c r="ABJ4" s="15"/>
      <c r="ABK4" s="15"/>
      <c r="ABL4" s="15"/>
      <c r="ABM4" s="15"/>
      <c r="ABN4" s="15"/>
      <c r="ABO4" s="15"/>
      <c r="ABP4" s="15"/>
      <c r="ABQ4" s="15"/>
      <c r="ABR4" s="15"/>
      <c r="ABS4" s="15"/>
      <c r="ABT4" s="15"/>
      <c r="ABU4" s="15"/>
      <c r="ABV4" s="15"/>
      <c r="ABW4" s="15"/>
      <c r="ABX4" s="15"/>
      <c r="ABY4" s="15"/>
      <c r="ABZ4" s="15"/>
      <c r="ACA4" s="15"/>
      <c r="ACB4" s="15"/>
      <c r="ACC4" s="15"/>
      <c r="ACD4" s="15"/>
      <c r="ACE4" s="15"/>
      <c r="ACF4" s="15"/>
      <c r="ACG4" s="15"/>
      <c r="ACH4" s="15"/>
      <c r="ACI4" s="15"/>
      <c r="ACJ4" s="15"/>
      <c r="ACK4" s="15"/>
      <c r="ACL4" s="15"/>
      <c r="ACM4" s="15"/>
      <c r="ACN4" s="15"/>
      <c r="ACO4" s="15"/>
      <c r="ACP4" s="15"/>
      <c r="ACQ4" s="15"/>
      <c r="ACR4" s="15"/>
      <c r="ACS4" s="15"/>
      <c r="ACT4" s="15"/>
      <c r="ACU4" s="15"/>
      <c r="ACV4" s="15"/>
      <c r="ACW4" s="15"/>
      <c r="ACX4" s="15"/>
      <c r="ACY4" s="15"/>
      <c r="ACZ4" s="15"/>
      <c r="ADA4" s="15"/>
      <c r="ADB4" s="15"/>
      <c r="ADC4" s="15"/>
      <c r="ADD4" s="15"/>
      <c r="ADE4" s="15"/>
      <c r="ADF4" s="15"/>
      <c r="ADG4" s="15"/>
      <c r="ADH4" s="15"/>
      <c r="ADI4" s="15"/>
      <c r="ADJ4" s="15"/>
      <c r="ADK4" s="15"/>
      <c r="ADL4" s="15"/>
      <c r="ADM4" s="15"/>
      <c r="ADN4" s="15"/>
      <c r="ADO4" s="15"/>
      <c r="ADP4" s="15"/>
      <c r="ADQ4" s="15"/>
      <c r="ADR4" s="15"/>
      <c r="ADS4" s="15"/>
      <c r="ADT4" s="15"/>
      <c r="ADU4" s="15"/>
      <c r="ADV4" s="15"/>
      <c r="ADW4" s="15"/>
      <c r="ADX4" s="15"/>
      <c r="ADY4" s="15"/>
      <c r="ADZ4" s="15"/>
      <c r="AEA4" s="15"/>
      <c r="AEB4" s="15"/>
      <c r="AEC4" s="15"/>
      <c r="AED4" s="15"/>
      <c r="AEE4" s="15"/>
      <c r="AEF4" s="15"/>
      <c r="AEG4" s="15"/>
      <c r="AEH4" s="15"/>
      <c r="AEI4" s="15"/>
      <c r="AEJ4" s="15"/>
      <c r="AEK4" s="15"/>
      <c r="AEL4" s="15"/>
      <c r="AEM4" s="15"/>
      <c r="AEN4" s="15"/>
      <c r="AEO4" s="15"/>
      <c r="AEP4" s="15"/>
      <c r="AEQ4" s="15"/>
      <c r="AER4" s="15"/>
      <c r="AES4" s="15"/>
      <c r="AET4" s="15"/>
      <c r="AEU4" s="15"/>
      <c r="AEV4" s="15"/>
      <c r="AEW4" s="15"/>
      <c r="AEX4" s="15"/>
      <c r="AEY4" s="15"/>
      <c r="AEZ4" s="15"/>
      <c r="AFA4" s="15"/>
      <c r="AFB4" s="15"/>
      <c r="AFC4" s="15"/>
      <c r="AFD4" s="15"/>
      <c r="AFE4" s="15"/>
      <c r="AFF4" s="15"/>
      <c r="AFG4" s="15"/>
      <c r="AFH4" s="15"/>
      <c r="AFI4" s="15"/>
      <c r="AFJ4" s="15"/>
      <c r="AFK4" s="15"/>
      <c r="AFL4" s="15"/>
      <c r="AFM4" s="15"/>
      <c r="AFN4" s="15"/>
      <c r="AFO4" s="15"/>
      <c r="AFP4" s="15"/>
      <c r="AFQ4" s="15"/>
      <c r="AFR4" s="15"/>
      <c r="AFS4" s="15"/>
      <c r="AFT4" s="15"/>
      <c r="AFU4" s="15"/>
      <c r="AFV4" s="15"/>
      <c r="AFW4" s="15"/>
      <c r="AFX4" s="15"/>
      <c r="AFY4" s="15"/>
      <c r="AFZ4" s="15"/>
      <c r="AGA4" s="15"/>
      <c r="AGB4" s="15"/>
      <c r="AGC4" s="15"/>
      <c r="AGD4" s="15"/>
      <c r="AGE4" s="15"/>
      <c r="AGF4" s="15"/>
      <c r="AGG4" s="15"/>
      <c r="AGH4" s="15"/>
      <c r="AGI4" s="15"/>
      <c r="AGJ4" s="15"/>
      <c r="AGK4" s="15"/>
      <c r="AGL4" s="15"/>
      <c r="AGM4" s="15"/>
      <c r="AGN4" s="15"/>
      <c r="AGO4" s="15"/>
      <c r="AGP4" s="15"/>
      <c r="AGQ4" s="15"/>
      <c r="AGR4" s="15"/>
      <c r="AGS4" s="15"/>
      <c r="AGT4" s="15"/>
      <c r="AGU4" s="15"/>
      <c r="AGV4" s="15"/>
      <c r="AGW4" s="15"/>
      <c r="AGX4" s="15"/>
      <c r="AGY4" s="15"/>
      <c r="AGZ4" s="15"/>
      <c r="AHA4" s="15"/>
      <c r="AHB4" s="15"/>
      <c r="AHC4" s="15"/>
      <c r="AHD4" s="15"/>
      <c r="AHE4" s="15"/>
      <c r="AHF4" s="15"/>
      <c r="AHG4" s="15"/>
      <c r="AHH4" s="15"/>
      <c r="AHI4" s="15"/>
      <c r="AHJ4" s="15"/>
      <c r="AHK4" s="15"/>
      <c r="AHL4" s="15"/>
      <c r="AHM4" s="15"/>
      <c r="AHN4" s="15"/>
      <c r="AHO4" s="15"/>
      <c r="AHP4" s="15"/>
      <c r="AHQ4" s="15"/>
      <c r="AHR4" s="15"/>
      <c r="AHS4" s="15"/>
      <c r="AHT4" s="15"/>
      <c r="AHU4" s="15"/>
      <c r="AHV4" s="15"/>
      <c r="AHW4" s="15"/>
      <c r="AHX4" s="15"/>
      <c r="AHY4" s="15"/>
      <c r="AHZ4" s="15"/>
      <c r="AIA4" s="15"/>
      <c r="AIB4" s="15"/>
      <c r="AIC4" s="15"/>
      <c r="AID4" s="15"/>
      <c r="AIE4" s="15"/>
      <c r="AIF4" s="15"/>
      <c r="AIG4" s="15"/>
      <c r="AIH4" s="15"/>
      <c r="AII4" s="15"/>
      <c r="AIJ4" s="15"/>
      <c r="AIK4" s="15"/>
      <c r="AIL4" s="15"/>
      <c r="AIM4" s="15"/>
      <c r="AIN4" s="15"/>
      <c r="AIO4" s="15"/>
      <c r="AIP4" s="15"/>
      <c r="AIQ4" s="15"/>
      <c r="AIR4" s="15"/>
      <c r="AIS4" s="15"/>
      <c r="AIT4" s="15"/>
      <c r="AIU4" s="15"/>
      <c r="AIV4" s="15"/>
      <c r="AIW4" s="15"/>
      <c r="AIX4" s="15"/>
      <c r="AIY4" s="15"/>
      <c r="AIZ4" s="15"/>
      <c r="AJA4" s="15"/>
      <c r="AJB4" s="15"/>
      <c r="AJC4" s="15"/>
      <c r="AJD4" s="15"/>
      <c r="AJE4" s="15"/>
      <c r="AJF4" s="15"/>
      <c r="AJG4" s="15"/>
      <c r="AJH4" s="15"/>
      <c r="AJI4" s="15"/>
      <c r="AJJ4" s="15"/>
      <c r="AJK4" s="15"/>
      <c r="AJL4" s="15"/>
      <c r="AJM4" s="15"/>
      <c r="AJN4" s="15"/>
      <c r="AJO4" s="15"/>
      <c r="AJP4" s="15"/>
      <c r="AJQ4" s="15"/>
      <c r="AJR4" s="15"/>
      <c r="AJS4" s="15"/>
      <c r="AJT4" s="15"/>
      <c r="AJU4" s="15"/>
      <c r="AJV4" s="15"/>
      <c r="AJW4" s="15"/>
      <c r="AJX4" s="15"/>
      <c r="AJY4" s="15"/>
      <c r="AJZ4" s="15"/>
      <c r="AKA4" s="15"/>
      <c r="AKB4" s="15"/>
      <c r="AKC4" s="15"/>
      <c r="AKD4" s="15"/>
      <c r="AKE4" s="15"/>
      <c r="AKF4" s="15"/>
      <c r="AKG4" s="15"/>
      <c r="AKH4" s="15"/>
      <c r="AKI4" s="15"/>
      <c r="AKJ4" s="15"/>
      <c r="AKK4" s="15"/>
      <c r="AKL4" s="15"/>
      <c r="AKM4" s="15"/>
      <c r="AKN4" s="15"/>
      <c r="AKO4" s="15"/>
      <c r="AKP4" s="15"/>
      <c r="AKQ4" s="15"/>
      <c r="AKR4" s="15"/>
      <c r="AKS4" s="15"/>
      <c r="AKT4" s="15"/>
      <c r="AKU4" s="15"/>
      <c r="AKV4" s="15"/>
      <c r="AKW4" s="15"/>
      <c r="AKX4" s="15"/>
      <c r="AKY4" s="15"/>
      <c r="AKZ4" s="15"/>
      <c r="ALA4" s="15"/>
      <c r="ALB4" s="15"/>
      <c r="ALC4" s="15"/>
      <c r="ALD4" s="15"/>
      <c r="ALE4" s="15"/>
      <c r="ALF4" s="15"/>
      <c r="ALG4" s="15"/>
      <c r="ALH4" s="15"/>
      <c r="ALI4" s="15"/>
      <c r="ALJ4" s="15"/>
      <c r="ALK4" s="15"/>
      <c r="ALL4" s="15"/>
      <c r="ALM4" s="15"/>
      <c r="ALN4" s="15"/>
      <c r="ALO4" s="15"/>
      <c r="ALP4" s="15"/>
      <c r="ALQ4" s="15"/>
      <c r="ALR4" s="15"/>
      <c r="ALS4" s="15"/>
      <c r="ALT4" s="15"/>
      <c r="ALU4" s="15"/>
      <c r="ALV4" s="15"/>
      <c r="ALW4" s="15"/>
      <c r="ALX4" s="15"/>
      <c r="ALY4" s="15"/>
      <c r="ALZ4" s="15"/>
      <c r="AMA4" s="15"/>
      <c r="AMB4" s="15"/>
      <c r="AMC4" s="15"/>
      <c r="AMD4" s="15"/>
      <c r="AME4" s="15"/>
      <c r="AMF4" s="15"/>
      <c r="AMG4" s="15"/>
      <c r="AMH4" s="15"/>
      <c r="AMI4" s="15"/>
      <c r="AMJ4" s="15"/>
      <c r="AMK4" s="15"/>
    </row>
    <row r="5" spans="1:1025" s="13" customFormat="1" x14ac:dyDescent="0.25">
      <c r="A5" s="13" t="s">
        <v>38</v>
      </c>
      <c r="B5" s="13">
        <v>2018</v>
      </c>
      <c r="C5" s="14">
        <v>1904870</v>
      </c>
      <c r="D5" s="14"/>
      <c r="E5" s="14">
        <v>1294325</v>
      </c>
      <c r="F5" s="14">
        <f t="shared" si="0"/>
        <v>2469709</v>
      </c>
      <c r="G5" s="14">
        <v>3764034</v>
      </c>
      <c r="H5" s="14">
        <f>3524957-89249</f>
        <v>3435708</v>
      </c>
      <c r="I5" s="14">
        <f t="shared" si="3"/>
        <v>328326</v>
      </c>
      <c r="J5" s="14">
        <v>47131095</v>
      </c>
      <c r="K5" s="14">
        <v>36907059</v>
      </c>
      <c r="L5" s="14">
        <f t="shared" si="4"/>
        <v>10224036</v>
      </c>
      <c r="M5" s="14">
        <f t="shared" si="1"/>
        <v>0.50607141168225367</v>
      </c>
      <c r="N5" s="14">
        <f t="shared" si="2"/>
        <v>0.77129329811730851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</row>
    <row r="6" spans="1:1025" s="13" customFormat="1" x14ac:dyDescent="0.25">
      <c r="A6" s="13" t="s">
        <v>38</v>
      </c>
      <c r="B6" s="13">
        <v>2017</v>
      </c>
      <c r="C6" s="14">
        <v>1764285</v>
      </c>
      <c r="D6" s="14"/>
      <c r="E6" s="14">
        <v>993198</v>
      </c>
      <c r="F6" s="14">
        <f t="shared" si="0"/>
        <v>3084247</v>
      </c>
      <c r="G6" s="14">
        <v>4077445</v>
      </c>
      <c r="H6" s="14">
        <f>3396042-101202</f>
        <v>3294840</v>
      </c>
      <c r="I6" s="14">
        <f t="shared" si="3"/>
        <v>782605</v>
      </c>
      <c r="J6" s="14">
        <v>47169108</v>
      </c>
      <c r="K6" s="14">
        <v>36478536</v>
      </c>
      <c r="L6" s="14">
        <f t="shared" si="4"/>
        <v>10690572</v>
      </c>
      <c r="M6" s="14">
        <f t="shared" si="1"/>
        <v>0.43269375797834181</v>
      </c>
      <c r="N6" s="14">
        <f t="shared" si="2"/>
        <v>0.572031033830948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5"/>
      <c r="UW6" s="15"/>
      <c r="UX6" s="15"/>
      <c r="UY6" s="15"/>
      <c r="UZ6" s="15"/>
      <c r="VA6" s="15"/>
      <c r="VB6" s="15"/>
      <c r="VC6" s="15"/>
      <c r="VD6" s="15"/>
      <c r="VE6" s="15"/>
      <c r="VF6" s="15"/>
      <c r="VG6" s="15"/>
      <c r="VH6" s="15"/>
      <c r="VI6" s="15"/>
      <c r="VJ6" s="15"/>
      <c r="VK6" s="15"/>
      <c r="VL6" s="15"/>
      <c r="VM6" s="15"/>
      <c r="VN6" s="15"/>
      <c r="VO6" s="15"/>
      <c r="VP6" s="15"/>
      <c r="VQ6" s="15"/>
      <c r="VR6" s="15"/>
      <c r="VS6" s="15"/>
      <c r="VT6" s="15"/>
      <c r="VU6" s="15"/>
      <c r="VV6" s="15"/>
      <c r="VW6" s="15"/>
      <c r="VX6" s="15"/>
      <c r="VY6" s="15"/>
      <c r="VZ6" s="15"/>
      <c r="WA6" s="15"/>
      <c r="WB6" s="15"/>
      <c r="WC6" s="15"/>
      <c r="WD6" s="15"/>
      <c r="WE6" s="15"/>
      <c r="WF6" s="15"/>
      <c r="WG6" s="15"/>
      <c r="WH6" s="15"/>
      <c r="WI6" s="15"/>
      <c r="WJ6" s="15"/>
      <c r="WK6" s="15"/>
      <c r="WL6" s="15"/>
      <c r="WM6" s="15"/>
      <c r="WN6" s="15"/>
      <c r="WO6" s="15"/>
      <c r="WP6" s="15"/>
      <c r="WQ6" s="15"/>
      <c r="WR6" s="15"/>
      <c r="WS6" s="15"/>
      <c r="WT6" s="15"/>
      <c r="WU6" s="15"/>
      <c r="WV6" s="15"/>
      <c r="WW6" s="15"/>
      <c r="WX6" s="15"/>
      <c r="WY6" s="15"/>
      <c r="WZ6" s="15"/>
      <c r="XA6" s="15"/>
      <c r="XB6" s="15"/>
      <c r="XC6" s="15"/>
      <c r="XD6" s="15"/>
      <c r="XE6" s="15"/>
      <c r="XF6" s="15"/>
      <c r="XG6" s="15"/>
      <c r="XH6" s="15"/>
      <c r="XI6" s="15"/>
      <c r="XJ6" s="15"/>
      <c r="XK6" s="15"/>
      <c r="XL6" s="15"/>
      <c r="XM6" s="15"/>
      <c r="XN6" s="15"/>
      <c r="XO6" s="15"/>
      <c r="XP6" s="15"/>
      <c r="XQ6" s="15"/>
      <c r="XR6" s="15"/>
      <c r="XS6" s="15"/>
      <c r="XT6" s="15"/>
      <c r="XU6" s="15"/>
      <c r="XV6" s="15"/>
      <c r="XW6" s="15"/>
      <c r="XX6" s="15"/>
      <c r="XY6" s="15"/>
      <c r="XZ6" s="15"/>
      <c r="YA6" s="15"/>
      <c r="YB6" s="15"/>
      <c r="YC6" s="15"/>
      <c r="YD6" s="15"/>
      <c r="YE6" s="15"/>
      <c r="YF6" s="15"/>
      <c r="YG6" s="15"/>
      <c r="YH6" s="15"/>
      <c r="YI6" s="15"/>
      <c r="YJ6" s="15"/>
      <c r="YK6" s="15"/>
      <c r="YL6" s="15"/>
      <c r="YM6" s="15"/>
      <c r="YN6" s="15"/>
      <c r="YO6" s="15"/>
      <c r="YP6" s="15"/>
      <c r="YQ6" s="15"/>
      <c r="YR6" s="15"/>
      <c r="YS6" s="15"/>
      <c r="YT6" s="15"/>
      <c r="YU6" s="15"/>
      <c r="YV6" s="15"/>
      <c r="YW6" s="15"/>
      <c r="YX6" s="15"/>
      <c r="YY6" s="15"/>
      <c r="YZ6" s="15"/>
      <c r="ZA6" s="15"/>
      <c r="ZB6" s="15"/>
      <c r="ZC6" s="15"/>
      <c r="ZD6" s="15"/>
      <c r="ZE6" s="15"/>
      <c r="ZF6" s="15"/>
      <c r="ZG6" s="15"/>
      <c r="ZH6" s="15"/>
      <c r="ZI6" s="15"/>
      <c r="ZJ6" s="15"/>
      <c r="ZK6" s="15"/>
      <c r="ZL6" s="15"/>
      <c r="ZM6" s="15"/>
      <c r="ZN6" s="15"/>
      <c r="ZO6" s="15"/>
      <c r="ZP6" s="15"/>
      <c r="ZQ6" s="15"/>
      <c r="ZR6" s="15"/>
      <c r="ZS6" s="15"/>
      <c r="ZT6" s="15"/>
      <c r="ZU6" s="15"/>
      <c r="ZV6" s="15"/>
      <c r="ZW6" s="15"/>
      <c r="ZX6" s="15"/>
      <c r="ZY6" s="15"/>
      <c r="ZZ6" s="15"/>
      <c r="AAA6" s="15"/>
      <c r="AAB6" s="15"/>
      <c r="AAC6" s="15"/>
      <c r="AAD6" s="15"/>
      <c r="AAE6" s="15"/>
      <c r="AAF6" s="15"/>
      <c r="AAG6" s="15"/>
      <c r="AAH6" s="15"/>
      <c r="AAI6" s="15"/>
      <c r="AAJ6" s="15"/>
      <c r="AAK6" s="15"/>
      <c r="AAL6" s="15"/>
      <c r="AAM6" s="15"/>
      <c r="AAN6" s="15"/>
      <c r="AAO6" s="15"/>
      <c r="AAP6" s="15"/>
      <c r="AAQ6" s="15"/>
      <c r="AAR6" s="15"/>
      <c r="AAS6" s="15"/>
      <c r="AAT6" s="15"/>
      <c r="AAU6" s="15"/>
      <c r="AAV6" s="15"/>
      <c r="AAW6" s="15"/>
      <c r="AAX6" s="15"/>
      <c r="AAY6" s="15"/>
      <c r="AAZ6" s="15"/>
      <c r="ABA6" s="15"/>
      <c r="ABB6" s="15"/>
      <c r="ABC6" s="15"/>
      <c r="ABD6" s="15"/>
      <c r="ABE6" s="15"/>
      <c r="ABF6" s="15"/>
      <c r="ABG6" s="15"/>
      <c r="ABH6" s="15"/>
      <c r="ABI6" s="15"/>
      <c r="ABJ6" s="15"/>
      <c r="ABK6" s="15"/>
      <c r="ABL6" s="15"/>
      <c r="ABM6" s="15"/>
      <c r="ABN6" s="15"/>
      <c r="ABO6" s="15"/>
      <c r="ABP6" s="15"/>
      <c r="ABQ6" s="15"/>
      <c r="ABR6" s="15"/>
      <c r="ABS6" s="15"/>
      <c r="ABT6" s="15"/>
      <c r="ABU6" s="15"/>
      <c r="ABV6" s="15"/>
      <c r="ABW6" s="15"/>
      <c r="ABX6" s="15"/>
      <c r="ABY6" s="15"/>
      <c r="ABZ6" s="15"/>
      <c r="ACA6" s="15"/>
      <c r="ACB6" s="15"/>
      <c r="ACC6" s="15"/>
      <c r="ACD6" s="15"/>
      <c r="ACE6" s="15"/>
      <c r="ACF6" s="15"/>
      <c r="ACG6" s="15"/>
      <c r="ACH6" s="15"/>
      <c r="ACI6" s="15"/>
      <c r="ACJ6" s="15"/>
      <c r="ACK6" s="15"/>
      <c r="ACL6" s="15"/>
      <c r="ACM6" s="15"/>
      <c r="ACN6" s="15"/>
      <c r="ACO6" s="15"/>
      <c r="ACP6" s="15"/>
      <c r="ACQ6" s="15"/>
      <c r="ACR6" s="15"/>
      <c r="ACS6" s="15"/>
      <c r="ACT6" s="15"/>
      <c r="ACU6" s="15"/>
      <c r="ACV6" s="15"/>
      <c r="ACW6" s="15"/>
      <c r="ACX6" s="15"/>
      <c r="ACY6" s="15"/>
      <c r="ACZ6" s="15"/>
      <c r="ADA6" s="15"/>
      <c r="ADB6" s="15"/>
      <c r="ADC6" s="15"/>
      <c r="ADD6" s="15"/>
      <c r="ADE6" s="15"/>
      <c r="ADF6" s="15"/>
      <c r="ADG6" s="15"/>
      <c r="ADH6" s="15"/>
      <c r="ADI6" s="15"/>
      <c r="ADJ6" s="15"/>
      <c r="ADK6" s="15"/>
      <c r="ADL6" s="15"/>
      <c r="ADM6" s="15"/>
      <c r="ADN6" s="15"/>
      <c r="ADO6" s="15"/>
      <c r="ADP6" s="15"/>
      <c r="ADQ6" s="15"/>
      <c r="ADR6" s="15"/>
      <c r="ADS6" s="15"/>
      <c r="ADT6" s="15"/>
      <c r="ADU6" s="15"/>
      <c r="ADV6" s="15"/>
      <c r="ADW6" s="15"/>
      <c r="ADX6" s="15"/>
      <c r="ADY6" s="15"/>
      <c r="ADZ6" s="15"/>
      <c r="AEA6" s="15"/>
      <c r="AEB6" s="15"/>
      <c r="AEC6" s="15"/>
      <c r="AED6" s="15"/>
      <c r="AEE6" s="15"/>
      <c r="AEF6" s="15"/>
      <c r="AEG6" s="15"/>
      <c r="AEH6" s="15"/>
      <c r="AEI6" s="15"/>
      <c r="AEJ6" s="15"/>
      <c r="AEK6" s="15"/>
      <c r="AEL6" s="15"/>
      <c r="AEM6" s="15"/>
      <c r="AEN6" s="15"/>
      <c r="AEO6" s="15"/>
      <c r="AEP6" s="15"/>
      <c r="AEQ6" s="15"/>
      <c r="AER6" s="15"/>
      <c r="AES6" s="15"/>
      <c r="AET6" s="15"/>
      <c r="AEU6" s="15"/>
      <c r="AEV6" s="15"/>
      <c r="AEW6" s="15"/>
      <c r="AEX6" s="15"/>
      <c r="AEY6" s="15"/>
      <c r="AEZ6" s="15"/>
      <c r="AFA6" s="15"/>
      <c r="AFB6" s="15"/>
      <c r="AFC6" s="15"/>
      <c r="AFD6" s="15"/>
      <c r="AFE6" s="15"/>
      <c r="AFF6" s="15"/>
      <c r="AFG6" s="15"/>
      <c r="AFH6" s="15"/>
      <c r="AFI6" s="15"/>
      <c r="AFJ6" s="15"/>
      <c r="AFK6" s="15"/>
      <c r="AFL6" s="15"/>
      <c r="AFM6" s="15"/>
      <c r="AFN6" s="15"/>
      <c r="AFO6" s="15"/>
      <c r="AFP6" s="15"/>
      <c r="AFQ6" s="15"/>
      <c r="AFR6" s="15"/>
      <c r="AFS6" s="15"/>
      <c r="AFT6" s="15"/>
      <c r="AFU6" s="15"/>
      <c r="AFV6" s="15"/>
      <c r="AFW6" s="15"/>
      <c r="AFX6" s="15"/>
      <c r="AFY6" s="15"/>
      <c r="AFZ6" s="15"/>
      <c r="AGA6" s="15"/>
      <c r="AGB6" s="15"/>
      <c r="AGC6" s="15"/>
      <c r="AGD6" s="15"/>
      <c r="AGE6" s="15"/>
      <c r="AGF6" s="15"/>
      <c r="AGG6" s="15"/>
      <c r="AGH6" s="15"/>
      <c r="AGI6" s="15"/>
      <c r="AGJ6" s="15"/>
      <c r="AGK6" s="15"/>
      <c r="AGL6" s="15"/>
      <c r="AGM6" s="15"/>
      <c r="AGN6" s="15"/>
      <c r="AGO6" s="15"/>
      <c r="AGP6" s="15"/>
      <c r="AGQ6" s="15"/>
      <c r="AGR6" s="15"/>
      <c r="AGS6" s="15"/>
      <c r="AGT6" s="15"/>
      <c r="AGU6" s="15"/>
      <c r="AGV6" s="15"/>
      <c r="AGW6" s="15"/>
      <c r="AGX6" s="15"/>
      <c r="AGY6" s="15"/>
      <c r="AGZ6" s="15"/>
      <c r="AHA6" s="15"/>
      <c r="AHB6" s="15"/>
      <c r="AHC6" s="15"/>
      <c r="AHD6" s="15"/>
      <c r="AHE6" s="15"/>
      <c r="AHF6" s="15"/>
      <c r="AHG6" s="15"/>
      <c r="AHH6" s="15"/>
      <c r="AHI6" s="15"/>
      <c r="AHJ6" s="15"/>
      <c r="AHK6" s="15"/>
      <c r="AHL6" s="15"/>
      <c r="AHM6" s="15"/>
      <c r="AHN6" s="15"/>
      <c r="AHO6" s="15"/>
      <c r="AHP6" s="15"/>
      <c r="AHQ6" s="15"/>
      <c r="AHR6" s="15"/>
      <c r="AHS6" s="15"/>
      <c r="AHT6" s="15"/>
      <c r="AHU6" s="15"/>
      <c r="AHV6" s="15"/>
      <c r="AHW6" s="15"/>
      <c r="AHX6" s="15"/>
      <c r="AHY6" s="15"/>
      <c r="AHZ6" s="15"/>
      <c r="AIA6" s="15"/>
      <c r="AIB6" s="15"/>
      <c r="AIC6" s="15"/>
      <c r="AID6" s="15"/>
      <c r="AIE6" s="15"/>
      <c r="AIF6" s="15"/>
      <c r="AIG6" s="15"/>
      <c r="AIH6" s="15"/>
      <c r="AII6" s="15"/>
      <c r="AIJ6" s="15"/>
      <c r="AIK6" s="15"/>
      <c r="AIL6" s="15"/>
      <c r="AIM6" s="15"/>
      <c r="AIN6" s="15"/>
      <c r="AIO6" s="15"/>
      <c r="AIP6" s="15"/>
      <c r="AIQ6" s="15"/>
      <c r="AIR6" s="15"/>
      <c r="AIS6" s="15"/>
      <c r="AIT6" s="15"/>
      <c r="AIU6" s="15"/>
      <c r="AIV6" s="15"/>
      <c r="AIW6" s="15"/>
      <c r="AIX6" s="15"/>
      <c r="AIY6" s="15"/>
      <c r="AIZ6" s="15"/>
      <c r="AJA6" s="15"/>
      <c r="AJB6" s="15"/>
      <c r="AJC6" s="15"/>
      <c r="AJD6" s="15"/>
      <c r="AJE6" s="15"/>
      <c r="AJF6" s="15"/>
      <c r="AJG6" s="15"/>
      <c r="AJH6" s="15"/>
      <c r="AJI6" s="15"/>
      <c r="AJJ6" s="15"/>
      <c r="AJK6" s="15"/>
      <c r="AJL6" s="15"/>
      <c r="AJM6" s="15"/>
      <c r="AJN6" s="15"/>
      <c r="AJO6" s="15"/>
      <c r="AJP6" s="15"/>
      <c r="AJQ6" s="15"/>
      <c r="AJR6" s="15"/>
      <c r="AJS6" s="15"/>
      <c r="AJT6" s="15"/>
      <c r="AJU6" s="15"/>
      <c r="AJV6" s="15"/>
      <c r="AJW6" s="15"/>
      <c r="AJX6" s="15"/>
      <c r="AJY6" s="15"/>
      <c r="AJZ6" s="15"/>
      <c r="AKA6" s="15"/>
      <c r="AKB6" s="15"/>
      <c r="AKC6" s="15"/>
      <c r="AKD6" s="15"/>
      <c r="AKE6" s="15"/>
      <c r="AKF6" s="15"/>
      <c r="AKG6" s="15"/>
      <c r="AKH6" s="15"/>
      <c r="AKI6" s="15"/>
      <c r="AKJ6" s="15"/>
      <c r="AKK6" s="15"/>
      <c r="AKL6" s="15"/>
      <c r="AKM6" s="15"/>
      <c r="AKN6" s="15"/>
      <c r="AKO6" s="15"/>
      <c r="AKP6" s="15"/>
      <c r="AKQ6" s="15"/>
      <c r="AKR6" s="15"/>
      <c r="AKS6" s="15"/>
      <c r="AKT6" s="15"/>
      <c r="AKU6" s="15"/>
      <c r="AKV6" s="15"/>
      <c r="AKW6" s="15"/>
      <c r="AKX6" s="15"/>
      <c r="AKY6" s="15"/>
      <c r="AKZ6" s="15"/>
      <c r="ALA6" s="15"/>
      <c r="ALB6" s="15"/>
      <c r="ALC6" s="15"/>
      <c r="ALD6" s="15"/>
      <c r="ALE6" s="15"/>
      <c r="ALF6" s="15"/>
      <c r="ALG6" s="15"/>
      <c r="ALH6" s="15"/>
      <c r="ALI6" s="15"/>
      <c r="ALJ6" s="15"/>
      <c r="ALK6" s="15"/>
      <c r="ALL6" s="15"/>
      <c r="ALM6" s="15"/>
      <c r="ALN6" s="15"/>
      <c r="ALO6" s="15"/>
      <c r="ALP6" s="15"/>
      <c r="ALQ6" s="15"/>
      <c r="ALR6" s="15"/>
      <c r="ALS6" s="15"/>
      <c r="ALT6" s="15"/>
      <c r="ALU6" s="15"/>
      <c r="ALV6" s="15"/>
      <c r="ALW6" s="15"/>
      <c r="ALX6" s="15"/>
      <c r="ALY6" s="15"/>
      <c r="ALZ6" s="15"/>
      <c r="AMA6" s="15"/>
      <c r="AMB6" s="15"/>
      <c r="AMC6" s="15"/>
      <c r="AMD6" s="15"/>
      <c r="AME6" s="15"/>
      <c r="AMF6" s="15"/>
      <c r="AMG6" s="15"/>
      <c r="AMH6" s="15"/>
      <c r="AMI6" s="15"/>
      <c r="AMJ6" s="15"/>
      <c r="AMK6" s="15"/>
    </row>
    <row r="7" spans="1:1025" s="16" customFormat="1" x14ac:dyDescent="0.25">
      <c r="A7" s="16" t="s">
        <v>39</v>
      </c>
      <c r="B7" s="16">
        <v>2021</v>
      </c>
      <c r="C7" s="17">
        <v>14440057</v>
      </c>
      <c r="D7" s="17"/>
      <c r="E7" s="17">
        <v>6373807</v>
      </c>
      <c r="F7" s="17">
        <f t="shared" si="0"/>
        <v>18520347</v>
      </c>
      <c r="G7" s="17">
        <v>24894154</v>
      </c>
      <c r="H7" s="17">
        <v>20940002</v>
      </c>
      <c r="I7" s="17">
        <v>-1783481</v>
      </c>
      <c r="J7" s="17">
        <v>829036964</v>
      </c>
      <c r="K7" s="17">
        <v>780523198</v>
      </c>
      <c r="L7" s="17"/>
      <c r="M7" s="17">
        <f t="shared" si="1"/>
        <v>0.58005815341224287</v>
      </c>
      <c r="N7" s="17">
        <f t="shared" si="2"/>
        <v>0.77968609335451433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</row>
    <row r="8" spans="1:1025" s="16" customFormat="1" x14ac:dyDescent="0.25">
      <c r="A8" s="16" t="s">
        <v>39</v>
      </c>
      <c r="B8" s="16">
        <v>2020</v>
      </c>
      <c r="C8" s="17">
        <v>13316481</v>
      </c>
      <c r="D8" s="17"/>
      <c r="E8" s="17">
        <v>6682395</v>
      </c>
      <c r="F8" s="17">
        <f t="shared" si="0"/>
        <v>18470959</v>
      </c>
      <c r="G8" s="17">
        <v>25153354</v>
      </c>
      <c r="H8" s="17">
        <v>20026963</v>
      </c>
      <c r="I8" s="17">
        <v>2995169</v>
      </c>
      <c r="J8" s="17">
        <v>920082013</v>
      </c>
      <c r="K8" s="17">
        <v>871839119</v>
      </c>
      <c r="L8" s="17"/>
      <c r="M8" s="17">
        <f t="shared" si="1"/>
        <v>0.52941174365851962</v>
      </c>
      <c r="N8" s="17">
        <f t="shared" si="2"/>
        <v>0.72094150606906771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8"/>
      <c r="KP8" s="18"/>
      <c r="KQ8" s="18"/>
      <c r="KR8" s="18"/>
      <c r="KS8" s="18"/>
      <c r="KT8" s="18"/>
      <c r="KU8" s="18"/>
      <c r="KV8" s="18"/>
      <c r="KW8" s="18"/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8"/>
      <c r="LN8" s="18"/>
      <c r="LO8" s="18"/>
      <c r="LP8" s="18"/>
      <c r="LQ8" s="18"/>
      <c r="LR8" s="18"/>
      <c r="LS8" s="18"/>
      <c r="LT8" s="18"/>
      <c r="LU8" s="18"/>
      <c r="LV8" s="18"/>
      <c r="LW8" s="18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8"/>
      <c r="MO8" s="18"/>
      <c r="MP8" s="18"/>
      <c r="MQ8" s="18"/>
      <c r="MR8" s="18"/>
      <c r="MS8" s="18"/>
      <c r="MT8" s="18"/>
      <c r="MU8" s="18"/>
      <c r="MV8" s="18"/>
      <c r="MW8" s="18"/>
      <c r="MX8" s="18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8"/>
      <c r="NP8" s="18"/>
      <c r="NQ8" s="18"/>
      <c r="NR8" s="18"/>
      <c r="NS8" s="18"/>
      <c r="NT8" s="18"/>
      <c r="NU8" s="18"/>
      <c r="NV8" s="18"/>
      <c r="NW8" s="18"/>
      <c r="NX8" s="18"/>
      <c r="NY8" s="18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/>
      <c r="ON8" s="18"/>
      <c r="OO8" s="18"/>
      <c r="OP8" s="18"/>
      <c r="OQ8" s="18"/>
      <c r="OR8" s="18"/>
      <c r="OS8" s="18"/>
      <c r="OT8" s="18"/>
      <c r="OU8" s="18"/>
      <c r="OV8" s="18"/>
      <c r="OW8" s="18"/>
      <c r="OX8" s="18"/>
      <c r="OY8" s="18"/>
      <c r="OZ8" s="18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8"/>
      <c r="PR8" s="18"/>
      <c r="PS8" s="18"/>
      <c r="PT8" s="18"/>
      <c r="PU8" s="18"/>
      <c r="PV8" s="18"/>
      <c r="PW8" s="18"/>
      <c r="PX8" s="18"/>
      <c r="PY8" s="18"/>
      <c r="PZ8" s="18"/>
      <c r="QA8" s="18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  <c r="QQ8" s="18"/>
      <c r="QR8" s="18"/>
      <c r="QS8" s="18"/>
      <c r="QT8" s="18"/>
      <c r="QU8" s="18"/>
      <c r="QV8" s="18"/>
      <c r="QW8" s="18"/>
      <c r="QX8" s="18"/>
      <c r="QY8" s="18"/>
      <c r="QZ8" s="18"/>
      <c r="RA8" s="18"/>
      <c r="RB8" s="18"/>
      <c r="RC8" s="18"/>
      <c r="RD8" s="18"/>
      <c r="RE8" s="18"/>
      <c r="RF8" s="18"/>
      <c r="RG8" s="18"/>
      <c r="RH8" s="18"/>
      <c r="RI8" s="18"/>
      <c r="RJ8" s="18"/>
      <c r="RK8" s="18"/>
      <c r="RL8" s="18"/>
      <c r="RM8" s="18"/>
      <c r="RN8" s="18"/>
      <c r="RO8" s="18"/>
      <c r="RP8" s="18"/>
      <c r="RQ8" s="18"/>
      <c r="RR8" s="18"/>
      <c r="RS8" s="18"/>
      <c r="RT8" s="18"/>
      <c r="RU8" s="18"/>
      <c r="RV8" s="18"/>
      <c r="RW8" s="18"/>
      <c r="RX8" s="18"/>
      <c r="RY8" s="18"/>
      <c r="RZ8" s="18"/>
      <c r="SA8" s="18"/>
      <c r="SB8" s="18"/>
      <c r="SC8" s="18"/>
      <c r="SD8" s="18"/>
      <c r="SE8" s="18"/>
      <c r="SF8" s="18"/>
      <c r="SG8" s="18"/>
      <c r="SH8" s="18"/>
      <c r="SI8" s="18"/>
      <c r="SJ8" s="18"/>
      <c r="SK8" s="18"/>
      <c r="SL8" s="18"/>
      <c r="SM8" s="18"/>
      <c r="SN8" s="18"/>
      <c r="SO8" s="18"/>
      <c r="SP8" s="18"/>
      <c r="SQ8" s="18"/>
      <c r="SR8" s="18"/>
      <c r="SS8" s="18"/>
      <c r="ST8" s="18"/>
      <c r="SU8" s="18"/>
      <c r="SV8" s="18"/>
      <c r="SW8" s="18"/>
      <c r="SX8" s="18"/>
      <c r="SY8" s="18"/>
      <c r="SZ8" s="18"/>
      <c r="TA8" s="18"/>
      <c r="TB8" s="18"/>
      <c r="TC8" s="18"/>
      <c r="TD8" s="18"/>
      <c r="TE8" s="18"/>
      <c r="TF8" s="18"/>
      <c r="TG8" s="18"/>
      <c r="TH8" s="18"/>
      <c r="TI8" s="18"/>
      <c r="TJ8" s="18"/>
      <c r="TK8" s="18"/>
      <c r="TL8" s="18"/>
      <c r="TM8" s="18"/>
      <c r="TN8" s="18"/>
      <c r="TO8" s="18"/>
      <c r="TP8" s="18"/>
      <c r="TQ8" s="18"/>
      <c r="TR8" s="18"/>
      <c r="TS8" s="18"/>
      <c r="TT8" s="18"/>
      <c r="TU8" s="18"/>
      <c r="TV8" s="18"/>
      <c r="TW8" s="18"/>
      <c r="TX8" s="18"/>
      <c r="TY8" s="18"/>
      <c r="TZ8" s="18"/>
      <c r="UA8" s="18"/>
      <c r="UB8" s="18"/>
      <c r="UC8" s="18"/>
      <c r="UD8" s="18"/>
      <c r="UE8" s="18"/>
      <c r="UF8" s="18"/>
      <c r="UG8" s="18"/>
      <c r="UH8" s="18"/>
      <c r="UI8" s="18"/>
      <c r="UJ8" s="18"/>
      <c r="UK8" s="18"/>
      <c r="UL8" s="18"/>
      <c r="UM8" s="18"/>
      <c r="UN8" s="18"/>
      <c r="UO8" s="18"/>
      <c r="UP8" s="18"/>
      <c r="UQ8" s="18"/>
      <c r="UR8" s="18"/>
      <c r="US8" s="18"/>
      <c r="UT8" s="18"/>
      <c r="UU8" s="18"/>
      <c r="UV8" s="18"/>
      <c r="UW8" s="18"/>
      <c r="UX8" s="18"/>
      <c r="UY8" s="18"/>
      <c r="UZ8" s="18"/>
      <c r="VA8" s="18"/>
      <c r="VB8" s="18"/>
      <c r="VC8" s="18"/>
      <c r="VD8" s="18"/>
      <c r="VE8" s="18"/>
      <c r="VF8" s="18"/>
      <c r="VG8" s="18"/>
      <c r="VH8" s="18"/>
      <c r="VI8" s="18"/>
      <c r="VJ8" s="18"/>
      <c r="VK8" s="18"/>
      <c r="VL8" s="18"/>
      <c r="VM8" s="18"/>
      <c r="VN8" s="18"/>
      <c r="VO8" s="18"/>
      <c r="VP8" s="18"/>
      <c r="VQ8" s="18"/>
      <c r="VR8" s="18"/>
      <c r="VS8" s="18"/>
      <c r="VT8" s="18"/>
      <c r="VU8" s="18"/>
      <c r="VV8" s="18"/>
      <c r="VW8" s="18"/>
      <c r="VX8" s="18"/>
      <c r="VY8" s="18"/>
      <c r="VZ8" s="18"/>
      <c r="WA8" s="18"/>
      <c r="WB8" s="18"/>
      <c r="WC8" s="18"/>
      <c r="WD8" s="18"/>
      <c r="WE8" s="18"/>
      <c r="WF8" s="18"/>
      <c r="WG8" s="18"/>
      <c r="WH8" s="18"/>
      <c r="WI8" s="18"/>
      <c r="WJ8" s="18"/>
      <c r="WK8" s="18"/>
      <c r="WL8" s="18"/>
      <c r="WM8" s="18"/>
      <c r="WN8" s="18"/>
      <c r="WO8" s="18"/>
      <c r="WP8" s="18"/>
      <c r="WQ8" s="18"/>
      <c r="WR8" s="18"/>
      <c r="WS8" s="18"/>
      <c r="WT8" s="18"/>
      <c r="WU8" s="18"/>
      <c r="WV8" s="18"/>
      <c r="WW8" s="18"/>
      <c r="WX8" s="18"/>
      <c r="WY8" s="18"/>
      <c r="WZ8" s="18"/>
      <c r="XA8" s="18"/>
      <c r="XB8" s="18"/>
      <c r="XC8" s="18"/>
      <c r="XD8" s="18"/>
      <c r="XE8" s="18"/>
      <c r="XF8" s="18"/>
      <c r="XG8" s="18"/>
      <c r="XH8" s="18"/>
      <c r="XI8" s="18"/>
      <c r="XJ8" s="18"/>
      <c r="XK8" s="18"/>
      <c r="XL8" s="18"/>
      <c r="XM8" s="18"/>
      <c r="XN8" s="18"/>
      <c r="XO8" s="18"/>
      <c r="XP8" s="18"/>
      <c r="XQ8" s="18"/>
      <c r="XR8" s="18"/>
      <c r="XS8" s="18"/>
      <c r="XT8" s="18"/>
      <c r="XU8" s="18"/>
      <c r="XV8" s="18"/>
      <c r="XW8" s="18"/>
      <c r="XX8" s="18"/>
      <c r="XY8" s="18"/>
      <c r="XZ8" s="18"/>
      <c r="YA8" s="18"/>
      <c r="YB8" s="18"/>
      <c r="YC8" s="18"/>
      <c r="YD8" s="18"/>
      <c r="YE8" s="18"/>
      <c r="YF8" s="18"/>
      <c r="YG8" s="18"/>
      <c r="YH8" s="18"/>
      <c r="YI8" s="18"/>
      <c r="YJ8" s="18"/>
      <c r="YK8" s="18"/>
      <c r="YL8" s="18"/>
      <c r="YM8" s="18"/>
      <c r="YN8" s="18"/>
      <c r="YO8" s="18"/>
      <c r="YP8" s="18"/>
      <c r="YQ8" s="18"/>
      <c r="YR8" s="18"/>
      <c r="YS8" s="18"/>
      <c r="YT8" s="18"/>
      <c r="YU8" s="18"/>
      <c r="YV8" s="18"/>
      <c r="YW8" s="18"/>
      <c r="YX8" s="18"/>
      <c r="YY8" s="18"/>
      <c r="YZ8" s="18"/>
      <c r="ZA8" s="18"/>
      <c r="ZB8" s="18"/>
      <c r="ZC8" s="18"/>
      <c r="ZD8" s="18"/>
      <c r="ZE8" s="18"/>
      <c r="ZF8" s="18"/>
      <c r="ZG8" s="18"/>
      <c r="ZH8" s="18"/>
      <c r="ZI8" s="18"/>
      <c r="ZJ8" s="18"/>
      <c r="ZK8" s="18"/>
      <c r="ZL8" s="18"/>
      <c r="ZM8" s="18"/>
      <c r="ZN8" s="18"/>
      <c r="ZO8" s="18"/>
      <c r="ZP8" s="18"/>
      <c r="ZQ8" s="18"/>
      <c r="ZR8" s="18"/>
      <c r="ZS8" s="18"/>
      <c r="ZT8" s="18"/>
      <c r="ZU8" s="18"/>
      <c r="ZV8" s="18"/>
      <c r="ZW8" s="18"/>
      <c r="ZX8" s="18"/>
      <c r="ZY8" s="18"/>
      <c r="ZZ8" s="18"/>
      <c r="AAA8" s="18"/>
      <c r="AAB8" s="18"/>
      <c r="AAC8" s="18"/>
      <c r="AAD8" s="18"/>
      <c r="AAE8" s="18"/>
      <c r="AAF8" s="18"/>
      <c r="AAG8" s="18"/>
      <c r="AAH8" s="18"/>
      <c r="AAI8" s="18"/>
      <c r="AAJ8" s="18"/>
      <c r="AAK8" s="18"/>
      <c r="AAL8" s="18"/>
      <c r="AAM8" s="18"/>
      <c r="AAN8" s="18"/>
      <c r="AAO8" s="18"/>
      <c r="AAP8" s="18"/>
      <c r="AAQ8" s="18"/>
      <c r="AAR8" s="18"/>
      <c r="AAS8" s="18"/>
      <c r="AAT8" s="18"/>
      <c r="AAU8" s="18"/>
      <c r="AAV8" s="18"/>
      <c r="AAW8" s="18"/>
      <c r="AAX8" s="18"/>
      <c r="AAY8" s="18"/>
      <c r="AAZ8" s="18"/>
      <c r="ABA8" s="18"/>
      <c r="ABB8" s="18"/>
      <c r="ABC8" s="18"/>
      <c r="ABD8" s="18"/>
      <c r="ABE8" s="18"/>
      <c r="ABF8" s="18"/>
      <c r="ABG8" s="18"/>
      <c r="ABH8" s="18"/>
      <c r="ABI8" s="18"/>
      <c r="ABJ8" s="18"/>
      <c r="ABK8" s="18"/>
      <c r="ABL8" s="18"/>
      <c r="ABM8" s="18"/>
      <c r="ABN8" s="18"/>
      <c r="ABO8" s="18"/>
      <c r="ABP8" s="18"/>
      <c r="ABQ8" s="18"/>
      <c r="ABR8" s="18"/>
      <c r="ABS8" s="18"/>
      <c r="ABT8" s="18"/>
      <c r="ABU8" s="18"/>
      <c r="ABV8" s="18"/>
      <c r="ABW8" s="18"/>
      <c r="ABX8" s="18"/>
      <c r="ABY8" s="18"/>
      <c r="ABZ8" s="18"/>
      <c r="ACA8" s="18"/>
      <c r="ACB8" s="18"/>
      <c r="ACC8" s="18"/>
      <c r="ACD8" s="18"/>
      <c r="ACE8" s="18"/>
      <c r="ACF8" s="18"/>
      <c r="ACG8" s="18"/>
      <c r="ACH8" s="18"/>
      <c r="ACI8" s="18"/>
      <c r="ACJ8" s="18"/>
      <c r="ACK8" s="18"/>
      <c r="ACL8" s="18"/>
      <c r="ACM8" s="18"/>
      <c r="ACN8" s="18"/>
      <c r="ACO8" s="18"/>
      <c r="ACP8" s="18"/>
      <c r="ACQ8" s="18"/>
      <c r="ACR8" s="18"/>
      <c r="ACS8" s="18"/>
      <c r="ACT8" s="18"/>
      <c r="ACU8" s="18"/>
      <c r="ACV8" s="18"/>
      <c r="ACW8" s="18"/>
      <c r="ACX8" s="18"/>
      <c r="ACY8" s="18"/>
      <c r="ACZ8" s="18"/>
      <c r="ADA8" s="18"/>
      <c r="ADB8" s="18"/>
      <c r="ADC8" s="18"/>
      <c r="ADD8" s="18"/>
      <c r="ADE8" s="18"/>
      <c r="ADF8" s="18"/>
      <c r="ADG8" s="18"/>
      <c r="ADH8" s="18"/>
      <c r="ADI8" s="18"/>
      <c r="ADJ8" s="18"/>
      <c r="ADK8" s="18"/>
      <c r="ADL8" s="18"/>
      <c r="ADM8" s="18"/>
      <c r="ADN8" s="18"/>
      <c r="ADO8" s="18"/>
      <c r="ADP8" s="18"/>
      <c r="ADQ8" s="18"/>
      <c r="ADR8" s="18"/>
      <c r="ADS8" s="18"/>
      <c r="ADT8" s="18"/>
      <c r="ADU8" s="18"/>
      <c r="ADV8" s="18"/>
      <c r="ADW8" s="18"/>
      <c r="ADX8" s="18"/>
      <c r="ADY8" s="18"/>
      <c r="ADZ8" s="18"/>
      <c r="AEA8" s="18"/>
      <c r="AEB8" s="18"/>
      <c r="AEC8" s="18"/>
      <c r="AED8" s="18"/>
      <c r="AEE8" s="18"/>
      <c r="AEF8" s="18"/>
      <c r="AEG8" s="18"/>
      <c r="AEH8" s="18"/>
      <c r="AEI8" s="18"/>
      <c r="AEJ8" s="18"/>
      <c r="AEK8" s="18"/>
      <c r="AEL8" s="18"/>
      <c r="AEM8" s="18"/>
      <c r="AEN8" s="18"/>
      <c r="AEO8" s="18"/>
      <c r="AEP8" s="18"/>
      <c r="AEQ8" s="18"/>
      <c r="AER8" s="18"/>
      <c r="AES8" s="18"/>
      <c r="AET8" s="18"/>
      <c r="AEU8" s="18"/>
      <c r="AEV8" s="18"/>
      <c r="AEW8" s="18"/>
      <c r="AEX8" s="18"/>
      <c r="AEY8" s="18"/>
      <c r="AEZ8" s="18"/>
      <c r="AFA8" s="18"/>
      <c r="AFB8" s="18"/>
      <c r="AFC8" s="18"/>
      <c r="AFD8" s="18"/>
      <c r="AFE8" s="18"/>
      <c r="AFF8" s="18"/>
      <c r="AFG8" s="18"/>
      <c r="AFH8" s="18"/>
      <c r="AFI8" s="18"/>
      <c r="AFJ8" s="18"/>
      <c r="AFK8" s="18"/>
      <c r="AFL8" s="18"/>
      <c r="AFM8" s="18"/>
      <c r="AFN8" s="18"/>
      <c r="AFO8" s="18"/>
      <c r="AFP8" s="18"/>
      <c r="AFQ8" s="18"/>
      <c r="AFR8" s="18"/>
      <c r="AFS8" s="18"/>
      <c r="AFT8" s="18"/>
      <c r="AFU8" s="18"/>
      <c r="AFV8" s="18"/>
      <c r="AFW8" s="18"/>
      <c r="AFX8" s="18"/>
      <c r="AFY8" s="18"/>
      <c r="AFZ8" s="18"/>
      <c r="AGA8" s="18"/>
      <c r="AGB8" s="18"/>
      <c r="AGC8" s="18"/>
      <c r="AGD8" s="18"/>
      <c r="AGE8" s="18"/>
      <c r="AGF8" s="18"/>
      <c r="AGG8" s="18"/>
      <c r="AGH8" s="18"/>
      <c r="AGI8" s="18"/>
      <c r="AGJ8" s="18"/>
      <c r="AGK8" s="18"/>
      <c r="AGL8" s="18"/>
      <c r="AGM8" s="18"/>
      <c r="AGN8" s="18"/>
      <c r="AGO8" s="18"/>
      <c r="AGP8" s="18"/>
      <c r="AGQ8" s="18"/>
      <c r="AGR8" s="18"/>
      <c r="AGS8" s="18"/>
      <c r="AGT8" s="18"/>
      <c r="AGU8" s="18"/>
      <c r="AGV8" s="18"/>
      <c r="AGW8" s="18"/>
      <c r="AGX8" s="18"/>
      <c r="AGY8" s="18"/>
      <c r="AGZ8" s="18"/>
      <c r="AHA8" s="18"/>
      <c r="AHB8" s="18"/>
      <c r="AHC8" s="18"/>
      <c r="AHD8" s="18"/>
      <c r="AHE8" s="18"/>
      <c r="AHF8" s="18"/>
      <c r="AHG8" s="18"/>
      <c r="AHH8" s="18"/>
      <c r="AHI8" s="18"/>
      <c r="AHJ8" s="18"/>
      <c r="AHK8" s="18"/>
      <c r="AHL8" s="18"/>
      <c r="AHM8" s="18"/>
      <c r="AHN8" s="18"/>
      <c r="AHO8" s="18"/>
      <c r="AHP8" s="18"/>
      <c r="AHQ8" s="18"/>
      <c r="AHR8" s="18"/>
      <c r="AHS8" s="18"/>
      <c r="AHT8" s="18"/>
      <c r="AHU8" s="18"/>
      <c r="AHV8" s="18"/>
      <c r="AHW8" s="18"/>
      <c r="AHX8" s="18"/>
      <c r="AHY8" s="18"/>
      <c r="AHZ8" s="18"/>
      <c r="AIA8" s="18"/>
      <c r="AIB8" s="18"/>
      <c r="AIC8" s="18"/>
      <c r="AID8" s="18"/>
      <c r="AIE8" s="18"/>
      <c r="AIF8" s="18"/>
      <c r="AIG8" s="18"/>
      <c r="AIH8" s="18"/>
      <c r="AII8" s="18"/>
      <c r="AIJ8" s="18"/>
      <c r="AIK8" s="18"/>
      <c r="AIL8" s="18"/>
      <c r="AIM8" s="18"/>
      <c r="AIN8" s="18"/>
      <c r="AIO8" s="18"/>
      <c r="AIP8" s="18"/>
      <c r="AIQ8" s="18"/>
      <c r="AIR8" s="18"/>
      <c r="AIS8" s="18"/>
      <c r="AIT8" s="18"/>
      <c r="AIU8" s="18"/>
      <c r="AIV8" s="18"/>
      <c r="AIW8" s="18"/>
      <c r="AIX8" s="18"/>
      <c r="AIY8" s="18"/>
      <c r="AIZ8" s="18"/>
      <c r="AJA8" s="18"/>
      <c r="AJB8" s="18"/>
      <c r="AJC8" s="18"/>
      <c r="AJD8" s="18"/>
      <c r="AJE8" s="18"/>
      <c r="AJF8" s="18"/>
      <c r="AJG8" s="18"/>
      <c r="AJH8" s="18"/>
      <c r="AJI8" s="18"/>
      <c r="AJJ8" s="18"/>
      <c r="AJK8" s="18"/>
      <c r="AJL8" s="18"/>
      <c r="AJM8" s="18"/>
      <c r="AJN8" s="18"/>
      <c r="AJO8" s="18"/>
      <c r="AJP8" s="18"/>
      <c r="AJQ8" s="18"/>
      <c r="AJR8" s="18"/>
      <c r="AJS8" s="18"/>
      <c r="AJT8" s="18"/>
      <c r="AJU8" s="18"/>
      <c r="AJV8" s="18"/>
      <c r="AJW8" s="18"/>
      <c r="AJX8" s="18"/>
      <c r="AJY8" s="18"/>
      <c r="AJZ8" s="18"/>
      <c r="AKA8" s="18"/>
      <c r="AKB8" s="18"/>
      <c r="AKC8" s="18"/>
      <c r="AKD8" s="18"/>
      <c r="AKE8" s="18"/>
      <c r="AKF8" s="18"/>
      <c r="AKG8" s="18"/>
      <c r="AKH8" s="18"/>
      <c r="AKI8" s="18"/>
      <c r="AKJ8" s="18"/>
      <c r="AKK8" s="18"/>
      <c r="AKL8" s="18"/>
      <c r="AKM8" s="18"/>
      <c r="AKN8" s="18"/>
      <c r="AKO8" s="18"/>
      <c r="AKP8" s="18"/>
      <c r="AKQ8" s="18"/>
      <c r="AKR8" s="18"/>
      <c r="AKS8" s="18"/>
      <c r="AKT8" s="18"/>
      <c r="AKU8" s="18"/>
      <c r="AKV8" s="18"/>
      <c r="AKW8" s="18"/>
      <c r="AKX8" s="18"/>
      <c r="AKY8" s="18"/>
      <c r="AKZ8" s="18"/>
      <c r="ALA8" s="18"/>
      <c r="ALB8" s="18"/>
      <c r="ALC8" s="18"/>
      <c r="ALD8" s="18"/>
      <c r="ALE8" s="18"/>
      <c r="ALF8" s="18"/>
      <c r="ALG8" s="18"/>
      <c r="ALH8" s="18"/>
      <c r="ALI8" s="18"/>
      <c r="ALJ8" s="18"/>
      <c r="ALK8" s="18"/>
      <c r="ALL8" s="18"/>
      <c r="ALM8" s="18"/>
      <c r="ALN8" s="18"/>
      <c r="ALO8" s="18"/>
      <c r="ALP8" s="18"/>
      <c r="ALQ8" s="18"/>
      <c r="ALR8" s="18"/>
      <c r="ALS8" s="18"/>
      <c r="ALT8" s="18"/>
      <c r="ALU8" s="18"/>
      <c r="ALV8" s="18"/>
      <c r="ALW8" s="18"/>
      <c r="ALX8" s="18"/>
      <c r="ALY8" s="18"/>
      <c r="ALZ8" s="18"/>
      <c r="AMA8" s="18"/>
      <c r="AMB8" s="18"/>
      <c r="AMC8" s="18"/>
      <c r="AMD8" s="18"/>
      <c r="AME8" s="18"/>
      <c r="AMF8" s="18"/>
      <c r="AMG8" s="18"/>
      <c r="AMH8" s="18"/>
      <c r="AMI8" s="18"/>
      <c r="AMJ8" s="18"/>
      <c r="AMK8" s="18"/>
    </row>
    <row r="9" spans="1:1025" s="16" customFormat="1" x14ac:dyDescent="0.25">
      <c r="A9" s="16" t="s">
        <v>39</v>
      </c>
      <c r="B9" s="16">
        <v>2019</v>
      </c>
      <c r="C9" s="17">
        <v>11475882</v>
      </c>
      <c r="D9" s="17"/>
      <c r="E9" s="17">
        <v>7216908</v>
      </c>
      <c r="F9" s="17">
        <f t="shared" si="0"/>
        <v>15907642</v>
      </c>
      <c r="G9" s="17">
        <v>23124550</v>
      </c>
      <c r="H9" s="17">
        <v>17936851</v>
      </c>
      <c r="I9" s="17">
        <v>3522575</v>
      </c>
      <c r="J9" s="17">
        <v>809724365</v>
      </c>
      <c r="K9" s="17">
        <v>764764990</v>
      </c>
      <c r="L9" s="17"/>
      <c r="M9" s="17">
        <f t="shared" si="1"/>
        <v>0.49626401378621421</v>
      </c>
      <c r="N9" s="17">
        <f t="shared" si="2"/>
        <v>0.72140685589982478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  <c r="JR9" s="18"/>
      <c r="JS9" s="18"/>
      <c r="JT9" s="18"/>
      <c r="JU9" s="18"/>
      <c r="JV9" s="18"/>
      <c r="JW9" s="18"/>
      <c r="JX9" s="18"/>
      <c r="JY9" s="18"/>
      <c r="JZ9" s="18"/>
      <c r="KA9" s="18"/>
      <c r="KB9" s="18"/>
      <c r="KC9" s="18"/>
      <c r="KD9" s="18"/>
      <c r="KE9" s="18"/>
      <c r="KF9" s="18"/>
      <c r="KG9" s="18"/>
      <c r="KH9" s="18"/>
      <c r="KI9" s="18"/>
      <c r="KJ9" s="18"/>
      <c r="KK9" s="18"/>
      <c r="KL9" s="18"/>
      <c r="KM9" s="18"/>
      <c r="KN9" s="18"/>
      <c r="KO9" s="18"/>
      <c r="KP9" s="18"/>
      <c r="KQ9" s="18"/>
      <c r="KR9" s="18"/>
      <c r="KS9" s="18"/>
      <c r="KT9" s="18"/>
      <c r="KU9" s="18"/>
      <c r="KV9" s="18"/>
      <c r="KW9" s="18"/>
      <c r="KX9" s="18"/>
      <c r="KY9" s="18"/>
      <c r="KZ9" s="18"/>
      <c r="LA9" s="18"/>
      <c r="LB9" s="18"/>
      <c r="LC9" s="18"/>
      <c r="LD9" s="18"/>
      <c r="LE9" s="18"/>
      <c r="LF9" s="18"/>
      <c r="LG9" s="18"/>
      <c r="LH9" s="18"/>
      <c r="LI9" s="18"/>
      <c r="LJ9" s="18"/>
      <c r="LK9" s="18"/>
      <c r="LL9" s="18"/>
      <c r="LM9" s="18"/>
      <c r="LN9" s="18"/>
      <c r="LO9" s="18"/>
      <c r="LP9" s="18"/>
      <c r="LQ9" s="18"/>
      <c r="LR9" s="18"/>
      <c r="LS9" s="18"/>
      <c r="LT9" s="18"/>
      <c r="LU9" s="18"/>
      <c r="LV9" s="18"/>
      <c r="LW9" s="18"/>
      <c r="LX9" s="18"/>
      <c r="LY9" s="18"/>
      <c r="LZ9" s="18"/>
      <c r="MA9" s="18"/>
      <c r="MB9" s="18"/>
      <c r="MC9" s="18"/>
      <c r="MD9" s="18"/>
      <c r="ME9" s="18"/>
      <c r="MF9" s="18"/>
      <c r="MG9" s="18"/>
      <c r="MH9" s="18"/>
      <c r="MI9" s="18"/>
      <c r="MJ9" s="18"/>
      <c r="MK9" s="18"/>
      <c r="ML9" s="18"/>
      <c r="MM9" s="18"/>
      <c r="MN9" s="18"/>
      <c r="MO9" s="18"/>
      <c r="MP9" s="18"/>
      <c r="MQ9" s="18"/>
      <c r="MR9" s="18"/>
      <c r="MS9" s="18"/>
      <c r="MT9" s="18"/>
      <c r="MU9" s="18"/>
      <c r="MV9" s="18"/>
      <c r="MW9" s="18"/>
      <c r="MX9" s="18"/>
      <c r="MY9" s="18"/>
      <c r="MZ9" s="18"/>
      <c r="NA9" s="18"/>
      <c r="NB9" s="18"/>
      <c r="NC9" s="18"/>
      <c r="ND9" s="18"/>
      <c r="NE9" s="18"/>
      <c r="NF9" s="18"/>
      <c r="NG9" s="18"/>
      <c r="NH9" s="18"/>
      <c r="NI9" s="18"/>
      <c r="NJ9" s="18"/>
      <c r="NK9" s="18"/>
      <c r="NL9" s="18"/>
      <c r="NM9" s="18"/>
      <c r="NN9" s="18"/>
      <c r="NO9" s="18"/>
      <c r="NP9" s="18"/>
      <c r="NQ9" s="18"/>
      <c r="NR9" s="18"/>
      <c r="NS9" s="18"/>
      <c r="NT9" s="18"/>
      <c r="NU9" s="18"/>
      <c r="NV9" s="18"/>
      <c r="NW9" s="18"/>
      <c r="NX9" s="18"/>
      <c r="NY9" s="18"/>
      <c r="NZ9" s="18"/>
      <c r="OA9" s="18"/>
      <c r="OB9" s="18"/>
      <c r="OC9" s="18"/>
      <c r="OD9" s="18"/>
      <c r="OE9" s="18"/>
      <c r="OF9" s="18"/>
      <c r="OG9" s="18"/>
      <c r="OH9" s="18"/>
      <c r="OI9" s="18"/>
      <c r="OJ9" s="18"/>
      <c r="OK9" s="18"/>
      <c r="OL9" s="18"/>
      <c r="OM9" s="18"/>
      <c r="ON9" s="18"/>
      <c r="OO9" s="18"/>
      <c r="OP9" s="18"/>
      <c r="OQ9" s="18"/>
      <c r="OR9" s="18"/>
      <c r="OS9" s="18"/>
      <c r="OT9" s="18"/>
      <c r="OU9" s="18"/>
      <c r="OV9" s="18"/>
      <c r="OW9" s="18"/>
      <c r="OX9" s="18"/>
      <c r="OY9" s="18"/>
      <c r="OZ9" s="18"/>
      <c r="PA9" s="18"/>
      <c r="PB9" s="18"/>
      <c r="PC9" s="18"/>
      <c r="PD9" s="18"/>
      <c r="PE9" s="18"/>
      <c r="PF9" s="18"/>
      <c r="PG9" s="18"/>
      <c r="PH9" s="18"/>
      <c r="PI9" s="18"/>
      <c r="PJ9" s="18"/>
      <c r="PK9" s="18"/>
      <c r="PL9" s="18"/>
      <c r="PM9" s="18"/>
      <c r="PN9" s="18"/>
      <c r="PO9" s="18"/>
      <c r="PP9" s="18"/>
      <c r="PQ9" s="18"/>
      <c r="PR9" s="18"/>
      <c r="PS9" s="18"/>
      <c r="PT9" s="18"/>
      <c r="PU9" s="18"/>
      <c r="PV9" s="18"/>
      <c r="PW9" s="18"/>
      <c r="PX9" s="18"/>
      <c r="PY9" s="18"/>
      <c r="PZ9" s="18"/>
      <c r="QA9" s="18"/>
      <c r="QB9" s="18"/>
      <c r="QC9" s="18"/>
      <c r="QD9" s="18"/>
      <c r="QE9" s="18"/>
      <c r="QF9" s="18"/>
      <c r="QG9" s="18"/>
      <c r="QH9" s="18"/>
      <c r="QI9" s="18"/>
      <c r="QJ9" s="18"/>
      <c r="QK9" s="18"/>
      <c r="QL9" s="18"/>
      <c r="QM9" s="18"/>
      <c r="QN9" s="18"/>
      <c r="QO9" s="18"/>
      <c r="QP9" s="18"/>
      <c r="QQ9" s="18"/>
      <c r="QR9" s="18"/>
      <c r="QS9" s="18"/>
      <c r="QT9" s="18"/>
      <c r="QU9" s="18"/>
      <c r="QV9" s="18"/>
      <c r="QW9" s="18"/>
      <c r="QX9" s="18"/>
      <c r="QY9" s="18"/>
      <c r="QZ9" s="18"/>
      <c r="RA9" s="18"/>
      <c r="RB9" s="18"/>
      <c r="RC9" s="18"/>
      <c r="RD9" s="18"/>
      <c r="RE9" s="18"/>
      <c r="RF9" s="18"/>
      <c r="RG9" s="18"/>
      <c r="RH9" s="18"/>
      <c r="RI9" s="18"/>
      <c r="RJ9" s="18"/>
      <c r="RK9" s="18"/>
      <c r="RL9" s="18"/>
      <c r="RM9" s="18"/>
      <c r="RN9" s="18"/>
      <c r="RO9" s="18"/>
      <c r="RP9" s="18"/>
      <c r="RQ9" s="18"/>
      <c r="RR9" s="18"/>
      <c r="RS9" s="18"/>
      <c r="RT9" s="18"/>
      <c r="RU9" s="18"/>
      <c r="RV9" s="18"/>
      <c r="RW9" s="18"/>
      <c r="RX9" s="18"/>
      <c r="RY9" s="18"/>
      <c r="RZ9" s="18"/>
      <c r="SA9" s="18"/>
      <c r="SB9" s="18"/>
      <c r="SC9" s="18"/>
      <c r="SD9" s="18"/>
      <c r="SE9" s="18"/>
      <c r="SF9" s="18"/>
      <c r="SG9" s="18"/>
      <c r="SH9" s="18"/>
      <c r="SI9" s="18"/>
      <c r="SJ9" s="18"/>
      <c r="SK9" s="18"/>
      <c r="SL9" s="18"/>
      <c r="SM9" s="18"/>
      <c r="SN9" s="18"/>
      <c r="SO9" s="18"/>
      <c r="SP9" s="18"/>
      <c r="SQ9" s="18"/>
      <c r="SR9" s="18"/>
      <c r="SS9" s="18"/>
      <c r="ST9" s="18"/>
      <c r="SU9" s="18"/>
      <c r="SV9" s="18"/>
      <c r="SW9" s="18"/>
      <c r="SX9" s="18"/>
      <c r="SY9" s="18"/>
      <c r="SZ9" s="18"/>
      <c r="TA9" s="18"/>
      <c r="TB9" s="18"/>
      <c r="TC9" s="18"/>
      <c r="TD9" s="18"/>
      <c r="TE9" s="18"/>
      <c r="TF9" s="18"/>
      <c r="TG9" s="18"/>
      <c r="TH9" s="18"/>
      <c r="TI9" s="18"/>
      <c r="TJ9" s="18"/>
      <c r="TK9" s="18"/>
      <c r="TL9" s="18"/>
      <c r="TM9" s="18"/>
      <c r="TN9" s="18"/>
      <c r="TO9" s="18"/>
      <c r="TP9" s="18"/>
      <c r="TQ9" s="18"/>
      <c r="TR9" s="18"/>
      <c r="TS9" s="18"/>
      <c r="TT9" s="18"/>
      <c r="TU9" s="18"/>
      <c r="TV9" s="18"/>
      <c r="TW9" s="18"/>
      <c r="TX9" s="18"/>
      <c r="TY9" s="18"/>
      <c r="TZ9" s="18"/>
      <c r="UA9" s="18"/>
      <c r="UB9" s="18"/>
      <c r="UC9" s="18"/>
      <c r="UD9" s="18"/>
      <c r="UE9" s="18"/>
      <c r="UF9" s="18"/>
      <c r="UG9" s="18"/>
      <c r="UH9" s="18"/>
      <c r="UI9" s="18"/>
      <c r="UJ9" s="18"/>
      <c r="UK9" s="18"/>
      <c r="UL9" s="18"/>
      <c r="UM9" s="18"/>
      <c r="UN9" s="18"/>
      <c r="UO9" s="18"/>
      <c r="UP9" s="18"/>
      <c r="UQ9" s="18"/>
      <c r="UR9" s="18"/>
      <c r="US9" s="18"/>
      <c r="UT9" s="18"/>
      <c r="UU9" s="18"/>
      <c r="UV9" s="18"/>
      <c r="UW9" s="18"/>
      <c r="UX9" s="18"/>
      <c r="UY9" s="18"/>
      <c r="UZ9" s="18"/>
      <c r="VA9" s="18"/>
      <c r="VB9" s="18"/>
      <c r="VC9" s="18"/>
      <c r="VD9" s="18"/>
      <c r="VE9" s="18"/>
      <c r="VF9" s="18"/>
      <c r="VG9" s="18"/>
      <c r="VH9" s="18"/>
      <c r="VI9" s="18"/>
      <c r="VJ9" s="18"/>
      <c r="VK9" s="18"/>
      <c r="VL9" s="18"/>
      <c r="VM9" s="18"/>
      <c r="VN9" s="18"/>
      <c r="VO9" s="18"/>
      <c r="VP9" s="18"/>
      <c r="VQ9" s="18"/>
      <c r="VR9" s="18"/>
      <c r="VS9" s="18"/>
      <c r="VT9" s="18"/>
      <c r="VU9" s="18"/>
      <c r="VV9" s="18"/>
      <c r="VW9" s="18"/>
      <c r="VX9" s="18"/>
      <c r="VY9" s="18"/>
      <c r="VZ9" s="18"/>
      <c r="WA9" s="18"/>
      <c r="WB9" s="18"/>
      <c r="WC9" s="18"/>
      <c r="WD9" s="18"/>
      <c r="WE9" s="18"/>
      <c r="WF9" s="18"/>
      <c r="WG9" s="18"/>
      <c r="WH9" s="18"/>
      <c r="WI9" s="18"/>
      <c r="WJ9" s="18"/>
      <c r="WK9" s="18"/>
      <c r="WL9" s="18"/>
      <c r="WM9" s="18"/>
      <c r="WN9" s="18"/>
      <c r="WO9" s="18"/>
      <c r="WP9" s="18"/>
      <c r="WQ9" s="18"/>
      <c r="WR9" s="18"/>
      <c r="WS9" s="18"/>
      <c r="WT9" s="18"/>
      <c r="WU9" s="18"/>
      <c r="WV9" s="18"/>
      <c r="WW9" s="18"/>
      <c r="WX9" s="18"/>
      <c r="WY9" s="18"/>
      <c r="WZ9" s="18"/>
      <c r="XA9" s="18"/>
      <c r="XB9" s="18"/>
      <c r="XC9" s="18"/>
      <c r="XD9" s="18"/>
      <c r="XE9" s="18"/>
      <c r="XF9" s="18"/>
      <c r="XG9" s="18"/>
      <c r="XH9" s="18"/>
      <c r="XI9" s="18"/>
      <c r="XJ9" s="18"/>
      <c r="XK9" s="18"/>
      <c r="XL9" s="18"/>
      <c r="XM9" s="18"/>
      <c r="XN9" s="18"/>
      <c r="XO9" s="18"/>
      <c r="XP9" s="18"/>
      <c r="XQ9" s="18"/>
      <c r="XR9" s="18"/>
      <c r="XS9" s="18"/>
      <c r="XT9" s="18"/>
      <c r="XU9" s="18"/>
      <c r="XV9" s="18"/>
      <c r="XW9" s="18"/>
      <c r="XX9" s="18"/>
      <c r="XY9" s="18"/>
      <c r="XZ9" s="18"/>
      <c r="YA9" s="18"/>
      <c r="YB9" s="18"/>
      <c r="YC9" s="18"/>
      <c r="YD9" s="18"/>
      <c r="YE9" s="18"/>
      <c r="YF9" s="18"/>
      <c r="YG9" s="18"/>
      <c r="YH9" s="18"/>
      <c r="YI9" s="18"/>
      <c r="YJ9" s="18"/>
      <c r="YK9" s="18"/>
      <c r="YL9" s="18"/>
      <c r="YM9" s="18"/>
      <c r="YN9" s="18"/>
      <c r="YO9" s="18"/>
      <c r="YP9" s="18"/>
      <c r="YQ9" s="18"/>
      <c r="YR9" s="18"/>
      <c r="YS9" s="18"/>
      <c r="YT9" s="18"/>
      <c r="YU9" s="18"/>
      <c r="YV9" s="18"/>
      <c r="YW9" s="18"/>
      <c r="YX9" s="18"/>
      <c r="YY9" s="18"/>
      <c r="YZ9" s="18"/>
      <c r="ZA9" s="18"/>
      <c r="ZB9" s="18"/>
      <c r="ZC9" s="18"/>
      <c r="ZD9" s="18"/>
      <c r="ZE9" s="18"/>
      <c r="ZF9" s="18"/>
      <c r="ZG9" s="18"/>
      <c r="ZH9" s="18"/>
      <c r="ZI9" s="18"/>
      <c r="ZJ9" s="18"/>
      <c r="ZK9" s="18"/>
      <c r="ZL9" s="18"/>
      <c r="ZM9" s="18"/>
      <c r="ZN9" s="18"/>
      <c r="ZO9" s="18"/>
      <c r="ZP9" s="18"/>
      <c r="ZQ9" s="18"/>
      <c r="ZR9" s="18"/>
      <c r="ZS9" s="18"/>
      <c r="ZT9" s="18"/>
      <c r="ZU9" s="18"/>
      <c r="ZV9" s="18"/>
      <c r="ZW9" s="18"/>
      <c r="ZX9" s="18"/>
      <c r="ZY9" s="18"/>
      <c r="ZZ9" s="18"/>
      <c r="AAA9" s="18"/>
      <c r="AAB9" s="18"/>
      <c r="AAC9" s="18"/>
      <c r="AAD9" s="18"/>
      <c r="AAE9" s="18"/>
      <c r="AAF9" s="18"/>
      <c r="AAG9" s="18"/>
      <c r="AAH9" s="18"/>
      <c r="AAI9" s="18"/>
      <c r="AAJ9" s="18"/>
      <c r="AAK9" s="18"/>
      <c r="AAL9" s="18"/>
      <c r="AAM9" s="18"/>
      <c r="AAN9" s="18"/>
      <c r="AAO9" s="18"/>
      <c r="AAP9" s="18"/>
      <c r="AAQ9" s="18"/>
      <c r="AAR9" s="18"/>
      <c r="AAS9" s="18"/>
      <c r="AAT9" s="18"/>
      <c r="AAU9" s="18"/>
      <c r="AAV9" s="18"/>
      <c r="AAW9" s="18"/>
      <c r="AAX9" s="18"/>
      <c r="AAY9" s="18"/>
      <c r="AAZ9" s="18"/>
      <c r="ABA9" s="18"/>
      <c r="ABB9" s="18"/>
      <c r="ABC9" s="18"/>
      <c r="ABD9" s="18"/>
      <c r="ABE9" s="18"/>
      <c r="ABF9" s="18"/>
      <c r="ABG9" s="18"/>
      <c r="ABH9" s="18"/>
      <c r="ABI9" s="18"/>
      <c r="ABJ9" s="18"/>
      <c r="ABK9" s="18"/>
      <c r="ABL9" s="18"/>
      <c r="ABM9" s="18"/>
      <c r="ABN9" s="18"/>
      <c r="ABO9" s="18"/>
      <c r="ABP9" s="18"/>
      <c r="ABQ9" s="18"/>
      <c r="ABR9" s="18"/>
      <c r="ABS9" s="18"/>
      <c r="ABT9" s="18"/>
      <c r="ABU9" s="18"/>
      <c r="ABV9" s="18"/>
      <c r="ABW9" s="18"/>
      <c r="ABX9" s="18"/>
      <c r="ABY9" s="18"/>
      <c r="ABZ9" s="18"/>
      <c r="ACA9" s="18"/>
      <c r="ACB9" s="18"/>
      <c r="ACC9" s="18"/>
      <c r="ACD9" s="18"/>
      <c r="ACE9" s="18"/>
      <c r="ACF9" s="18"/>
      <c r="ACG9" s="18"/>
      <c r="ACH9" s="18"/>
      <c r="ACI9" s="18"/>
      <c r="ACJ9" s="18"/>
      <c r="ACK9" s="18"/>
      <c r="ACL9" s="18"/>
      <c r="ACM9" s="18"/>
      <c r="ACN9" s="18"/>
      <c r="ACO9" s="18"/>
      <c r="ACP9" s="18"/>
      <c r="ACQ9" s="18"/>
      <c r="ACR9" s="18"/>
      <c r="ACS9" s="18"/>
      <c r="ACT9" s="18"/>
      <c r="ACU9" s="18"/>
      <c r="ACV9" s="18"/>
      <c r="ACW9" s="18"/>
      <c r="ACX9" s="18"/>
      <c r="ACY9" s="18"/>
      <c r="ACZ9" s="18"/>
      <c r="ADA9" s="18"/>
      <c r="ADB9" s="18"/>
      <c r="ADC9" s="18"/>
      <c r="ADD9" s="18"/>
      <c r="ADE9" s="18"/>
      <c r="ADF9" s="18"/>
      <c r="ADG9" s="18"/>
      <c r="ADH9" s="18"/>
      <c r="ADI9" s="18"/>
      <c r="ADJ9" s="18"/>
      <c r="ADK9" s="18"/>
      <c r="ADL9" s="18"/>
      <c r="ADM9" s="18"/>
      <c r="ADN9" s="18"/>
      <c r="ADO9" s="18"/>
      <c r="ADP9" s="18"/>
      <c r="ADQ9" s="18"/>
      <c r="ADR9" s="18"/>
      <c r="ADS9" s="18"/>
      <c r="ADT9" s="18"/>
      <c r="ADU9" s="18"/>
      <c r="ADV9" s="18"/>
      <c r="ADW9" s="18"/>
      <c r="ADX9" s="18"/>
      <c r="ADY9" s="18"/>
      <c r="ADZ9" s="18"/>
      <c r="AEA9" s="18"/>
      <c r="AEB9" s="18"/>
      <c r="AEC9" s="18"/>
      <c r="AED9" s="18"/>
      <c r="AEE9" s="18"/>
      <c r="AEF9" s="18"/>
      <c r="AEG9" s="18"/>
      <c r="AEH9" s="18"/>
      <c r="AEI9" s="18"/>
      <c r="AEJ9" s="18"/>
      <c r="AEK9" s="18"/>
      <c r="AEL9" s="18"/>
      <c r="AEM9" s="18"/>
      <c r="AEN9" s="18"/>
      <c r="AEO9" s="18"/>
      <c r="AEP9" s="18"/>
      <c r="AEQ9" s="18"/>
      <c r="AER9" s="18"/>
      <c r="AES9" s="18"/>
      <c r="AET9" s="18"/>
      <c r="AEU9" s="18"/>
      <c r="AEV9" s="18"/>
      <c r="AEW9" s="18"/>
      <c r="AEX9" s="18"/>
      <c r="AEY9" s="18"/>
      <c r="AEZ9" s="18"/>
      <c r="AFA9" s="18"/>
      <c r="AFB9" s="18"/>
      <c r="AFC9" s="18"/>
      <c r="AFD9" s="18"/>
      <c r="AFE9" s="18"/>
      <c r="AFF9" s="18"/>
      <c r="AFG9" s="18"/>
      <c r="AFH9" s="18"/>
      <c r="AFI9" s="18"/>
      <c r="AFJ9" s="18"/>
      <c r="AFK9" s="18"/>
      <c r="AFL9" s="18"/>
      <c r="AFM9" s="18"/>
      <c r="AFN9" s="18"/>
      <c r="AFO9" s="18"/>
      <c r="AFP9" s="18"/>
      <c r="AFQ9" s="18"/>
      <c r="AFR9" s="18"/>
      <c r="AFS9" s="18"/>
      <c r="AFT9" s="18"/>
      <c r="AFU9" s="18"/>
      <c r="AFV9" s="18"/>
      <c r="AFW9" s="18"/>
      <c r="AFX9" s="18"/>
      <c r="AFY9" s="18"/>
      <c r="AFZ9" s="18"/>
      <c r="AGA9" s="18"/>
      <c r="AGB9" s="18"/>
      <c r="AGC9" s="18"/>
      <c r="AGD9" s="18"/>
      <c r="AGE9" s="18"/>
      <c r="AGF9" s="18"/>
      <c r="AGG9" s="18"/>
      <c r="AGH9" s="18"/>
      <c r="AGI9" s="18"/>
      <c r="AGJ9" s="18"/>
      <c r="AGK9" s="18"/>
      <c r="AGL9" s="18"/>
      <c r="AGM9" s="18"/>
      <c r="AGN9" s="18"/>
      <c r="AGO9" s="18"/>
      <c r="AGP9" s="18"/>
      <c r="AGQ9" s="18"/>
      <c r="AGR9" s="18"/>
      <c r="AGS9" s="18"/>
      <c r="AGT9" s="18"/>
      <c r="AGU9" s="18"/>
      <c r="AGV9" s="18"/>
      <c r="AGW9" s="18"/>
      <c r="AGX9" s="18"/>
      <c r="AGY9" s="18"/>
      <c r="AGZ9" s="18"/>
      <c r="AHA9" s="18"/>
      <c r="AHB9" s="18"/>
      <c r="AHC9" s="18"/>
      <c r="AHD9" s="18"/>
      <c r="AHE9" s="18"/>
      <c r="AHF9" s="18"/>
      <c r="AHG9" s="18"/>
      <c r="AHH9" s="18"/>
      <c r="AHI9" s="18"/>
      <c r="AHJ9" s="18"/>
      <c r="AHK9" s="18"/>
      <c r="AHL9" s="18"/>
      <c r="AHM9" s="18"/>
      <c r="AHN9" s="18"/>
      <c r="AHO9" s="18"/>
      <c r="AHP9" s="18"/>
      <c r="AHQ9" s="18"/>
      <c r="AHR9" s="18"/>
      <c r="AHS9" s="18"/>
      <c r="AHT9" s="18"/>
      <c r="AHU9" s="18"/>
      <c r="AHV9" s="18"/>
      <c r="AHW9" s="18"/>
      <c r="AHX9" s="18"/>
      <c r="AHY9" s="18"/>
      <c r="AHZ9" s="18"/>
      <c r="AIA9" s="18"/>
      <c r="AIB9" s="18"/>
      <c r="AIC9" s="18"/>
      <c r="AID9" s="18"/>
      <c r="AIE9" s="18"/>
      <c r="AIF9" s="18"/>
      <c r="AIG9" s="18"/>
      <c r="AIH9" s="18"/>
      <c r="AII9" s="18"/>
      <c r="AIJ9" s="18"/>
      <c r="AIK9" s="18"/>
      <c r="AIL9" s="18"/>
      <c r="AIM9" s="18"/>
      <c r="AIN9" s="18"/>
      <c r="AIO9" s="18"/>
      <c r="AIP9" s="18"/>
      <c r="AIQ9" s="18"/>
      <c r="AIR9" s="18"/>
      <c r="AIS9" s="18"/>
      <c r="AIT9" s="18"/>
      <c r="AIU9" s="18"/>
      <c r="AIV9" s="18"/>
      <c r="AIW9" s="18"/>
      <c r="AIX9" s="18"/>
      <c r="AIY9" s="18"/>
      <c r="AIZ9" s="18"/>
      <c r="AJA9" s="18"/>
      <c r="AJB9" s="18"/>
      <c r="AJC9" s="18"/>
      <c r="AJD9" s="18"/>
      <c r="AJE9" s="18"/>
      <c r="AJF9" s="18"/>
      <c r="AJG9" s="18"/>
      <c r="AJH9" s="18"/>
      <c r="AJI9" s="18"/>
      <c r="AJJ9" s="18"/>
      <c r="AJK9" s="18"/>
      <c r="AJL9" s="18"/>
      <c r="AJM9" s="18"/>
      <c r="AJN9" s="18"/>
      <c r="AJO9" s="18"/>
      <c r="AJP9" s="18"/>
      <c r="AJQ9" s="18"/>
      <c r="AJR9" s="18"/>
      <c r="AJS9" s="18"/>
      <c r="AJT9" s="18"/>
      <c r="AJU9" s="18"/>
      <c r="AJV9" s="18"/>
      <c r="AJW9" s="18"/>
      <c r="AJX9" s="18"/>
      <c r="AJY9" s="18"/>
      <c r="AJZ9" s="18"/>
      <c r="AKA9" s="18"/>
      <c r="AKB9" s="18"/>
      <c r="AKC9" s="18"/>
      <c r="AKD9" s="18"/>
      <c r="AKE9" s="18"/>
      <c r="AKF9" s="18"/>
      <c r="AKG9" s="18"/>
      <c r="AKH9" s="18"/>
      <c r="AKI9" s="18"/>
      <c r="AKJ9" s="18"/>
      <c r="AKK9" s="18"/>
      <c r="AKL9" s="18"/>
      <c r="AKM9" s="18"/>
      <c r="AKN9" s="18"/>
      <c r="AKO9" s="18"/>
      <c r="AKP9" s="18"/>
      <c r="AKQ9" s="18"/>
      <c r="AKR9" s="18"/>
      <c r="AKS9" s="18"/>
      <c r="AKT9" s="18"/>
      <c r="AKU9" s="18"/>
      <c r="AKV9" s="18"/>
      <c r="AKW9" s="18"/>
      <c r="AKX9" s="18"/>
      <c r="AKY9" s="18"/>
      <c r="AKZ9" s="18"/>
      <c r="ALA9" s="18"/>
      <c r="ALB9" s="18"/>
      <c r="ALC9" s="18"/>
      <c r="ALD9" s="18"/>
      <c r="ALE9" s="18"/>
      <c r="ALF9" s="18"/>
      <c r="ALG9" s="18"/>
      <c r="ALH9" s="18"/>
      <c r="ALI9" s="18"/>
      <c r="ALJ9" s="18"/>
      <c r="ALK9" s="18"/>
      <c r="ALL9" s="18"/>
      <c r="ALM9" s="18"/>
      <c r="ALN9" s="18"/>
      <c r="ALO9" s="18"/>
      <c r="ALP9" s="18"/>
      <c r="ALQ9" s="18"/>
      <c r="ALR9" s="18"/>
      <c r="ALS9" s="18"/>
      <c r="ALT9" s="18"/>
      <c r="ALU9" s="18"/>
      <c r="ALV9" s="18"/>
      <c r="ALW9" s="18"/>
      <c r="ALX9" s="18"/>
      <c r="ALY9" s="18"/>
      <c r="ALZ9" s="18"/>
      <c r="AMA9" s="18"/>
      <c r="AMB9" s="18"/>
      <c r="AMC9" s="18"/>
      <c r="AMD9" s="18"/>
      <c r="AME9" s="18"/>
      <c r="AMF9" s="18"/>
      <c r="AMG9" s="18"/>
      <c r="AMH9" s="18"/>
      <c r="AMI9" s="18"/>
      <c r="AMJ9" s="18"/>
      <c r="AMK9" s="18"/>
    </row>
    <row r="10" spans="1:1025" s="16" customFormat="1" x14ac:dyDescent="0.25">
      <c r="A10" s="16" t="s">
        <v>39</v>
      </c>
      <c r="B10" s="16">
        <v>2018</v>
      </c>
      <c r="C10" s="17">
        <v>12052712</v>
      </c>
      <c r="D10" s="17"/>
      <c r="E10" s="17">
        <v>7104916</v>
      </c>
      <c r="F10" s="17">
        <f t="shared" si="0"/>
        <v>14101369</v>
      </c>
      <c r="G10" s="17">
        <v>21206285</v>
      </c>
      <c r="H10" s="17">
        <v>17539787</v>
      </c>
      <c r="I10" s="17">
        <v>2038520</v>
      </c>
      <c r="J10" s="17">
        <v>779438419</v>
      </c>
      <c r="K10" s="17">
        <v>724896000</v>
      </c>
      <c r="L10" s="17"/>
      <c r="M10" s="17">
        <f t="shared" si="1"/>
        <v>0.56835565493909002</v>
      </c>
      <c r="N10" s="17">
        <f t="shared" si="2"/>
        <v>0.85471928292919641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18"/>
      <c r="MW10" s="18"/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18"/>
      <c r="NI10" s="18"/>
      <c r="NJ10" s="18"/>
      <c r="NK10" s="18"/>
      <c r="NL10" s="18"/>
      <c r="NM10" s="18"/>
      <c r="NN10" s="18"/>
      <c r="NO10" s="18"/>
      <c r="NP10" s="18"/>
      <c r="NQ10" s="18"/>
      <c r="NR10" s="18"/>
      <c r="NS10" s="18"/>
      <c r="NT10" s="18"/>
      <c r="NU10" s="18"/>
      <c r="NV10" s="18"/>
      <c r="NW10" s="18"/>
      <c r="NX10" s="18"/>
      <c r="NY10" s="18"/>
      <c r="NZ10" s="18"/>
      <c r="OA10" s="18"/>
      <c r="OB10" s="18"/>
      <c r="OC10" s="18"/>
      <c r="OD10" s="18"/>
      <c r="OE10" s="18"/>
      <c r="OF10" s="18"/>
      <c r="OG10" s="18"/>
      <c r="OH10" s="18"/>
      <c r="OI10" s="18"/>
      <c r="OJ10" s="18"/>
      <c r="OK10" s="18"/>
      <c r="OL10" s="18"/>
      <c r="OM10" s="18"/>
      <c r="ON10" s="18"/>
      <c r="OO10" s="18"/>
      <c r="OP10" s="18"/>
      <c r="OQ10" s="18"/>
      <c r="OR10" s="18"/>
      <c r="OS10" s="18"/>
      <c r="OT10" s="18"/>
      <c r="OU10" s="18"/>
      <c r="OV10" s="18"/>
      <c r="OW10" s="18"/>
      <c r="OX10" s="18"/>
      <c r="OY10" s="18"/>
      <c r="OZ10" s="18"/>
      <c r="PA10" s="18"/>
      <c r="PB10" s="18"/>
      <c r="PC10" s="18"/>
      <c r="PD10" s="18"/>
      <c r="PE10" s="18"/>
      <c r="PF10" s="18"/>
      <c r="PG10" s="18"/>
      <c r="PH10" s="18"/>
      <c r="PI10" s="18"/>
      <c r="PJ10" s="18"/>
      <c r="PK10" s="18"/>
      <c r="PL10" s="18"/>
      <c r="PM10" s="18"/>
      <c r="PN10" s="18"/>
      <c r="PO10" s="18"/>
      <c r="PP10" s="18"/>
      <c r="PQ10" s="18"/>
      <c r="PR10" s="18"/>
      <c r="PS10" s="18"/>
      <c r="PT10" s="18"/>
      <c r="PU10" s="18"/>
      <c r="PV10" s="18"/>
      <c r="PW10" s="18"/>
      <c r="PX10" s="18"/>
      <c r="PY10" s="18"/>
      <c r="PZ10" s="18"/>
      <c r="QA10" s="18"/>
      <c r="QB10" s="18"/>
      <c r="QC10" s="18"/>
      <c r="QD10" s="18"/>
      <c r="QE10" s="18"/>
      <c r="QF10" s="18"/>
      <c r="QG10" s="18"/>
      <c r="QH10" s="18"/>
      <c r="QI10" s="18"/>
      <c r="QJ10" s="18"/>
      <c r="QK10" s="18"/>
      <c r="QL10" s="18"/>
      <c r="QM10" s="18"/>
      <c r="QN10" s="18"/>
      <c r="QO10" s="18"/>
      <c r="QP10" s="18"/>
      <c r="QQ10" s="18"/>
      <c r="QR10" s="18"/>
      <c r="QS10" s="18"/>
      <c r="QT10" s="18"/>
      <c r="QU10" s="18"/>
      <c r="QV10" s="18"/>
      <c r="QW10" s="18"/>
      <c r="QX10" s="18"/>
      <c r="QY10" s="18"/>
      <c r="QZ10" s="18"/>
      <c r="RA10" s="18"/>
      <c r="RB10" s="18"/>
      <c r="RC10" s="18"/>
      <c r="RD10" s="18"/>
      <c r="RE10" s="18"/>
      <c r="RF10" s="18"/>
      <c r="RG10" s="18"/>
      <c r="RH10" s="18"/>
      <c r="RI10" s="18"/>
      <c r="RJ10" s="18"/>
      <c r="RK10" s="18"/>
      <c r="RL10" s="18"/>
      <c r="RM10" s="18"/>
      <c r="RN10" s="18"/>
      <c r="RO10" s="18"/>
      <c r="RP10" s="18"/>
      <c r="RQ10" s="18"/>
      <c r="RR10" s="18"/>
      <c r="RS10" s="18"/>
      <c r="RT10" s="18"/>
      <c r="RU10" s="18"/>
      <c r="RV10" s="18"/>
      <c r="RW10" s="18"/>
      <c r="RX10" s="18"/>
      <c r="RY10" s="18"/>
      <c r="RZ10" s="18"/>
      <c r="SA10" s="18"/>
      <c r="SB10" s="18"/>
      <c r="SC10" s="18"/>
      <c r="SD10" s="18"/>
      <c r="SE10" s="18"/>
      <c r="SF10" s="18"/>
      <c r="SG10" s="18"/>
      <c r="SH10" s="18"/>
      <c r="SI10" s="18"/>
      <c r="SJ10" s="18"/>
      <c r="SK10" s="18"/>
      <c r="SL10" s="18"/>
      <c r="SM10" s="18"/>
      <c r="SN10" s="18"/>
      <c r="SO10" s="18"/>
      <c r="SP10" s="18"/>
      <c r="SQ10" s="18"/>
      <c r="SR10" s="18"/>
      <c r="SS10" s="18"/>
      <c r="ST10" s="18"/>
      <c r="SU10" s="18"/>
      <c r="SV10" s="18"/>
      <c r="SW10" s="18"/>
      <c r="SX10" s="18"/>
      <c r="SY10" s="18"/>
      <c r="SZ10" s="18"/>
      <c r="TA10" s="18"/>
      <c r="TB10" s="18"/>
      <c r="TC10" s="18"/>
      <c r="TD10" s="18"/>
      <c r="TE10" s="18"/>
      <c r="TF10" s="18"/>
      <c r="TG10" s="18"/>
      <c r="TH10" s="18"/>
      <c r="TI10" s="18"/>
      <c r="TJ10" s="18"/>
      <c r="TK10" s="18"/>
      <c r="TL10" s="18"/>
      <c r="TM10" s="18"/>
      <c r="TN10" s="18"/>
      <c r="TO10" s="18"/>
      <c r="TP10" s="18"/>
      <c r="TQ10" s="18"/>
      <c r="TR10" s="18"/>
      <c r="TS10" s="18"/>
      <c r="TT10" s="18"/>
      <c r="TU10" s="18"/>
      <c r="TV10" s="18"/>
      <c r="TW10" s="18"/>
      <c r="TX10" s="18"/>
      <c r="TY10" s="18"/>
      <c r="TZ10" s="18"/>
      <c r="UA10" s="18"/>
      <c r="UB10" s="18"/>
      <c r="UC10" s="18"/>
      <c r="UD10" s="18"/>
      <c r="UE10" s="18"/>
      <c r="UF10" s="18"/>
      <c r="UG10" s="18"/>
      <c r="UH10" s="18"/>
      <c r="UI10" s="18"/>
      <c r="UJ10" s="18"/>
      <c r="UK10" s="18"/>
      <c r="UL10" s="18"/>
      <c r="UM10" s="18"/>
      <c r="UN10" s="18"/>
      <c r="UO10" s="18"/>
      <c r="UP10" s="18"/>
      <c r="UQ10" s="18"/>
      <c r="UR10" s="18"/>
      <c r="US10" s="18"/>
      <c r="UT10" s="18"/>
      <c r="UU10" s="18"/>
      <c r="UV10" s="18"/>
      <c r="UW10" s="18"/>
      <c r="UX10" s="18"/>
      <c r="UY10" s="18"/>
      <c r="UZ10" s="18"/>
      <c r="VA10" s="18"/>
      <c r="VB10" s="18"/>
      <c r="VC10" s="18"/>
      <c r="VD10" s="18"/>
      <c r="VE10" s="18"/>
      <c r="VF10" s="18"/>
      <c r="VG10" s="18"/>
      <c r="VH10" s="18"/>
      <c r="VI10" s="18"/>
      <c r="VJ10" s="18"/>
      <c r="VK10" s="18"/>
      <c r="VL10" s="18"/>
      <c r="VM10" s="18"/>
      <c r="VN10" s="18"/>
      <c r="VO10" s="18"/>
      <c r="VP10" s="18"/>
      <c r="VQ10" s="18"/>
      <c r="VR10" s="18"/>
      <c r="VS10" s="18"/>
      <c r="VT10" s="18"/>
      <c r="VU10" s="18"/>
      <c r="VV10" s="18"/>
      <c r="VW10" s="18"/>
      <c r="VX10" s="18"/>
      <c r="VY10" s="18"/>
      <c r="VZ10" s="18"/>
      <c r="WA10" s="18"/>
      <c r="WB10" s="18"/>
      <c r="WC10" s="18"/>
      <c r="WD10" s="18"/>
      <c r="WE10" s="18"/>
      <c r="WF10" s="18"/>
      <c r="WG10" s="18"/>
      <c r="WH10" s="18"/>
      <c r="WI10" s="18"/>
      <c r="WJ10" s="18"/>
      <c r="WK10" s="18"/>
      <c r="WL10" s="18"/>
      <c r="WM10" s="18"/>
      <c r="WN10" s="18"/>
      <c r="WO10" s="18"/>
      <c r="WP10" s="18"/>
      <c r="WQ10" s="18"/>
      <c r="WR10" s="18"/>
      <c r="WS10" s="18"/>
      <c r="WT10" s="18"/>
      <c r="WU10" s="18"/>
      <c r="WV10" s="18"/>
      <c r="WW10" s="18"/>
      <c r="WX10" s="18"/>
      <c r="WY10" s="18"/>
      <c r="WZ10" s="18"/>
      <c r="XA10" s="18"/>
      <c r="XB10" s="18"/>
      <c r="XC10" s="18"/>
      <c r="XD10" s="18"/>
      <c r="XE10" s="18"/>
      <c r="XF10" s="18"/>
      <c r="XG10" s="18"/>
      <c r="XH10" s="18"/>
      <c r="XI10" s="18"/>
      <c r="XJ10" s="18"/>
      <c r="XK10" s="18"/>
      <c r="XL10" s="18"/>
      <c r="XM10" s="18"/>
      <c r="XN10" s="18"/>
      <c r="XO10" s="18"/>
      <c r="XP10" s="18"/>
      <c r="XQ10" s="18"/>
      <c r="XR10" s="18"/>
      <c r="XS10" s="18"/>
      <c r="XT10" s="18"/>
      <c r="XU10" s="18"/>
      <c r="XV10" s="18"/>
      <c r="XW10" s="18"/>
      <c r="XX10" s="18"/>
      <c r="XY10" s="18"/>
      <c r="XZ10" s="18"/>
      <c r="YA10" s="18"/>
      <c r="YB10" s="18"/>
      <c r="YC10" s="18"/>
      <c r="YD10" s="18"/>
      <c r="YE10" s="18"/>
      <c r="YF10" s="18"/>
      <c r="YG10" s="18"/>
      <c r="YH10" s="18"/>
      <c r="YI10" s="18"/>
      <c r="YJ10" s="18"/>
      <c r="YK10" s="18"/>
      <c r="YL10" s="18"/>
      <c r="YM10" s="18"/>
      <c r="YN10" s="18"/>
      <c r="YO10" s="18"/>
      <c r="YP10" s="18"/>
      <c r="YQ10" s="18"/>
      <c r="YR10" s="18"/>
      <c r="YS10" s="18"/>
      <c r="YT10" s="18"/>
      <c r="YU10" s="18"/>
      <c r="YV10" s="18"/>
      <c r="YW10" s="18"/>
      <c r="YX10" s="18"/>
      <c r="YY10" s="18"/>
      <c r="YZ10" s="18"/>
      <c r="ZA10" s="18"/>
      <c r="ZB10" s="18"/>
      <c r="ZC10" s="18"/>
      <c r="ZD10" s="18"/>
      <c r="ZE10" s="18"/>
      <c r="ZF10" s="18"/>
      <c r="ZG10" s="18"/>
      <c r="ZH10" s="18"/>
      <c r="ZI10" s="18"/>
      <c r="ZJ10" s="18"/>
      <c r="ZK10" s="18"/>
      <c r="ZL10" s="18"/>
      <c r="ZM10" s="18"/>
      <c r="ZN10" s="18"/>
      <c r="ZO10" s="18"/>
      <c r="ZP10" s="18"/>
      <c r="ZQ10" s="18"/>
      <c r="ZR10" s="18"/>
      <c r="ZS10" s="18"/>
      <c r="ZT10" s="18"/>
      <c r="ZU10" s="18"/>
      <c r="ZV10" s="18"/>
      <c r="ZW10" s="18"/>
      <c r="ZX10" s="18"/>
      <c r="ZY10" s="18"/>
      <c r="ZZ10" s="18"/>
      <c r="AAA10" s="18"/>
      <c r="AAB10" s="18"/>
      <c r="AAC10" s="18"/>
      <c r="AAD10" s="18"/>
      <c r="AAE10" s="18"/>
      <c r="AAF10" s="18"/>
      <c r="AAG10" s="18"/>
      <c r="AAH10" s="18"/>
      <c r="AAI10" s="18"/>
      <c r="AAJ10" s="18"/>
      <c r="AAK10" s="18"/>
      <c r="AAL10" s="18"/>
      <c r="AAM10" s="18"/>
      <c r="AAN10" s="18"/>
      <c r="AAO10" s="18"/>
      <c r="AAP10" s="18"/>
      <c r="AAQ10" s="18"/>
      <c r="AAR10" s="18"/>
      <c r="AAS10" s="18"/>
      <c r="AAT10" s="18"/>
      <c r="AAU10" s="18"/>
      <c r="AAV10" s="18"/>
      <c r="AAW10" s="18"/>
      <c r="AAX10" s="18"/>
      <c r="AAY10" s="18"/>
      <c r="AAZ10" s="18"/>
      <c r="ABA10" s="18"/>
      <c r="ABB10" s="18"/>
      <c r="ABC10" s="18"/>
      <c r="ABD10" s="18"/>
      <c r="ABE10" s="18"/>
      <c r="ABF10" s="18"/>
      <c r="ABG10" s="18"/>
      <c r="ABH10" s="18"/>
      <c r="ABI10" s="18"/>
      <c r="ABJ10" s="18"/>
      <c r="ABK10" s="18"/>
      <c r="ABL10" s="18"/>
      <c r="ABM10" s="18"/>
      <c r="ABN10" s="18"/>
      <c r="ABO10" s="18"/>
      <c r="ABP10" s="18"/>
      <c r="ABQ10" s="18"/>
      <c r="ABR10" s="18"/>
      <c r="ABS10" s="18"/>
      <c r="ABT10" s="18"/>
      <c r="ABU10" s="18"/>
      <c r="ABV10" s="18"/>
      <c r="ABW10" s="18"/>
      <c r="ABX10" s="18"/>
      <c r="ABY10" s="18"/>
      <c r="ABZ10" s="18"/>
      <c r="ACA10" s="18"/>
      <c r="ACB10" s="18"/>
      <c r="ACC10" s="18"/>
      <c r="ACD10" s="18"/>
      <c r="ACE10" s="18"/>
      <c r="ACF10" s="18"/>
      <c r="ACG10" s="18"/>
      <c r="ACH10" s="18"/>
      <c r="ACI10" s="18"/>
      <c r="ACJ10" s="18"/>
      <c r="ACK10" s="18"/>
      <c r="ACL10" s="18"/>
      <c r="ACM10" s="18"/>
      <c r="ACN10" s="18"/>
      <c r="ACO10" s="18"/>
      <c r="ACP10" s="18"/>
      <c r="ACQ10" s="18"/>
      <c r="ACR10" s="18"/>
      <c r="ACS10" s="18"/>
      <c r="ACT10" s="18"/>
      <c r="ACU10" s="18"/>
      <c r="ACV10" s="18"/>
      <c r="ACW10" s="18"/>
      <c r="ACX10" s="18"/>
      <c r="ACY10" s="18"/>
      <c r="ACZ10" s="18"/>
      <c r="ADA10" s="18"/>
      <c r="ADB10" s="18"/>
      <c r="ADC10" s="18"/>
      <c r="ADD10" s="18"/>
      <c r="ADE10" s="18"/>
      <c r="ADF10" s="18"/>
      <c r="ADG10" s="18"/>
      <c r="ADH10" s="18"/>
      <c r="ADI10" s="18"/>
      <c r="ADJ10" s="18"/>
      <c r="ADK10" s="18"/>
      <c r="ADL10" s="18"/>
      <c r="ADM10" s="18"/>
      <c r="ADN10" s="18"/>
      <c r="ADO10" s="18"/>
      <c r="ADP10" s="18"/>
      <c r="ADQ10" s="18"/>
      <c r="ADR10" s="18"/>
      <c r="ADS10" s="18"/>
      <c r="ADT10" s="18"/>
      <c r="ADU10" s="18"/>
      <c r="ADV10" s="18"/>
      <c r="ADW10" s="18"/>
      <c r="ADX10" s="18"/>
      <c r="ADY10" s="18"/>
      <c r="ADZ10" s="18"/>
      <c r="AEA10" s="18"/>
      <c r="AEB10" s="18"/>
      <c r="AEC10" s="18"/>
      <c r="AED10" s="18"/>
      <c r="AEE10" s="18"/>
      <c r="AEF10" s="18"/>
      <c r="AEG10" s="18"/>
      <c r="AEH10" s="18"/>
      <c r="AEI10" s="18"/>
      <c r="AEJ10" s="18"/>
      <c r="AEK10" s="18"/>
      <c r="AEL10" s="18"/>
      <c r="AEM10" s="18"/>
      <c r="AEN10" s="18"/>
      <c r="AEO10" s="18"/>
      <c r="AEP10" s="18"/>
      <c r="AEQ10" s="18"/>
      <c r="AER10" s="18"/>
      <c r="AES10" s="18"/>
      <c r="AET10" s="18"/>
      <c r="AEU10" s="18"/>
      <c r="AEV10" s="18"/>
      <c r="AEW10" s="18"/>
      <c r="AEX10" s="18"/>
      <c r="AEY10" s="18"/>
      <c r="AEZ10" s="18"/>
      <c r="AFA10" s="18"/>
      <c r="AFB10" s="18"/>
      <c r="AFC10" s="18"/>
      <c r="AFD10" s="18"/>
      <c r="AFE10" s="18"/>
      <c r="AFF10" s="18"/>
      <c r="AFG10" s="18"/>
      <c r="AFH10" s="18"/>
      <c r="AFI10" s="18"/>
      <c r="AFJ10" s="18"/>
      <c r="AFK10" s="18"/>
      <c r="AFL10" s="18"/>
      <c r="AFM10" s="18"/>
      <c r="AFN10" s="18"/>
      <c r="AFO10" s="18"/>
      <c r="AFP10" s="18"/>
      <c r="AFQ10" s="18"/>
      <c r="AFR10" s="18"/>
      <c r="AFS10" s="18"/>
      <c r="AFT10" s="18"/>
      <c r="AFU10" s="18"/>
      <c r="AFV10" s="18"/>
      <c r="AFW10" s="18"/>
      <c r="AFX10" s="18"/>
      <c r="AFY10" s="18"/>
      <c r="AFZ10" s="18"/>
      <c r="AGA10" s="18"/>
      <c r="AGB10" s="18"/>
      <c r="AGC10" s="18"/>
      <c r="AGD10" s="18"/>
      <c r="AGE10" s="18"/>
      <c r="AGF10" s="18"/>
      <c r="AGG10" s="18"/>
      <c r="AGH10" s="18"/>
      <c r="AGI10" s="18"/>
      <c r="AGJ10" s="18"/>
      <c r="AGK10" s="18"/>
      <c r="AGL10" s="18"/>
      <c r="AGM10" s="18"/>
      <c r="AGN10" s="18"/>
      <c r="AGO10" s="18"/>
      <c r="AGP10" s="18"/>
      <c r="AGQ10" s="18"/>
      <c r="AGR10" s="18"/>
      <c r="AGS10" s="18"/>
      <c r="AGT10" s="18"/>
      <c r="AGU10" s="18"/>
      <c r="AGV10" s="18"/>
      <c r="AGW10" s="18"/>
      <c r="AGX10" s="18"/>
      <c r="AGY10" s="18"/>
      <c r="AGZ10" s="18"/>
      <c r="AHA10" s="18"/>
      <c r="AHB10" s="18"/>
      <c r="AHC10" s="18"/>
      <c r="AHD10" s="18"/>
      <c r="AHE10" s="18"/>
      <c r="AHF10" s="18"/>
      <c r="AHG10" s="18"/>
      <c r="AHH10" s="18"/>
      <c r="AHI10" s="18"/>
      <c r="AHJ10" s="18"/>
      <c r="AHK10" s="18"/>
      <c r="AHL10" s="18"/>
      <c r="AHM10" s="18"/>
      <c r="AHN10" s="18"/>
      <c r="AHO10" s="18"/>
      <c r="AHP10" s="18"/>
      <c r="AHQ10" s="18"/>
      <c r="AHR10" s="18"/>
      <c r="AHS10" s="18"/>
      <c r="AHT10" s="18"/>
      <c r="AHU10" s="18"/>
      <c r="AHV10" s="18"/>
      <c r="AHW10" s="18"/>
      <c r="AHX10" s="18"/>
      <c r="AHY10" s="18"/>
      <c r="AHZ10" s="18"/>
      <c r="AIA10" s="18"/>
      <c r="AIB10" s="18"/>
      <c r="AIC10" s="18"/>
      <c r="AID10" s="18"/>
      <c r="AIE10" s="18"/>
      <c r="AIF10" s="18"/>
      <c r="AIG10" s="18"/>
      <c r="AIH10" s="18"/>
      <c r="AII10" s="18"/>
      <c r="AIJ10" s="18"/>
      <c r="AIK10" s="18"/>
      <c r="AIL10" s="18"/>
      <c r="AIM10" s="18"/>
      <c r="AIN10" s="18"/>
      <c r="AIO10" s="18"/>
      <c r="AIP10" s="18"/>
      <c r="AIQ10" s="18"/>
      <c r="AIR10" s="18"/>
      <c r="AIS10" s="18"/>
      <c r="AIT10" s="18"/>
      <c r="AIU10" s="18"/>
      <c r="AIV10" s="18"/>
      <c r="AIW10" s="18"/>
      <c r="AIX10" s="18"/>
      <c r="AIY10" s="18"/>
      <c r="AIZ10" s="18"/>
      <c r="AJA10" s="18"/>
      <c r="AJB10" s="18"/>
      <c r="AJC10" s="18"/>
      <c r="AJD10" s="18"/>
      <c r="AJE10" s="18"/>
      <c r="AJF10" s="18"/>
      <c r="AJG10" s="18"/>
      <c r="AJH10" s="18"/>
      <c r="AJI10" s="18"/>
      <c r="AJJ10" s="18"/>
      <c r="AJK10" s="18"/>
      <c r="AJL10" s="18"/>
      <c r="AJM10" s="18"/>
      <c r="AJN10" s="18"/>
      <c r="AJO10" s="18"/>
      <c r="AJP10" s="18"/>
      <c r="AJQ10" s="18"/>
      <c r="AJR10" s="18"/>
      <c r="AJS10" s="18"/>
      <c r="AJT10" s="18"/>
      <c r="AJU10" s="18"/>
      <c r="AJV10" s="18"/>
      <c r="AJW10" s="18"/>
      <c r="AJX10" s="18"/>
      <c r="AJY10" s="18"/>
      <c r="AJZ10" s="18"/>
      <c r="AKA10" s="18"/>
      <c r="AKB10" s="18"/>
      <c r="AKC10" s="18"/>
      <c r="AKD10" s="18"/>
      <c r="AKE10" s="18"/>
      <c r="AKF10" s="18"/>
      <c r="AKG10" s="18"/>
      <c r="AKH10" s="18"/>
      <c r="AKI10" s="18"/>
      <c r="AKJ10" s="18"/>
      <c r="AKK10" s="18"/>
      <c r="AKL10" s="18"/>
      <c r="AKM10" s="18"/>
      <c r="AKN10" s="18"/>
      <c r="AKO10" s="18"/>
      <c r="AKP10" s="18"/>
      <c r="AKQ10" s="18"/>
      <c r="AKR10" s="18"/>
      <c r="AKS10" s="18"/>
      <c r="AKT10" s="18"/>
      <c r="AKU10" s="18"/>
      <c r="AKV10" s="18"/>
      <c r="AKW10" s="18"/>
      <c r="AKX10" s="18"/>
      <c r="AKY10" s="18"/>
      <c r="AKZ10" s="18"/>
      <c r="ALA10" s="18"/>
      <c r="ALB10" s="18"/>
      <c r="ALC10" s="18"/>
      <c r="ALD10" s="18"/>
      <c r="ALE10" s="18"/>
      <c r="ALF10" s="18"/>
      <c r="ALG10" s="18"/>
      <c r="ALH10" s="18"/>
      <c r="ALI10" s="18"/>
      <c r="ALJ10" s="18"/>
      <c r="ALK10" s="18"/>
      <c r="ALL10" s="18"/>
      <c r="ALM10" s="18"/>
      <c r="ALN10" s="18"/>
      <c r="ALO10" s="18"/>
      <c r="ALP10" s="18"/>
      <c r="ALQ10" s="18"/>
      <c r="ALR10" s="18"/>
      <c r="ALS10" s="18"/>
      <c r="ALT10" s="18"/>
      <c r="ALU10" s="18"/>
      <c r="ALV10" s="18"/>
      <c r="ALW10" s="18"/>
      <c r="ALX10" s="18"/>
      <c r="ALY10" s="18"/>
      <c r="ALZ10" s="18"/>
      <c r="AMA10" s="18"/>
      <c r="AMB10" s="18"/>
      <c r="AMC10" s="18"/>
      <c r="AMD10" s="18"/>
      <c r="AME10" s="18"/>
      <c r="AMF10" s="18"/>
      <c r="AMG10" s="18"/>
      <c r="AMH10" s="18"/>
      <c r="AMI10" s="18"/>
      <c r="AMJ10" s="18"/>
      <c r="AMK10" s="18"/>
    </row>
    <row r="11" spans="1:1025" s="16" customFormat="1" x14ac:dyDescent="0.25">
      <c r="A11" s="16" t="s">
        <v>39</v>
      </c>
      <c r="B11" s="16">
        <v>2017</v>
      </c>
      <c r="C11" s="17">
        <v>12128708</v>
      </c>
      <c r="D11" s="17"/>
      <c r="E11" s="17">
        <v>6729960</v>
      </c>
      <c r="F11" s="17">
        <f t="shared" si="0"/>
        <v>14721338</v>
      </c>
      <c r="G11" s="17">
        <v>21451298</v>
      </c>
      <c r="H11" s="17">
        <v>19395463</v>
      </c>
      <c r="I11" s="17">
        <v>-1008929</v>
      </c>
      <c r="J11" s="17">
        <v>817293441</v>
      </c>
      <c r="K11" s="17">
        <v>773991584</v>
      </c>
      <c r="L11" s="17"/>
      <c r="M11" s="17">
        <f t="shared" si="1"/>
        <v>0.56540671804568654</v>
      </c>
      <c r="N11" s="17">
        <f t="shared" si="2"/>
        <v>0.82388625273056026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18"/>
      <c r="NH11" s="18"/>
      <c r="NI11" s="18"/>
      <c r="NJ11" s="18"/>
      <c r="NK11" s="18"/>
      <c r="NL11" s="18"/>
      <c r="NM11" s="18"/>
      <c r="NN11" s="18"/>
      <c r="NO11" s="18"/>
      <c r="NP11" s="18"/>
      <c r="NQ11" s="18"/>
      <c r="NR11" s="18"/>
      <c r="NS11" s="18"/>
      <c r="NT11" s="18"/>
      <c r="NU11" s="18"/>
      <c r="NV11" s="18"/>
      <c r="NW11" s="18"/>
      <c r="NX11" s="18"/>
      <c r="NY11" s="18"/>
      <c r="NZ11" s="18"/>
      <c r="OA11" s="18"/>
      <c r="OB11" s="18"/>
      <c r="OC11" s="18"/>
      <c r="OD11" s="18"/>
      <c r="OE11" s="18"/>
      <c r="OF11" s="18"/>
      <c r="OG11" s="18"/>
      <c r="OH11" s="18"/>
      <c r="OI11" s="18"/>
      <c r="OJ11" s="18"/>
      <c r="OK11" s="18"/>
      <c r="OL11" s="18"/>
      <c r="OM11" s="18"/>
      <c r="ON11" s="18"/>
      <c r="OO11" s="18"/>
      <c r="OP11" s="18"/>
      <c r="OQ11" s="18"/>
      <c r="OR11" s="18"/>
      <c r="OS11" s="18"/>
      <c r="OT11" s="18"/>
      <c r="OU11" s="18"/>
      <c r="OV11" s="18"/>
      <c r="OW11" s="18"/>
      <c r="OX11" s="18"/>
      <c r="OY11" s="18"/>
      <c r="OZ11" s="18"/>
      <c r="PA11" s="18"/>
      <c r="PB11" s="18"/>
      <c r="PC11" s="18"/>
      <c r="PD11" s="18"/>
      <c r="PE11" s="18"/>
      <c r="PF11" s="18"/>
      <c r="PG11" s="18"/>
      <c r="PH11" s="18"/>
      <c r="PI11" s="18"/>
      <c r="PJ11" s="18"/>
      <c r="PK11" s="18"/>
      <c r="PL11" s="18"/>
      <c r="PM11" s="18"/>
      <c r="PN11" s="18"/>
      <c r="PO11" s="18"/>
      <c r="PP11" s="18"/>
      <c r="PQ11" s="18"/>
      <c r="PR11" s="18"/>
      <c r="PS11" s="18"/>
      <c r="PT11" s="18"/>
      <c r="PU11" s="18"/>
      <c r="PV11" s="18"/>
      <c r="PW11" s="18"/>
      <c r="PX11" s="18"/>
      <c r="PY11" s="18"/>
      <c r="PZ11" s="18"/>
      <c r="QA11" s="18"/>
      <c r="QB11" s="18"/>
      <c r="QC11" s="18"/>
      <c r="QD11" s="18"/>
      <c r="QE11" s="18"/>
      <c r="QF11" s="18"/>
      <c r="QG11" s="18"/>
      <c r="QH11" s="18"/>
      <c r="QI11" s="18"/>
      <c r="QJ11" s="18"/>
      <c r="QK11" s="18"/>
      <c r="QL11" s="18"/>
      <c r="QM11" s="18"/>
      <c r="QN11" s="18"/>
      <c r="QO11" s="18"/>
      <c r="QP11" s="18"/>
      <c r="QQ11" s="18"/>
      <c r="QR11" s="18"/>
      <c r="QS11" s="18"/>
      <c r="QT11" s="18"/>
      <c r="QU11" s="18"/>
      <c r="QV11" s="18"/>
      <c r="QW11" s="18"/>
      <c r="QX11" s="18"/>
      <c r="QY11" s="18"/>
      <c r="QZ11" s="18"/>
      <c r="RA11" s="18"/>
      <c r="RB11" s="18"/>
      <c r="RC11" s="18"/>
      <c r="RD11" s="18"/>
      <c r="RE11" s="18"/>
      <c r="RF11" s="18"/>
      <c r="RG11" s="18"/>
      <c r="RH11" s="18"/>
      <c r="RI11" s="18"/>
      <c r="RJ11" s="18"/>
      <c r="RK11" s="18"/>
      <c r="RL11" s="18"/>
      <c r="RM11" s="18"/>
      <c r="RN11" s="18"/>
      <c r="RO11" s="18"/>
      <c r="RP11" s="18"/>
      <c r="RQ11" s="18"/>
      <c r="RR11" s="18"/>
      <c r="RS11" s="18"/>
      <c r="RT11" s="18"/>
      <c r="RU11" s="18"/>
      <c r="RV11" s="18"/>
      <c r="RW11" s="18"/>
      <c r="RX11" s="18"/>
      <c r="RY11" s="18"/>
      <c r="RZ11" s="18"/>
      <c r="SA11" s="18"/>
      <c r="SB11" s="18"/>
      <c r="SC11" s="18"/>
      <c r="SD11" s="18"/>
      <c r="SE11" s="18"/>
      <c r="SF11" s="18"/>
      <c r="SG11" s="18"/>
      <c r="SH11" s="18"/>
      <c r="SI11" s="18"/>
      <c r="SJ11" s="18"/>
      <c r="SK11" s="18"/>
      <c r="SL11" s="18"/>
      <c r="SM11" s="18"/>
      <c r="SN11" s="18"/>
      <c r="SO11" s="18"/>
      <c r="SP11" s="18"/>
      <c r="SQ11" s="18"/>
      <c r="SR11" s="18"/>
      <c r="SS11" s="18"/>
      <c r="ST11" s="18"/>
      <c r="SU11" s="18"/>
      <c r="SV11" s="18"/>
      <c r="SW11" s="18"/>
      <c r="SX11" s="18"/>
      <c r="SY11" s="18"/>
      <c r="SZ11" s="18"/>
      <c r="TA11" s="18"/>
      <c r="TB11" s="18"/>
      <c r="TC11" s="18"/>
      <c r="TD11" s="18"/>
      <c r="TE11" s="18"/>
      <c r="TF11" s="18"/>
      <c r="TG11" s="18"/>
      <c r="TH11" s="18"/>
      <c r="TI11" s="18"/>
      <c r="TJ11" s="18"/>
      <c r="TK11" s="18"/>
      <c r="TL11" s="18"/>
      <c r="TM11" s="18"/>
      <c r="TN11" s="18"/>
      <c r="TO11" s="18"/>
      <c r="TP11" s="18"/>
      <c r="TQ11" s="18"/>
      <c r="TR11" s="18"/>
      <c r="TS11" s="18"/>
      <c r="TT11" s="18"/>
      <c r="TU11" s="18"/>
      <c r="TV11" s="18"/>
      <c r="TW11" s="18"/>
      <c r="TX11" s="18"/>
      <c r="TY11" s="18"/>
      <c r="TZ11" s="18"/>
      <c r="UA11" s="18"/>
      <c r="UB11" s="18"/>
      <c r="UC11" s="18"/>
      <c r="UD11" s="18"/>
      <c r="UE11" s="18"/>
      <c r="UF11" s="18"/>
      <c r="UG11" s="18"/>
      <c r="UH11" s="18"/>
      <c r="UI11" s="18"/>
      <c r="UJ11" s="18"/>
      <c r="UK11" s="18"/>
      <c r="UL11" s="18"/>
      <c r="UM11" s="18"/>
      <c r="UN11" s="18"/>
      <c r="UO11" s="18"/>
      <c r="UP11" s="18"/>
      <c r="UQ11" s="18"/>
      <c r="UR11" s="18"/>
      <c r="US11" s="18"/>
      <c r="UT11" s="18"/>
      <c r="UU11" s="18"/>
      <c r="UV11" s="18"/>
      <c r="UW11" s="18"/>
      <c r="UX11" s="18"/>
      <c r="UY11" s="18"/>
      <c r="UZ11" s="18"/>
      <c r="VA11" s="18"/>
      <c r="VB11" s="18"/>
      <c r="VC11" s="18"/>
      <c r="VD11" s="18"/>
      <c r="VE11" s="18"/>
      <c r="VF11" s="18"/>
      <c r="VG11" s="18"/>
      <c r="VH11" s="18"/>
      <c r="VI11" s="18"/>
      <c r="VJ11" s="18"/>
      <c r="VK11" s="18"/>
      <c r="VL11" s="18"/>
      <c r="VM11" s="18"/>
      <c r="VN11" s="18"/>
      <c r="VO11" s="18"/>
      <c r="VP11" s="18"/>
      <c r="VQ11" s="18"/>
      <c r="VR11" s="18"/>
      <c r="VS11" s="18"/>
      <c r="VT11" s="18"/>
      <c r="VU11" s="18"/>
      <c r="VV11" s="18"/>
      <c r="VW11" s="18"/>
      <c r="VX11" s="18"/>
      <c r="VY11" s="18"/>
      <c r="VZ11" s="18"/>
      <c r="WA11" s="18"/>
      <c r="WB11" s="18"/>
      <c r="WC11" s="18"/>
      <c r="WD11" s="18"/>
      <c r="WE11" s="18"/>
      <c r="WF11" s="18"/>
      <c r="WG11" s="18"/>
      <c r="WH11" s="18"/>
      <c r="WI11" s="18"/>
      <c r="WJ11" s="18"/>
      <c r="WK11" s="18"/>
      <c r="WL11" s="18"/>
      <c r="WM11" s="18"/>
      <c r="WN11" s="18"/>
      <c r="WO11" s="18"/>
      <c r="WP11" s="18"/>
      <c r="WQ11" s="18"/>
      <c r="WR11" s="18"/>
      <c r="WS11" s="18"/>
      <c r="WT11" s="18"/>
      <c r="WU11" s="18"/>
      <c r="WV11" s="18"/>
      <c r="WW11" s="18"/>
      <c r="WX11" s="18"/>
      <c r="WY11" s="18"/>
      <c r="WZ11" s="18"/>
      <c r="XA11" s="18"/>
      <c r="XB11" s="18"/>
      <c r="XC11" s="18"/>
      <c r="XD11" s="18"/>
      <c r="XE11" s="18"/>
      <c r="XF11" s="18"/>
      <c r="XG11" s="18"/>
      <c r="XH11" s="18"/>
      <c r="XI11" s="18"/>
      <c r="XJ11" s="18"/>
      <c r="XK11" s="18"/>
      <c r="XL11" s="18"/>
      <c r="XM11" s="18"/>
      <c r="XN11" s="18"/>
      <c r="XO11" s="18"/>
      <c r="XP11" s="18"/>
      <c r="XQ11" s="18"/>
      <c r="XR11" s="18"/>
      <c r="XS11" s="18"/>
      <c r="XT11" s="18"/>
      <c r="XU11" s="18"/>
      <c r="XV11" s="18"/>
      <c r="XW11" s="18"/>
      <c r="XX11" s="18"/>
      <c r="XY11" s="18"/>
      <c r="XZ11" s="18"/>
      <c r="YA11" s="18"/>
      <c r="YB11" s="18"/>
      <c r="YC11" s="18"/>
      <c r="YD11" s="18"/>
      <c r="YE11" s="18"/>
      <c r="YF11" s="18"/>
      <c r="YG11" s="18"/>
      <c r="YH11" s="18"/>
      <c r="YI11" s="18"/>
      <c r="YJ11" s="18"/>
      <c r="YK11" s="18"/>
      <c r="YL11" s="18"/>
      <c r="YM11" s="18"/>
      <c r="YN11" s="18"/>
      <c r="YO11" s="18"/>
      <c r="YP11" s="18"/>
      <c r="YQ11" s="18"/>
      <c r="YR11" s="18"/>
      <c r="YS11" s="18"/>
      <c r="YT11" s="18"/>
      <c r="YU11" s="18"/>
      <c r="YV11" s="18"/>
      <c r="YW11" s="18"/>
      <c r="YX11" s="18"/>
      <c r="YY11" s="18"/>
      <c r="YZ11" s="18"/>
      <c r="ZA11" s="18"/>
      <c r="ZB11" s="18"/>
      <c r="ZC11" s="18"/>
      <c r="ZD11" s="18"/>
      <c r="ZE11" s="18"/>
      <c r="ZF11" s="18"/>
      <c r="ZG11" s="18"/>
      <c r="ZH11" s="18"/>
      <c r="ZI11" s="18"/>
      <c r="ZJ11" s="18"/>
      <c r="ZK11" s="18"/>
      <c r="ZL11" s="18"/>
      <c r="ZM11" s="18"/>
      <c r="ZN11" s="18"/>
      <c r="ZO11" s="18"/>
      <c r="ZP11" s="18"/>
      <c r="ZQ11" s="18"/>
      <c r="ZR11" s="18"/>
      <c r="ZS11" s="18"/>
      <c r="ZT11" s="18"/>
      <c r="ZU11" s="18"/>
      <c r="ZV11" s="18"/>
      <c r="ZW11" s="18"/>
      <c r="ZX11" s="18"/>
      <c r="ZY11" s="18"/>
      <c r="ZZ11" s="18"/>
      <c r="AAA11" s="18"/>
      <c r="AAB11" s="18"/>
      <c r="AAC11" s="18"/>
      <c r="AAD11" s="18"/>
      <c r="AAE11" s="18"/>
      <c r="AAF11" s="18"/>
      <c r="AAG11" s="18"/>
      <c r="AAH11" s="18"/>
      <c r="AAI11" s="18"/>
      <c r="AAJ11" s="18"/>
      <c r="AAK11" s="18"/>
      <c r="AAL11" s="18"/>
      <c r="AAM11" s="18"/>
      <c r="AAN11" s="18"/>
      <c r="AAO11" s="18"/>
      <c r="AAP11" s="18"/>
      <c r="AAQ11" s="18"/>
      <c r="AAR11" s="18"/>
      <c r="AAS11" s="18"/>
      <c r="AAT11" s="18"/>
      <c r="AAU11" s="18"/>
      <c r="AAV11" s="18"/>
      <c r="AAW11" s="18"/>
      <c r="AAX11" s="18"/>
      <c r="AAY11" s="18"/>
      <c r="AAZ11" s="18"/>
      <c r="ABA11" s="18"/>
      <c r="ABB11" s="18"/>
      <c r="ABC11" s="18"/>
      <c r="ABD11" s="18"/>
      <c r="ABE11" s="18"/>
      <c r="ABF11" s="18"/>
      <c r="ABG11" s="18"/>
      <c r="ABH11" s="18"/>
      <c r="ABI11" s="18"/>
      <c r="ABJ11" s="18"/>
      <c r="ABK11" s="18"/>
      <c r="ABL11" s="18"/>
      <c r="ABM11" s="18"/>
      <c r="ABN11" s="18"/>
      <c r="ABO11" s="18"/>
      <c r="ABP11" s="18"/>
      <c r="ABQ11" s="18"/>
      <c r="ABR11" s="18"/>
      <c r="ABS11" s="18"/>
      <c r="ABT11" s="18"/>
      <c r="ABU11" s="18"/>
      <c r="ABV11" s="18"/>
      <c r="ABW11" s="18"/>
      <c r="ABX11" s="18"/>
      <c r="ABY11" s="18"/>
      <c r="ABZ11" s="18"/>
      <c r="ACA11" s="18"/>
      <c r="ACB11" s="18"/>
      <c r="ACC11" s="18"/>
      <c r="ACD11" s="18"/>
      <c r="ACE11" s="18"/>
      <c r="ACF11" s="18"/>
      <c r="ACG11" s="18"/>
      <c r="ACH11" s="18"/>
      <c r="ACI11" s="18"/>
      <c r="ACJ11" s="18"/>
      <c r="ACK11" s="18"/>
      <c r="ACL11" s="18"/>
      <c r="ACM11" s="18"/>
      <c r="ACN11" s="18"/>
      <c r="ACO11" s="18"/>
      <c r="ACP11" s="18"/>
      <c r="ACQ11" s="18"/>
      <c r="ACR11" s="18"/>
      <c r="ACS11" s="18"/>
      <c r="ACT11" s="18"/>
      <c r="ACU11" s="18"/>
      <c r="ACV11" s="18"/>
      <c r="ACW11" s="18"/>
      <c r="ACX11" s="18"/>
      <c r="ACY11" s="18"/>
      <c r="ACZ11" s="18"/>
      <c r="ADA11" s="18"/>
      <c r="ADB11" s="18"/>
      <c r="ADC11" s="18"/>
      <c r="ADD11" s="18"/>
      <c r="ADE11" s="18"/>
      <c r="ADF11" s="18"/>
      <c r="ADG11" s="18"/>
      <c r="ADH11" s="18"/>
      <c r="ADI11" s="18"/>
      <c r="ADJ11" s="18"/>
      <c r="ADK11" s="18"/>
      <c r="ADL11" s="18"/>
      <c r="ADM11" s="18"/>
      <c r="ADN11" s="18"/>
      <c r="ADO11" s="18"/>
      <c r="ADP11" s="18"/>
      <c r="ADQ11" s="18"/>
      <c r="ADR11" s="18"/>
      <c r="ADS11" s="18"/>
      <c r="ADT11" s="18"/>
      <c r="ADU11" s="18"/>
      <c r="ADV11" s="18"/>
      <c r="ADW11" s="18"/>
      <c r="ADX11" s="18"/>
      <c r="ADY11" s="18"/>
      <c r="ADZ11" s="18"/>
      <c r="AEA11" s="18"/>
      <c r="AEB11" s="18"/>
      <c r="AEC11" s="18"/>
      <c r="AED11" s="18"/>
      <c r="AEE11" s="18"/>
      <c r="AEF11" s="18"/>
      <c r="AEG11" s="18"/>
      <c r="AEH11" s="18"/>
      <c r="AEI11" s="18"/>
      <c r="AEJ11" s="18"/>
      <c r="AEK11" s="18"/>
      <c r="AEL11" s="18"/>
      <c r="AEM11" s="18"/>
      <c r="AEN11" s="18"/>
      <c r="AEO11" s="18"/>
      <c r="AEP11" s="18"/>
      <c r="AEQ11" s="18"/>
      <c r="AER11" s="18"/>
      <c r="AES11" s="18"/>
      <c r="AET11" s="18"/>
      <c r="AEU11" s="18"/>
      <c r="AEV11" s="18"/>
      <c r="AEW11" s="18"/>
      <c r="AEX11" s="18"/>
      <c r="AEY11" s="18"/>
      <c r="AEZ11" s="18"/>
      <c r="AFA11" s="18"/>
      <c r="AFB11" s="18"/>
      <c r="AFC11" s="18"/>
      <c r="AFD11" s="18"/>
      <c r="AFE11" s="18"/>
      <c r="AFF11" s="18"/>
      <c r="AFG11" s="18"/>
      <c r="AFH11" s="18"/>
      <c r="AFI11" s="18"/>
      <c r="AFJ11" s="18"/>
      <c r="AFK11" s="18"/>
      <c r="AFL11" s="18"/>
      <c r="AFM11" s="18"/>
      <c r="AFN11" s="18"/>
      <c r="AFO11" s="18"/>
      <c r="AFP11" s="18"/>
      <c r="AFQ11" s="18"/>
      <c r="AFR11" s="18"/>
      <c r="AFS11" s="18"/>
      <c r="AFT11" s="18"/>
      <c r="AFU11" s="18"/>
      <c r="AFV11" s="18"/>
      <c r="AFW11" s="18"/>
      <c r="AFX11" s="18"/>
      <c r="AFY11" s="18"/>
      <c r="AFZ11" s="18"/>
      <c r="AGA11" s="18"/>
      <c r="AGB11" s="18"/>
      <c r="AGC11" s="18"/>
      <c r="AGD11" s="18"/>
      <c r="AGE11" s="18"/>
      <c r="AGF11" s="18"/>
      <c r="AGG11" s="18"/>
      <c r="AGH11" s="18"/>
      <c r="AGI11" s="18"/>
      <c r="AGJ11" s="18"/>
      <c r="AGK11" s="18"/>
      <c r="AGL11" s="18"/>
      <c r="AGM11" s="18"/>
      <c r="AGN11" s="18"/>
      <c r="AGO11" s="18"/>
      <c r="AGP11" s="18"/>
      <c r="AGQ11" s="18"/>
      <c r="AGR11" s="18"/>
      <c r="AGS11" s="18"/>
      <c r="AGT11" s="18"/>
      <c r="AGU11" s="18"/>
      <c r="AGV11" s="18"/>
      <c r="AGW11" s="18"/>
      <c r="AGX11" s="18"/>
      <c r="AGY11" s="18"/>
      <c r="AGZ11" s="18"/>
      <c r="AHA11" s="18"/>
      <c r="AHB11" s="18"/>
      <c r="AHC11" s="18"/>
      <c r="AHD11" s="18"/>
      <c r="AHE11" s="18"/>
      <c r="AHF11" s="18"/>
      <c r="AHG11" s="18"/>
      <c r="AHH11" s="18"/>
      <c r="AHI11" s="18"/>
      <c r="AHJ11" s="18"/>
      <c r="AHK11" s="18"/>
      <c r="AHL11" s="18"/>
      <c r="AHM11" s="18"/>
      <c r="AHN11" s="18"/>
      <c r="AHO11" s="18"/>
      <c r="AHP11" s="18"/>
      <c r="AHQ11" s="18"/>
      <c r="AHR11" s="18"/>
      <c r="AHS11" s="18"/>
      <c r="AHT11" s="18"/>
      <c r="AHU11" s="18"/>
      <c r="AHV11" s="18"/>
      <c r="AHW11" s="18"/>
      <c r="AHX11" s="18"/>
      <c r="AHY11" s="18"/>
      <c r="AHZ11" s="18"/>
      <c r="AIA11" s="18"/>
      <c r="AIB11" s="18"/>
      <c r="AIC11" s="18"/>
      <c r="AID11" s="18"/>
      <c r="AIE11" s="18"/>
      <c r="AIF11" s="18"/>
      <c r="AIG11" s="18"/>
      <c r="AIH11" s="18"/>
      <c r="AII11" s="18"/>
      <c r="AIJ11" s="18"/>
      <c r="AIK11" s="18"/>
      <c r="AIL11" s="18"/>
      <c r="AIM11" s="18"/>
      <c r="AIN11" s="18"/>
      <c r="AIO11" s="18"/>
      <c r="AIP11" s="18"/>
      <c r="AIQ11" s="18"/>
      <c r="AIR11" s="18"/>
      <c r="AIS11" s="18"/>
      <c r="AIT11" s="18"/>
      <c r="AIU11" s="18"/>
      <c r="AIV11" s="18"/>
      <c r="AIW11" s="18"/>
      <c r="AIX11" s="18"/>
      <c r="AIY11" s="18"/>
      <c r="AIZ11" s="18"/>
      <c r="AJA11" s="18"/>
      <c r="AJB11" s="18"/>
      <c r="AJC11" s="18"/>
      <c r="AJD11" s="18"/>
      <c r="AJE11" s="18"/>
      <c r="AJF11" s="18"/>
      <c r="AJG11" s="18"/>
      <c r="AJH11" s="18"/>
      <c r="AJI11" s="18"/>
      <c r="AJJ11" s="18"/>
      <c r="AJK11" s="18"/>
      <c r="AJL11" s="18"/>
      <c r="AJM11" s="18"/>
      <c r="AJN11" s="18"/>
      <c r="AJO11" s="18"/>
      <c r="AJP11" s="18"/>
      <c r="AJQ11" s="18"/>
      <c r="AJR11" s="18"/>
      <c r="AJS11" s="18"/>
      <c r="AJT11" s="18"/>
      <c r="AJU11" s="18"/>
      <c r="AJV11" s="18"/>
      <c r="AJW11" s="18"/>
      <c r="AJX11" s="18"/>
      <c r="AJY11" s="18"/>
      <c r="AJZ11" s="18"/>
      <c r="AKA11" s="18"/>
      <c r="AKB11" s="18"/>
      <c r="AKC11" s="18"/>
      <c r="AKD11" s="18"/>
      <c r="AKE11" s="18"/>
      <c r="AKF11" s="18"/>
      <c r="AKG11" s="18"/>
      <c r="AKH11" s="18"/>
      <c r="AKI11" s="18"/>
      <c r="AKJ11" s="18"/>
      <c r="AKK11" s="18"/>
      <c r="AKL11" s="18"/>
      <c r="AKM11" s="18"/>
      <c r="AKN11" s="18"/>
      <c r="AKO11" s="18"/>
      <c r="AKP11" s="18"/>
      <c r="AKQ11" s="18"/>
      <c r="AKR11" s="18"/>
      <c r="AKS11" s="18"/>
      <c r="AKT11" s="18"/>
      <c r="AKU11" s="18"/>
      <c r="AKV11" s="18"/>
      <c r="AKW11" s="18"/>
      <c r="AKX11" s="18"/>
      <c r="AKY11" s="18"/>
      <c r="AKZ11" s="18"/>
      <c r="ALA11" s="18"/>
      <c r="ALB11" s="18"/>
      <c r="ALC11" s="18"/>
      <c r="ALD11" s="18"/>
      <c r="ALE11" s="18"/>
      <c r="ALF11" s="18"/>
      <c r="ALG11" s="18"/>
      <c r="ALH11" s="18"/>
      <c r="ALI11" s="18"/>
      <c r="ALJ11" s="18"/>
      <c r="ALK11" s="18"/>
      <c r="ALL11" s="18"/>
      <c r="ALM11" s="18"/>
      <c r="ALN11" s="18"/>
      <c r="ALO11" s="18"/>
      <c r="ALP11" s="18"/>
      <c r="ALQ11" s="18"/>
      <c r="ALR11" s="18"/>
      <c r="ALS11" s="18"/>
      <c r="ALT11" s="18"/>
      <c r="ALU11" s="18"/>
      <c r="ALV11" s="18"/>
      <c r="ALW11" s="18"/>
      <c r="ALX11" s="18"/>
      <c r="ALY11" s="18"/>
      <c r="ALZ11" s="18"/>
      <c r="AMA11" s="18"/>
      <c r="AMB11" s="18"/>
      <c r="AMC11" s="18"/>
      <c r="AMD11" s="18"/>
      <c r="AME11" s="18"/>
      <c r="AMF11" s="18"/>
      <c r="AMG11" s="18"/>
      <c r="AMH11" s="18"/>
      <c r="AMI11" s="18"/>
      <c r="AMJ11" s="18"/>
      <c r="AMK11" s="18"/>
    </row>
    <row r="12" spans="1:1025" s="13" customFormat="1" x14ac:dyDescent="0.25">
      <c r="A12" s="13" t="s">
        <v>40</v>
      </c>
      <c r="B12" s="13">
        <v>2021</v>
      </c>
      <c r="C12" s="14">
        <v>6007</v>
      </c>
      <c r="D12" s="14"/>
      <c r="E12" s="14">
        <v>42494</v>
      </c>
      <c r="F12" s="14">
        <v>29390</v>
      </c>
      <c r="G12" s="14">
        <f>E12+F12</f>
        <v>71884</v>
      </c>
      <c r="H12" s="14">
        <v>48193</v>
      </c>
      <c r="I12" s="14">
        <f>G12-H12</f>
        <v>23691</v>
      </c>
      <c r="J12" s="14">
        <v>2291413</v>
      </c>
      <c r="K12" s="14">
        <v>2088741</v>
      </c>
      <c r="L12" s="14">
        <f>J12-K12</f>
        <v>202672</v>
      </c>
      <c r="M12" s="14">
        <f>2291413-201972</f>
        <v>2089441</v>
      </c>
      <c r="N12" s="14">
        <f t="shared" ref="N12:N21" si="5">K12-M12</f>
        <v>-700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5"/>
      <c r="AEH12" s="15"/>
      <c r="AEI12" s="15"/>
      <c r="AEJ12" s="15"/>
      <c r="AEK12" s="15"/>
      <c r="AEL12" s="15"/>
      <c r="AEM12" s="15"/>
      <c r="AEN12" s="15"/>
      <c r="AEO12" s="15"/>
      <c r="AEP12" s="15"/>
      <c r="AEQ12" s="15"/>
      <c r="AER12" s="15"/>
      <c r="AES12" s="15"/>
      <c r="AET12" s="15"/>
      <c r="AEU12" s="15"/>
      <c r="AEV12" s="15"/>
      <c r="AEW12" s="15"/>
      <c r="AEX12" s="15"/>
      <c r="AEY12" s="15"/>
      <c r="AEZ12" s="15"/>
      <c r="AFA12" s="15"/>
      <c r="AFB12" s="15"/>
      <c r="AFC12" s="15"/>
      <c r="AFD12" s="15"/>
      <c r="AFE12" s="15"/>
      <c r="AFF12" s="15"/>
      <c r="AFG12" s="15"/>
      <c r="AFH12" s="15"/>
      <c r="AFI12" s="15"/>
      <c r="AFJ12" s="15"/>
      <c r="AFK12" s="15"/>
      <c r="AFL12" s="15"/>
      <c r="AFM12" s="15"/>
      <c r="AFN12" s="15"/>
      <c r="AFO12" s="15"/>
      <c r="AFP12" s="15"/>
      <c r="AFQ12" s="15"/>
      <c r="AFR12" s="15"/>
      <c r="AFS12" s="15"/>
      <c r="AFT12" s="15"/>
      <c r="AFU12" s="15"/>
      <c r="AFV12" s="15"/>
      <c r="AFW12" s="15"/>
      <c r="AFX12" s="15"/>
      <c r="AFY12" s="15"/>
      <c r="AFZ12" s="15"/>
      <c r="AGA12" s="15"/>
      <c r="AGB12" s="15"/>
      <c r="AGC12" s="15"/>
      <c r="AGD12" s="15"/>
      <c r="AGE12" s="15"/>
      <c r="AGF12" s="15"/>
      <c r="AGG12" s="15"/>
      <c r="AGH12" s="15"/>
      <c r="AGI12" s="15"/>
      <c r="AGJ12" s="15"/>
      <c r="AGK12" s="15"/>
      <c r="AGL12" s="15"/>
      <c r="AGM12" s="15"/>
      <c r="AGN12" s="15"/>
      <c r="AGO12" s="15"/>
      <c r="AGP12" s="15"/>
      <c r="AGQ12" s="15"/>
      <c r="AGR12" s="15"/>
      <c r="AGS12" s="15"/>
      <c r="AGT12" s="15"/>
      <c r="AGU12" s="15"/>
      <c r="AGV12" s="15"/>
      <c r="AGW12" s="15"/>
      <c r="AGX12" s="15"/>
      <c r="AGY12" s="15"/>
      <c r="AGZ12" s="15"/>
      <c r="AHA12" s="15"/>
      <c r="AHB12" s="15"/>
      <c r="AHC12" s="15"/>
      <c r="AHD12" s="15"/>
      <c r="AHE12" s="15"/>
      <c r="AHF12" s="15"/>
      <c r="AHG12" s="15"/>
      <c r="AHH12" s="15"/>
      <c r="AHI12" s="15"/>
      <c r="AHJ12" s="15"/>
      <c r="AHK12" s="15"/>
      <c r="AHL12" s="15"/>
      <c r="AHM12" s="15"/>
      <c r="AHN12" s="15"/>
      <c r="AHO12" s="15"/>
      <c r="AHP12" s="15"/>
      <c r="AHQ12" s="15"/>
      <c r="AHR12" s="15"/>
      <c r="AHS12" s="15"/>
      <c r="AHT12" s="15"/>
      <c r="AHU12" s="15"/>
      <c r="AHV12" s="15"/>
      <c r="AHW12" s="15"/>
      <c r="AHX12" s="15"/>
      <c r="AHY12" s="15"/>
      <c r="AHZ12" s="15"/>
      <c r="AIA12" s="15"/>
      <c r="AIB12" s="15"/>
      <c r="AIC12" s="15"/>
      <c r="AID12" s="15"/>
      <c r="AIE12" s="15"/>
      <c r="AIF12" s="15"/>
      <c r="AIG12" s="15"/>
      <c r="AIH12" s="15"/>
      <c r="AII12" s="15"/>
      <c r="AIJ12" s="15"/>
      <c r="AIK12" s="15"/>
      <c r="AIL12" s="15"/>
      <c r="AIM12" s="15"/>
      <c r="AIN12" s="15"/>
      <c r="AIO12" s="15"/>
      <c r="AIP12" s="15"/>
      <c r="AIQ12" s="15"/>
      <c r="AIR12" s="15"/>
      <c r="AIS12" s="15"/>
      <c r="AIT12" s="15"/>
      <c r="AIU12" s="15"/>
      <c r="AIV12" s="15"/>
      <c r="AIW12" s="15"/>
      <c r="AIX12" s="15"/>
      <c r="AIY12" s="15"/>
      <c r="AIZ12" s="15"/>
      <c r="AJA12" s="15"/>
      <c r="AJB12" s="15"/>
      <c r="AJC12" s="15"/>
      <c r="AJD12" s="15"/>
      <c r="AJE12" s="15"/>
      <c r="AJF12" s="15"/>
      <c r="AJG12" s="15"/>
      <c r="AJH12" s="15"/>
      <c r="AJI12" s="15"/>
      <c r="AJJ12" s="15"/>
      <c r="AJK12" s="15"/>
      <c r="AJL12" s="15"/>
      <c r="AJM12" s="15"/>
      <c r="AJN12" s="15"/>
      <c r="AJO12" s="15"/>
      <c r="AJP12" s="15"/>
      <c r="AJQ12" s="15"/>
      <c r="AJR12" s="15"/>
      <c r="AJS12" s="15"/>
      <c r="AJT12" s="15"/>
      <c r="AJU12" s="15"/>
      <c r="AJV12" s="15"/>
      <c r="AJW12" s="15"/>
      <c r="AJX12" s="15"/>
      <c r="AJY12" s="15"/>
      <c r="AJZ12" s="15"/>
      <c r="AKA12" s="15"/>
      <c r="AKB12" s="15"/>
      <c r="AKC12" s="15"/>
      <c r="AKD12" s="15"/>
      <c r="AKE12" s="15"/>
      <c r="AKF12" s="15"/>
      <c r="AKG12" s="15"/>
      <c r="AKH12" s="15"/>
      <c r="AKI12" s="15"/>
      <c r="AKJ12" s="15"/>
      <c r="AKK12" s="15"/>
      <c r="AKL12" s="15"/>
      <c r="AKM12" s="15"/>
      <c r="AKN12" s="15"/>
      <c r="AKO12" s="15"/>
      <c r="AKP12" s="15"/>
      <c r="AKQ12" s="15"/>
      <c r="AKR12" s="15"/>
      <c r="AKS12" s="15"/>
      <c r="AKT12" s="15"/>
      <c r="AKU12" s="15"/>
      <c r="AKV12" s="15"/>
      <c r="AKW12" s="15"/>
      <c r="AKX12" s="15"/>
      <c r="AKY12" s="15"/>
      <c r="AKZ12" s="15"/>
      <c r="ALA12" s="15"/>
      <c r="ALB12" s="15"/>
      <c r="ALC12" s="15"/>
      <c r="ALD12" s="15"/>
      <c r="ALE12" s="15"/>
      <c r="ALF12" s="15"/>
      <c r="ALG12" s="15"/>
      <c r="ALH12" s="15"/>
      <c r="ALI12" s="15"/>
      <c r="ALJ12" s="15"/>
      <c r="ALK12" s="15"/>
      <c r="ALL12" s="15"/>
      <c r="ALM12" s="15"/>
      <c r="ALN12" s="15"/>
      <c r="ALO12" s="15"/>
      <c r="ALP12" s="15"/>
      <c r="ALQ12" s="15"/>
      <c r="ALR12" s="15"/>
      <c r="ALS12" s="15"/>
      <c r="ALT12" s="15"/>
      <c r="ALU12" s="15"/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  <c r="AMK12" s="15"/>
    </row>
    <row r="13" spans="1:1025" s="13" customFormat="1" x14ac:dyDescent="0.25">
      <c r="A13" s="13" t="s">
        <v>40</v>
      </c>
      <c r="B13" s="13">
        <v>2020</v>
      </c>
      <c r="C13" s="14">
        <v>4486</v>
      </c>
      <c r="D13" s="14"/>
      <c r="E13" s="14">
        <v>44751</v>
      </c>
      <c r="F13" s="14">
        <v>30750</v>
      </c>
      <c r="G13" s="14">
        <f t="shared" ref="G13:G16" si="6">E13+F13</f>
        <v>75501</v>
      </c>
      <c r="H13" s="14">
        <v>44374</v>
      </c>
      <c r="I13" s="14">
        <f t="shared" ref="I13:I16" si="7">G13-H13</f>
        <v>31127</v>
      </c>
      <c r="J13" s="14">
        <v>2260090</v>
      </c>
      <c r="K13" s="14">
        <v>2059890</v>
      </c>
      <c r="L13" s="14">
        <f>J13-K13</f>
        <v>200200</v>
      </c>
      <c r="M13" s="14">
        <f>2260090-199442</f>
        <v>2060648</v>
      </c>
      <c r="N13" s="14">
        <f t="shared" si="5"/>
        <v>-758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5"/>
      <c r="AEH13" s="15"/>
      <c r="AEI13" s="15"/>
      <c r="AEJ13" s="15"/>
      <c r="AEK13" s="15"/>
      <c r="AEL13" s="15"/>
      <c r="AEM13" s="15"/>
      <c r="AEN13" s="15"/>
      <c r="AEO13" s="15"/>
      <c r="AEP13" s="15"/>
      <c r="AEQ13" s="15"/>
      <c r="AER13" s="15"/>
      <c r="AES13" s="15"/>
      <c r="AET13" s="15"/>
      <c r="AEU13" s="15"/>
      <c r="AEV13" s="15"/>
      <c r="AEW13" s="15"/>
      <c r="AEX13" s="15"/>
      <c r="AEY13" s="15"/>
      <c r="AEZ13" s="15"/>
      <c r="AFA13" s="15"/>
      <c r="AFB13" s="15"/>
      <c r="AFC13" s="15"/>
      <c r="AFD13" s="15"/>
      <c r="AFE13" s="15"/>
      <c r="AFF13" s="15"/>
      <c r="AFG13" s="15"/>
      <c r="AFH13" s="15"/>
      <c r="AFI13" s="15"/>
      <c r="AFJ13" s="15"/>
      <c r="AFK13" s="15"/>
      <c r="AFL13" s="15"/>
      <c r="AFM13" s="15"/>
      <c r="AFN13" s="15"/>
      <c r="AFO13" s="15"/>
      <c r="AFP13" s="15"/>
      <c r="AFQ13" s="15"/>
      <c r="AFR13" s="15"/>
      <c r="AFS13" s="15"/>
      <c r="AFT13" s="15"/>
      <c r="AFU13" s="15"/>
      <c r="AFV13" s="15"/>
      <c r="AFW13" s="15"/>
      <c r="AFX13" s="15"/>
      <c r="AFY13" s="15"/>
      <c r="AFZ13" s="15"/>
      <c r="AGA13" s="15"/>
      <c r="AGB13" s="15"/>
      <c r="AGC13" s="15"/>
      <c r="AGD13" s="15"/>
      <c r="AGE13" s="15"/>
      <c r="AGF13" s="15"/>
      <c r="AGG13" s="15"/>
      <c r="AGH13" s="15"/>
      <c r="AGI13" s="15"/>
      <c r="AGJ13" s="15"/>
      <c r="AGK13" s="15"/>
      <c r="AGL13" s="15"/>
      <c r="AGM13" s="15"/>
      <c r="AGN13" s="15"/>
      <c r="AGO13" s="15"/>
      <c r="AGP13" s="15"/>
      <c r="AGQ13" s="15"/>
      <c r="AGR13" s="15"/>
      <c r="AGS13" s="15"/>
      <c r="AGT13" s="15"/>
      <c r="AGU13" s="15"/>
      <c r="AGV13" s="15"/>
      <c r="AGW13" s="15"/>
      <c r="AGX13" s="15"/>
      <c r="AGY13" s="15"/>
      <c r="AGZ13" s="15"/>
      <c r="AHA13" s="15"/>
      <c r="AHB13" s="15"/>
      <c r="AHC13" s="15"/>
      <c r="AHD13" s="15"/>
      <c r="AHE13" s="15"/>
      <c r="AHF13" s="15"/>
      <c r="AHG13" s="15"/>
      <c r="AHH13" s="15"/>
      <c r="AHI13" s="15"/>
      <c r="AHJ13" s="15"/>
      <c r="AHK13" s="15"/>
      <c r="AHL13" s="15"/>
      <c r="AHM13" s="15"/>
      <c r="AHN13" s="15"/>
      <c r="AHO13" s="15"/>
      <c r="AHP13" s="15"/>
      <c r="AHQ13" s="15"/>
      <c r="AHR13" s="15"/>
      <c r="AHS13" s="15"/>
      <c r="AHT13" s="15"/>
      <c r="AHU13" s="15"/>
      <c r="AHV13" s="15"/>
      <c r="AHW13" s="15"/>
      <c r="AHX13" s="15"/>
      <c r="AHY13" s="15"/>
      <c r="AHZ13" s="15"/>
      <c r="AIA13" s="15"/>
      <c r="AIB13" s="15"/>
      <c r="AIC13" s="15"/>
      <c r="AID13" s="15"/>
      <c r="AIE13" s="15"/>
      <c r="AIF13" s="15"/>
      <c r="AIG13" s="15"/>
      <c r="AIH13" s="15"/>
      <c r="AII13" s="15"/>
      <c r="AIJ13" s="15"/>
      <c r="AIK13" s="15"/>
      <c r="AIL13" s="15"/>
      <c r="AIM13" s="15"/>
      <c r="AIN13" s="15"/>
      <c r="AIO13" s="15"/>
      <c r="AIP13" s="15"/>
      <c r="AIQ13" s="15"/>
      <c r="AIR13" s="15"/>
      <c r="AIS13" s="15"/>
      <c r="AIT13" s="15"/>
      <c r="AIU13" s="15"/>
      <c r="AIV13" s="15"/>
      <c r="AIW13" s="15"/>
      <c r="AIX13" s="15"/>
      <c r="AIY13" s="15"/>
      <c r="AIZ13" s="15"/>
      <c r="AJA13" s="15"/>
      <c r="AJB13" s="15"/>
      <c r="AJC13" s="15"/>
      <c r="AJD13" s="15"/>
      <c r="AJE13" s="15"/>
      <c r="AJF13" s="15"/>
      <c r="AJG13" s="15"/>
      <c r="AJH13" s="15"/>
      <c r="AJI13" s="15"/>
      <c r="AJJ13" s="15"/>
      <c r="AJK13" s="15"/>
      <c r="AJL13" s="15"/>
      <c r="AJM13" s="15"/>
      <c r="AJN13" s="15"/>
      <c r="AJO13" s="15"/>
      <c r="AJP13" s="15"/>
      <c r="AJQ13" s="15"/>
      <c r="AJR13" s="15"/>
      <c r="AJS13" s="15"/>
      <c r="AJT13" s="15"/>
      <c r="AJU13" s="15"/>
      <c r="AJV13" s="15"/>
      <c r="AJW13" s="15"/>
      <c r="AJX13" s="15"/>
      <c r="AJY13" s="15"/>
      <c r="AJZ13" s="15"/>
      <c r="AKA13" s="15"/>
      <c r="AKB13" s="15"/>
      <c r="AKC13" s="15"/>
      <c r="AKD13" s="15"/>
      <c r="AKE13" s="15"/>
      <c r="AKF13" s="15"/>
      <c r="AKG13" s="15"/>
      <c r="AKH13" s="15"/>
      <c r="AKI13" s="15"/>
      <c r="AKJ13" s="15"/>
      <c r="AKK13" s="15"/>
      <c r="AKL13" s="15"/>
      <c r="AKM13" s="15"/>
      <c r="AKN13" s="15"/>
      <c r="AKO13" s="15"/>
      <c r="AKP13" s="15"/>
      <c r="AKQ13" s="15"/>
      <c r="AKR13" s="15"/>
      <c r="AKS13" s="15"/>
      <c r="AKT13" s="15"/>
      <c r="AKU13" s="15"/>
      <c r="AKV13" s="15"/>
      <c r="AKW13" s="15"/>
      <c r="AKX13" s="15"/>
      <c r="AKY13" s="15"/>
      <c r="AKZ13" s="15"/>
      <c r="ALA13" s="15"/>
      <c r="ALB13" s="15"/>
      <c r="ALC13" s="15"/>
      <c r="ALD13" s="15"/>
      <c r="ALE13" s="15"/>
      <c r="ALF13" s="15"/>
      <c r="ALG13" s="15"/>
      <c r="ALH13" s="15"/>
      <c r="ALI13" s="15"/>
      <c r="ALJ13" s="15"/>
      <c r="ALK13" s="15"/>
      <c r="ALL13" s="15"/>
      <c r="ALM13" s="15"/>
      <c r="ALN13" s="15"/>
      <c r="ALO13" s="15"/>
      <c r="ALP13" s="15"/>
      <c r="ALQ13" s="15"/>
      <c r="ALR13" s="15"/>
      <c r="ALS13" s="15"/>
      <c r="ALT13" s="15"/>
      <c r="ALU13" s="15"/>
      <c r="ALV13" s="15"/>
      <c r="ALW13" s="15"/>
      <c r="ALX13" s="15"/>
      <c r="ALY13" s="15"/>
      <c r="ALZ13" s="15"/>
      <c r="AMA13" s="15"/>
      <c r="AMB13" s="15"/>
      <c r="AMC13" s="15"/>
      <c r="AMD13" s="15"/>
      <c r="AME13" s="15"/>
      <c r="AMF13" s="15"/>
      <c r="AMG13" s="15"/>
      <c r="AMH13" s="15"/>
      <c r="AMI13" s="15"/>
      <c r="AMJ13" s="15"/>
      <c r="AMK13" s="15"/>
    </row>
    <row r="14" spans="1:1025" s="13" customFormat="1" x14ac:dyDescent="0.25">
      <c r="A14" s="13" t="s">
        <v>40</v>
      </c>
      <c r="B14" s="13">
        <v>2019</v>
      </c>
      <c r="C14" s="14">
        <v>3767</v>
      </c>
      <c r="D14" s="14"/>
      <c r="E14" s="14">
        <v>48128</v>
      </c>
      <c r="F14" s="14">
        <v>26939</v>
      </c>
      <c r="G14" s="14">
        <f t="shared" si="6"/>
        <v>75067</v>
      </c>
      <c r="H14" s="14">
        <v>42783</v>
      </c>
      <c r="I14" s="14">
        <f t="shared" si="7"/>
        <v>32284</v>
      </c>
      <c r="J14" s="14">
        <v>1951158</v>
      </c>
      <c r="K14" s="14">
        <v>1757212</v>
      </c>
      <c r="L14" s="14">
        <f t="shared" ref="L14:L16" si="8">J14-K14</f>
        <v>193946</v>
      </c>
      <c r="M14" s="14">
        <f>1951158-193242</f>
        <v>1757916</v>
      </c>
      <c r="N14" s="14">
        <f t="shared" si="5"/>
        <v>-704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15"/>
      <c r="PC14" s="15"/>
      <c r="PD14" s="15"/>
      <c r="PE14" s="15"/>
      <c r="PF14" s="15"/>
      <c r="PG14" s="15"/>
      <c r="PH14" s="15"/>
      <c r="PI14" s="15"/>
      <c r="PJ14" s="15"/>
      <c r="PK14" s="15"/>
      <c r="PL14" s="15"/>
      <c r="PM14" s="15"/>
      <c r="PN14" s="15"/>
      <c r="PO14" s="15"/>
      <c r="PP14" s="15"/>
      <c r="PQ14" s="15"/>
      <c r="PR14" s="15"/>
      <c r="PS14" s="15"/>
      <c r="PT14" s="15"/>
      <c r="PU14" s="15"/>
      <c r="PV14" s="15"/>
      <c r="PW14" s="15"/>
      <c r="PX14" s="15"/>
      <c r="PY14" s="15"/>
      <c r="PZ14" s="15"/>
      <c r="QA14" s="15"/>
      <c r="QB14" s="15"/>
      <c r="QC14" s="15"/>
      <c r="QD14" s="15"/>
      <c r="QE14" s="15"/>
      <c r="QF14" s="15"/>
      <c r="QG14" s="15"/>
      <c r="QH14" s="15"/>
      <c r="QI14" s="15"/>
      <c r="QJ14" s="15"/>
      <c r="QK14" s="15"/>
      <c r="QL14" s="15"/>
      <c r="QM14" s="15"/>
      <c r="QN14" s="15"/>
      <c r="QO14" s="15"/>
      <c r="QP14" s="15"/>
      <c r="QQ14" s="15"/>
      <c r="QR14" s="15"/>
      <c r="QS14" s="15"/>
      <c r="QT14" s="15"/>
      <c r="QU14" s="15"/>
      <c r="QV14" s="15"/>
      <c r="QW14" s="15"/>
      <c r="QX14" s="15"/>
      <c r="QY14" s="15"/>
      <c r="QZ14" s="15"/>
      <c r="RA14" s="15"/>
      <c r="RB14" s="15"/>
      <c r="RC14" s="15"/>
      <c r="RD14" s="15"/>
      <c r="RE14" s="15"/>
      <c r="RF14" s="15"/>
      <c r="RG14" s="15"/>
      <c r="RH14" s="15"/>
      <c r="RI14" s="15"/>
      <c r="RJ14" s="15"/>
      <c r="RK14" s="15"/>
      <c r="RL14" s="15"/>
      <c r="RM14" s="15"/>
      <c r="RN14" s="15"/>
      <c r="RO14" s="15"/>
      <c r="RP14" s="15"/>
      <c r="RQ14" s="15"/>
      <c r="RR14" s="15"/>
      <c r="RS14" s="15"/>
      <c r="RT14" s="15"/>
      <c r="RU14" s="15"/>
      <c r="RV14" s="15"/>
      <c r="RW14" s="15"/>
      <c r="RX14" s="15"/>
      <c r="RY14" s="15"/>
      <c r="RZ14" s="15"/>
      <c r="SA14" s="15"/>
      <c r="SB14" s="15"/>
      <c r="SC14" s="15"/>
      <c r="SD14" s="15"/>
      <c r="SE14" s="15"/>
      <c r="SF14" s="15"/>
      <c r="SG14" s="15"/>
      <c r="SH14" s="15"/>
      <c r="SI14" s="15"/>
      <c r="SJ14" s="15"/>
      <c r="SK14" s="15"/>
      <c r="SL14" s="15"/>
      <c r="SM14" s="15"/>
      <c r="SN14" s="15"/>
      <c r="SO14" s="15"/>
      <c r="SP14" s="15"/>
      <c r="SQ14" s="15"/>
      <c r="SR14" s="15"/>
      <c r="SS14" s="15"/>
      <c r="ST14" s="15"/>
      <c r="SU14" s="15"/>
      <c r="SV14" s="15"/>
      <c r="SW14" s="15"/>
      <c r="SX14" s="15"/>
      <c r="SY14" s="15"/>
      <c r="SZ14" s="15"/>
      <c r="TA14" s="15"/>
      <c r="TB14" s="15"/>
      <c r="TC14" s="15"/>
      <c r="TD14" s="15"/>
      <c r="TE14" s="15"/>
      <c r="TF14" s="15"/>
      <c r="TG14" s="15"/>
      <c r="TH14" s="15"/>
      <c r="TI14" s="15"/>
      <c r="TJ14" s="15"/>
      <c r="TK14" s="15"/>
      <c r="TL14" s="15"/>
      <c r="TM14" s="15"/>
      <c r="TN14" s="15"/>
      <c r="TO14" s="15"/>
      <c r="TP14" s="15"/>
      <c r="TQ14" s="15"/>
      <c r="TR14" s="15"/>
      <c r="TS14" s="15"/>
      <c r="TT14" s="15"/>
      <c r="TU14" s="15"/>
      <c r="TV14" s="15"/>
      <c r="TW14" s="15"/>
      <c r="TX14" s="15"/>
      <c r="TY14" s="15"/>
      <c r="TZ14" s="15"/>
      <c r="UA14" s="15"/>
      <c r="UB14" s="15"/>
      <c r="UC14" s="15"/>
      <c r="UD14" s="15"/>
      <c r="UE14" s="15"/>
      <c r="UF14" s="15"/>
      <c r="UG14" s="15"/>
      <c r="UH14" s="15"/>
      <c r="UI14" s="15"/>
      <c r="UJ14" s="15"/>
      <c r="UK14" s="15"/>
      <c r="UL14" s="15"/>
      <c r="UM14" s="15"/>
      <c r="UN14" s="15"/>
      <c r="UO14" s="15"/>
      <c r="UP14" s="15"/>
      <c r="UQ14" s="15"/>
      <c r="UR14" s="15"/>
      <c r="US14" s="15"/>
      <c r="UT14" s="15"/>
      <c r="UU14" s="15"/>
      <c r="UV14" s="15"/>
      <c r="UW14" s="15"/>
      <c r="UX14" s="15"/>
      <c r="UY14" s="15"/>
      <c r="UZ14" s="15"/>
      <c r="VA14" s="15"/>
      <c r="VB14" s="15"/>
      <c r="VC14" s="15"/>
      <c r="VD14" s="15"/>
      <c r="VE14" s="15"/>
      <c r="VF14" s="15"/>
      <c r="VG14" s="15"/>
      <c r="VH14" s="15"/>
      <c r="VI14" s="15"/>
      <c r="VJ14" s="15"/>
      <c r="VK14" s="15"/>
      <c r="VL14" s="15"/>
      <c r="VM14" s="15"/>
      <c r="VN14" s="15"/>
      <c r="VO14" s="15"/>
      <c r="VP14" s="15"/>
      <c r="VQ14" s="15"/>
      <c r="VR14" s="15"/>
      <c r="VS14" s="15"/>
      <c r="VT14" s="15"/>
      <c r="VU14" s="15"/>
      <c r="VV14" s="15"/>
      <c r="VW14" s="15"/>
      <c r="VX14" s="15"/>
      <c r="VY14" s="15"/>
      <c r="VZ14" s="15"/>
      <c r="WA14" s="15"/>
      <c r="WB14" s="15"/>
      <c r="WC14" s="15"/>
      <c r="WD14" s="15"/>
      <c r="WE14" s="15"/>
      <c r="WF14" s="15"/>
      <c r="WG14" s="15"/>
      <c r="WH14" s="15"/>
      <c r="WI14" s="15"/>
      <c r="WJ14" s="15"/>
      <c r="WK14" s="15"/>
      <c r="WL14" s="15"/>
      <c r="WM14" s="15"/>
      <c r="WN14" s="15"/>
      <c r="WO14" s="15"/>
      <c r="WP14" s="15"/>
      <c r="WQ14" s="15"/>
      <c r="WR14" s="15"/>
      <c r="WS14" s="15"/>
      <c r="WT14" s="15"/>
      <c r="WU14" s="15"/>
      <c r="WV14" s="15"/>
      <c r="WW14" s="15"/>
      <c r="WX14" s="15"/>
      <c r="WY14" s="15"/>
      <c r="WZ14" s="15"/>
      <c r="XA14" s="15"/>
      <c r="XB14" s="15"/>
      <c r="XC14" s="15"/>
      <c r="XD14" s="15"/>
      <c r="XE14" s="15"/>
      <c r="XF14" s="15"/>
      <c r="XG14" s="15"/>
      <c r="XH14" s="15"/>
      <c r="XI14" s="15"/>
      <c r="XJ14" s="15"/>
      <c r="XK14" s="15"/>
      <c r="XL14" s="15"/>
      <c r="XM14" s="15"/>
      <c r="XN14" s="15"/>
      <c r="XO14" s="15"/>
      <c r="XP14" s="15"/>
      <c r="XQ14" s="15"/>
      <c r="XR14" s="15"/>
      <c r="XS14" s="15"/>
      <c r="XT14" s="15"/>
      <c r="XU14" s="15"/>
      <c r="XV14" s="15"/>
      <c r="XW14" s="15"/>
      <c r="XX14" s="15"/>
      <c r="XY14" s="15"/>
      <c r="XZ14" s="15"/>
      <c r="YA14" s="15"/>
      <c r="YB14" s="15"/>
      <c r="YC14" s="15"/>
      <c r="YD14" s="15"/>
      <c r="YE14" s="15"/>
      <c r="YF14" s="15"/>
      <c r="YG14" s="15"/>
      <c r="YH14" s="15"/>
      <c r="YI14" s="15"/>
      <c r="YJ14" s="15"/>
      <c r="YK14" s="15"/>
      <c r="YL14" s="15"/>
      <c r="YM14" s="15"/>
      <c r="YN14" s="15"/>
      <c r="YO14" s="15"/>
      <c r="YP14" s="15"/>
      <c r="YQ14" s="15"/>
      <c r="YR14" s="15"/>
      <c r="YS14" s="15"/>
      <c r="YT14" s="15"/>
      <c r="YU14" s="15"/>
      <c r="YV14" s="15"/>
      <c r="YW14" s="15"/>
      <c r="YX14" s="15"/>
      <c r="YY14" s="15"/>
      <c r="YZ14" s="15"/>
      <c r="ZA14" s="15"/>
      <c r="ZB14" s="15"/>
      <c r="ZC14" s="15"/>
      <c r="ZD14" s="15"/>
      <c r="ZE14" s="15"/>
      <c r="ZF14" s="15"/>
      <c r="ZG14" s="15"/>
      <c r="ZH14" s="15"/>
      <c r="ZI14" s="15"/>
      <c r="ZJ14" s="15"/>
      <c r="ZK14" s="15"/>
      <c r="ZL14" s="15"/>
      <c r="ZM14" s="15"/>
      <c r="ZN14" s="15"/>
      <c r="ZO14" s="15"/>
      <c r="ZP14" s="15"/>
      <c r="ZQ14" s="15"/>
      <c r="ZR14" s="15"/>
      <c r="ZS14" s="15"/>
      <c r="ZT14" s="15"/>
      <c r="ZU14" s="15"/>
      <c r="ZV14" s="15"/>
      <c r="ZW14" s="15"/>
      <c r="ZX14" s="15"/>
      <c r="ZY14" s="15"/>
      <c r="ZZ14" s="15"/>
      <c r="AAA14" s="15"/>
      <c r="AAB14" s="15"/>
      <c r="AAC14" s="15"/>
      <c r="AAD14" s="15"/>
      <c r="AAE14" s="15"/>
      <c r="AAF14" s="15"/>
      <c r="AAG14" s="15"/>
      <c r="AAH14" s="15"/>
      <c r="AAI14" s="15"/>
      <c r="AAJ14" s="15"/>
      <c r="AAK14" s="15"/>
      <c r="AAL14" s="15"/>
      <c r="AAM14" s="15"/>
      <c r="AAN14" s="15"/>
      <c r="AAO14" s="15"/>
      <c r="AAP14" s="15"/>
      <c r="AAQ14" s="15"/>
      <c r="AAR14" s="15"/>
      <c r="AAS14" s="15"/>
      <c r="AAT14" s="15"/>
      <c r="AAU14" s="15"/>
      <c r="AAV14" s="15"/>
      <c r="AAW14" s="15"/>
      <c r="AAX14" s="15"/>
      <c r="AAY14" s="15"/>
      <c r="AAZ14" s="15"/>
      <c r="ABA14" s="15"/>
      <c r="ABB14" s="15"/>
      <c r="ABC14" s="15"/>
      <c r="ABD14" s="15"/>
      <c r="ABE14" s="15"/>
      <c r="ABF14" s="15"/>
      <c r="ABG14" s="15"/>
      <c r="ABH14" s="15"/>
      <c r="ABI14" s="15"/>
      <c r="ABJ14" s="15"/>
      <c r="ABK14" s="15"/>
      <c r="ABL14" s="15"/>
      <c r="ABM14" s="15"/>
      <c r="ABN14" s="15"/>
      <c r="ABO14" s="15"/>
      <c r="ABP14" s="15"/>
      <c r="ABQ14" s="15"/>
      <c r="ABR14" s="15"/>
      <c r="ABS14" s="15"/>
      <c r="ABT14" s="15"/>
      <c r="ABU14" s="15"/>
      <c r="ABV14" s="15"/>
      <c r="ABW14" s="15"/>
      <c r="ABX14" s="15"/>
      <c r="ABY14" s="15"/>
      <c r="ABZ14" s="15"/>
      <c r="ACA14" s="15"/>
      <c r="ACB14" s="15"/>
      <c r="ACC14" s="15"/>
      <c r="ACD14" s="15"/>
      <c r="ACE14" s="15"/>
      <c r="ACF14" s="15"/>
      <c r="ACG14" s="15"/>
      <c r="ACH14" s="15"/>
      <c r="ACI14" s="15"/>
      <c r="ACJ14" s="15"/>
      <c r="ACK14" s="15"/>
      <c r="ACL14" s="15"/>
      <c r="ACM14" s="15"/>
      <c r="ACN14" s="15"/>
      <c r="ACO14" s="15"/>
      <c r="ACP14" s="15"/>
      <c r="ACQ14" s="15"/>
      <c r="ACR14" s="15"/>
      <c r="ACS14" s="15"/>
      <c r="ACT14" s="15"/>
      <c r="ACU14" s="15"/>
      <c r="ACV14" s="15"/>
      <c r="ACW14" s="15"/>
      <c r="ACX14" s="15"/>
      <c r="ACY14" s="15"/>
      <c r="ACZ14" s="15"/>
      <c r="ADA14" s="15"/>
      <c r="ADB14" s="15"/>
      <c r="ADC14" s="15"/>
      <c r="ADD14" s="15"/>
      <c r="ADE14" s="15"/>
      <c r="ADF14" s="15"/>
      <c r="ADG14" s="15"/>
      <c r="ADH14" s="15"/>
      <c r="ADI14" s="15"/>
      <c r="ADJ14" s="15"/>
      <c r="ADK14" s="15"/>
      <c r="ADL14" s="15"/>
      <c r="ADM14" s="15"/>
      <c r="ADN14" s="15"/>
      <c r="ADO14" s="15"/>
      <c r="ADP14" s="15"/>
      <c r="ADQ14" s="15"/>
      <c r="ADR14" s="15"/>
      <c r="ADS14" s="15"/>
      <c r="ADT14" s="15"/>
      <c r="ADU14" s="15"/>
      <c r="ADV14" s="15"/>
      <c r="ADW14" s="15"/>
      <c r="ADX14" s="15"/>
      <c r="ADY14" s="15"/>
      <c r="ADZ14" s="15"/>
      <c r="AEA14" s="15"/>
      <c r="AEB14" s="15"/>
      <c r="AEC14" s="15"/>
      <c r="AED14" s="15"/>
      <c r="AEE14" s="15"/>
      <c r="AEF14" s="15"/>
      <c r="AEG14" s="15"/>
      <c r="AEH14" s="15"/>
      <c r="AEI14" s="15"/>
      <c r="AEJ14" s="15"/>
      <c r="AEK14" s="15"/>
      <c r="AEL14" s="15"/>
      <c r="AEM14" s="15"/>
      <c r="AEN14" s="15"/>
      <c r="AEO14" s="15"/>
      <c r="AEP14" s="15"/>
      <c r="AEQ14" s="15"/>
      <c r="AER14" s="15"/>
      <c r="AES14" s="15"/>
      <c r="AET14" s="15"/>
      <c r="AEU14" s="15"/>
      <c r="AEV14" s="15"/>
      <c r="AEW14" s="15"/>
      <c r="AEX14" s="15"/>
      <c r="AEY14" s="15"/>
      <c r="AEZ14" s="15"/>
      <c r="AFA14" s="15"/>
      <c r="AFB14" s="15"/>
      <c r="AFC14" s="15"/>
      <c r="AFD14" s="15"/>
      <c r="AFE14" s="15"/>
      <c r="AFF14" s="15"/>
      <c r="AFG14" s="15"/>
      <c r="AFH14" s="15"/>
      <c r="AFI14" s="15"/>
      <c r="AFJ14" s="15"/>
      <c r="AFK14" s="15"/>
      <c r="AFL14" s="15"/>
      <c r="AFM14" s="15"/>
      <c r="AFN14" s="15"/>
      <c r="AFO14" s="15"/>
      <c r="AFP14" s="15"/>
      <c r="AFQ14" s="15"/>
      <c r="AFR14" s="15"/>
      <c r="AFS14" s="15"/>
      <c r="AFT14" s="15"/>
      <c r="AFU14" s="15"/>
      <c r="AFV14" s="15"/>
      <c r="AFW14" s="15"/>
      <c r="AFX14" s="15"/>
      <c r="AFY14" s="15"/>
      <c r="AFZ14" s="15"/>
      <c r="AGA14" s="15"/>
      <c r="AGB14" s="15"/>
      <c r="AGC14" s="15"/>
      <c r="AGD14" s="15"/>
      <c r="AGE14" s="15"/>
      <c r="AGF14" s="15"/>
      <c r="AGG14" s="15"/>
      <c r="AGH14" s="15"/>
      <c r="AGI14" s="15"/>
      <c r="AGJ14" s="15"/>
      <c r="AGK14" s="15"/>
      <c r="AGL14" s="15"/>
      <c r="AGM14" s="15"/>
      <c r="AGN14" s="15"/>
      <c r="AGO14" s="15"/>
      <c r="AGP14" s="15"/>
      <c r="AGQ14" s="15"/>
      <c r="AGR14" s="15"/>
      <c r="AGS14" s="15"/>
      <c r="AGT14" s="15"/>
      <c r="AGU14" s="15"/>
      <c r="AGV14" s="15"/>
      <c r="AGW14" s="15"/>
      <c r="AGX14" s="15"/>
      <c r="AGY14" s="15"/>
      <c r="AGZ14" s="15"/>
      <c r="AHA14" s="15"/>
      <c r="AHB14" s="15"/>
      <c r="AHC14" s="15"/>
      <c r="AHD14" s="15"/>
      <c r="AHE14" s="15"/>
      <c r="AHF14" s="15"/>
      <c r="AHG14" s="15"/>
      <c r="AHH14" s="15"/>
      <c r="AHI14" s="15"/>
      <c r="AHJ14" s="15"/>
      <c r="AHK14" s="15"/>
      <c r="AHL14" s="15"/>
      <c r="AHM14" s="15"/>
      <c r="AHN14" s="15"/>
      <c r="AHO14" s="15"/>
      <c r="AHP14" s="15"/>
      <c r="AHQ14" s="15"/>
      <c r="AHR14" s="15"/>
      <c r="AHS14" s="15"/>
      <c r="AHT14" s="15"/>
      <c r="AHU14" s="15"/>
      <c r="AHV14" s="15"/>
      <c r="AHW14" s="15"/>
      <c r="AHX14" s="15"/>
      <c r="AHY14" s="15"/>
      <c r="AHZ14" s="15"/>
      <c r="AIA14" s="15"/>
      <c r="AIB14" s="15"/>
      <c r="AIC14" s="15"/>
      <c r="AID14" s="15"/>
      <c r="AIE14" s="15"/>
      <c r="AIF14" s="15"/>
      <c r="AIG14" s="15"/>
      <c r="AIH14" s="15"/>
      <c r="AII14" s="15"/>
      <c r="AIJ14" s="15"/>
      <c r="AIK14" s="15"/>
      <c r="AIL14" s="15"/>
      <c r="AIM14" s="15"/>
      <c r="AIN14" s="15"/>
      <c r="AIO14" s="15"/>
      <c r="AIP14" s="15"/>
      <c r="AIQ14" s="15"/>
      <c r="AIR14" s="15"/>
      <c r="AIS14" s="15"/>
      <c r="AIT14" s="15"/>
      <c r="AIU14" s="15"/>
      <c r="AIV14" s="15"/>
      <c r="AIW14" s="15"/>
      <c r="AIX14" s="15"/>
      <c r="AIY14" s="15"/>
      <c r="AIZ14" s="15"/>
      <c r="AJA14" s="15"/>
      <c r="AJB14" s="15"/>
      <c r="AJC14" s="15"/>
      <c r="AJD14" s="15"/>
      <c r="AJE14" s="15"/>
      <c r="AJF14" s="15"/>
      <c r="AJG14" s="15"/>
      <c r="AJH14" s="15"/>
      <c r="AJI14" s="15"/>
      <c r="AJJ14" s="15"/>
      <c r="AJK14" s="15"/>
      <c r="AJL14" s="15"/>
      <c r="AJM14" s="15"/>
      <c r="AJN14" s="15"/>
      <c r="AJO14" s="15"/>
      <c r="AJP14" s="15"/>
      <c r="AJQ14" s="15"/>
      <c r="AJR14" s="15"/>
      <c r="AJS14" s="15"/>
      <c r="AJT14" s="15"/>
      <c r="AJU14" s="15"/>
      <c r="AJV14" s="15"/>
      <c r="AJW14" s="15"/>
      <c r="AJX14" s="15"/>
      <c r="AJY14" s="15"/>
      <c r="AJZ14" s="15"/>
      <c r="AKA14" s="15"/>
      <c r="AKB14" s="15"/>
      <c r="AKC14" s="15"/>
      <c r="AKD14" s="15"/>
      <c r="AKE14" s="15"/>
      <c r="AKF14" s="15"/>
      <c r="AKG14" s="15"/>
      <c r="AKH14" s="15"/>
      <c r="AKI14" s="15"/>
      <c r="AKJ14" s="15"/>
      <c r="AKK14" s="15"/>
      <c r="AKL14" s="15"/>
      <c r="AKM14" s="15"/>
      <c r="AKN14" s="15"/>
      <c r="AKO14" s="15"/>
      <c r="AKP14" s="15"/>
      <c r="AKQ14" s="15"/>
      <c r="AKR14" s="15"/>
      <c r="AKS14" s="15"/>
      <c r="AKT14" s="15"/>
      <c r="AKU14" s="15"/>
      <c r="AKV14" s="15"/>
      <c r="AKW14" s="15"/>
      <c r="AKX14" s="15"/>
      <c r="AKY14" s="15"/>
      <c r="AKZ14" s="15"/>
      <c r="ALA14" s="15"/>
      <c r="ALB14" s="15"/>
      <c r="ALC14" s="15"/>
      <c r="ALD14" s="15"/>
      <c r="ALE14" s="15"/>
      <c r="ALF14" s="15"/>
      <c r="ALG14" s="15"/>
      <c r="ALH14" s="15"/>
      <c r="ALI14" s="15"/>
      <c r="ALJ14" s="15"/>
      <c r="ALK14" s="15"/>
      <c r="ALL14" s="15"/>
      <c r="ALM14" s="15"/>
      <c r="ALN14" s="15"/>
      <c r="ALO14" s="15"/>
      <c r="ALP14" s="15"/>
      <c r="ALQ14" s="15"/>
      <c r="ALR14" s="15"/>
      <c r="ALS14" s="15"/>
      <c r="ALT14" s="15"/>
      <c r="ALU14" s="15"/>
      <c r="ALV14" s="15"/>
      <c r="ALW14" s="15"/>
      <c r="ALX14" s="15"/>
      <c r="ALY14" s="15"/>
      <c r="ALZ14" s="15"/>
      <c r="AMA14" s="15"/>
      <c r="AMB14" s="15"/>
      <c r="AMC14" s="15"/>
      <c r="AMD14" s="15"/>
      <c r="AME14" s="15"/>
      <c r="AMF14" s="15"/>
      <c r="AMG14" s="15"/>
      <c r="AMH14" s="15"/>
      <c r="AMI14" s="15"/>
      <c r="AMJ14" s="15"/>
      <c r="AMK14" s="15"/>
    </row>
    <row r="15" spans="1:1025" s="13" customFormat="1" x14ac:dyDescent="0.25">
      <c r="A15" s="13" t="s">
        <v>40</v>
      </c>
      <c r="B15" s="13">
        <v>2018</v>
      </c>
      <c r="C15" s="14">
        <v>3568</v>
      </c>
      <c r="D15" s="14"/>
      <c r="E15" s="14">
        <v>46562</v>
      </c>
      <c r="F15" s="14">
        <v>26292</v>
      </c>
      <c r="G15" s="14">
        <f t="shared" si="6"/>
        <v>72854</v>
      </c>
      <c r="H15" s="14">
        <v>41841</v>
      </c>
      <c r="I15" s="14">
        <f t="shared" si="7"/>
        <v>31013</v>
      </c>
      <c r="J15" s="14">
        <v>1917383</v>
      </c>
      <c r="K15" s="14">
        <v>1720309</v>
      </c>
      <c r="L15" s="14">
        <f t="shared" si="8"/>
        <v>197074</v>
      </c>
      <c r="M15" s="14">
        <f>1917383-196220</f>
        <v>1721163</v>
      </c>
      <c r="N15" s="14">
        <f t="shared" si="5"/>
        <v>-854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  <c r="AMK15" s="15"/>
    </row>
    <row r="16" spans="1:1025" s="13" customFormat="1" x14ac:dyDescent="0.25">
      <c r="A16" s="13" t="s">
        <v>40</v>
      </c>
      <c r="B16" s="13">
        <v>2017</v>
      </c>
      <c r="C16" s="14">
        <v>3817</v>
      </c>
      <c r="D16" s="14"/>
      <c r="E16" s="14">
        <v>45061</v>
      </c>
      <c r="F16" s="14">
        <v>27383</v>
      </c>
      <c r="G16" s="14">
        <f t="shared" si="6"/>
        <v>72444</v>
      </c>
      <c r="H16" s="14">
        <v>42232</v>
      </c>
      <c r="I16" s="14">
        <f t="shared" si="7"/>
        <v>30212</v>
      </c>
      <c r="J16" s="14">
        <v>1842465</v>
      </c>
      <c r="K16" s="14">
        <v>1640793</v>
      </c>
      <c r="L16" s="14">
        <f t="shared" si="8"/>
        <v>201672</v>
      </c>
      <c r="M16" s="14">
        <f>1842465-200740</f>
        <v>1641725</v>
      </c>
      <c r="N16" s="14">
        <f t="shared" si="5"/>
        <v>-932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  <c r="AMK16" s="15"/>
    </row>
    <row r="17" spans="1:1025" x14ac:dyDescent="0.25">
      <c r="A17" t="s">
        <v>41</v>
      </c>
      <c r="B17">
        <v>2021</v>
      </c>
      <c r="C17" s="12">
        <v>3659</v>
      </c>
      <c r="D17" s="12"/>
      <c r="E17" s="12">
        <v>8073</v>
      </c>
      <c r="F17" s="12">
        <f>7674+6193</f>
        <v>13867</v>
      </c>
      <c r="G17" s="12">
        <v>16053</v>
      </c>
      <c r="H17" s="12">
        <f t="shared" ref="H17:H21" si="9">E17+G17</f>
        <v>24126</v>
      </c>
      <c r="I17" s="12">
        <f t="shared" ref="I17:I21" si="10">H17-J17</f>
        <v>8061</v>
      </c>
      <c r="J17" s="12">
        <v>16065</v>
      </c>
      <c r="K17" s="12">
        <v>1384285</v>
      </c>
      <c r="L17" s="12"/>
      <c r="M17" s="12">
        <f>1384285-70211</f>
        <v>1314074</v>
      </c>
      <c r="N17" s="12">
        <f t="shared" si="5"/>
        <v>70211</v>
      </c>
    </row>
    <row r="18" spans="1:1025" x14ac:dyDescent="0.25">
      <c r="A18" t="s">
        <v>41</v>
      </c>
      <c r="B18">
        <v>2020</v>
      </c>
      <c r="C18" s="12">
        <v>2731</v>
      </c>
      <c r="D18" s="12"/>
      <c r="E18" s="12">
        <v>8122</v>
      </c>
      <c r="F18" s="12">
        <f>6571+7073</f>
        <v>13644</v>
      </c>
      <c r="G18" s="12">
        <v>15677</v>
      </c>
      <c r="H18" s="12">
        <f t="shared" si="9"/>
        <v>23799</v>
      </c>
      <c r="I18" s="12">
        <f t="shared" si="10"/>
        <v>8188</v>
      </c>
      <c r="J18" s="12">
        <v>15611</v>
      </c>
      <c r="K18" s="12">
        <v>1349514</v>
      </c>
      <c r="L18" s="12"/>
      <c r="M18" s="12">
        <f>1349514-66882</f>
        <v>1282632</v>
      </c>
      <c r="N18" s="12">
        <f t="shared" si="5"/>
        <v>66882</v>
      </c>
    </row>
    <row r="19" spans="1:1025" x14ac:dyDescent="0.25">
      <c r="A19" t="s">
        <v>41</v>
      </c>
      <c r="B19">
        <v>2019</v>
      </c>
      <c r="C19" s="12">
        <v>2535</v>
      </c>
      <c r="D19" s="12"/>
      <c r="E19" s="12">
        <v>9407</v>
      </c>
      <c r="F19" s="12">
        <f>6760+5465</f>
        <v>12225</v>
      </c>
      <c r="G19" s="12">
        <v>14511</v>
      </c>
      <c r="H19" s="12">
        <f t="shared" si="9"/>
        <v>23918</v>
      </c>
      <c r="I19" s="12">
        <f t="shared" si="10"/>
        <v>8003</v>
      </c>
      <c r="J19" s="12">
        <v>15915</v>
      </c>
      <c r="K19" s="12">
        <v>1140229</v>
      </c>
      <c r="L19" s="12"/>
      <c r="M19" s="12">
        <f>1140229-65660</f>
        <v>1074569</v>
      </c>
      <c r="N19" s="12">
        <f t="shared" si="5"/>
        <v>65660</v>
      </c>
    </row>
    <row r="20" spans="1:1025" x14ac:dyDescent="0.25">
      <c r="A20" t="s">
        <v>41</v>
      </c>
      <c r="B20">
        <v>2018</v>
      </c>
      <c r="C20" s="12">
        <v>2535</v>
      </c>
      <c r="D20" s="12"/>
      <c r="E20" s="12">
        <v>9062</v>
      </c>
      <c r="F20" s="12">
        <f>6809+5265</f>
        <v>12074</v>
      </c>
      <c r="G20" s="12">
        <v>14067</v>
      </c>
      <c r="H20" s="12">
        <f t="shared" si="9"/>
        <v>23129</v>
      </c>
      <c r="I20" s="12">
        <f t="shared" si="10"/>
        <v>7019</v>
      </c>
      <c r="J20" s="12">
        <v>16110</v>
      </c>
      <c r="K20" s="12">
        <v>1133283</v>
      </c>
      <c r="L20" s="12"/>
      <c r="M20" s="12">
        <f>1133283-63779</f>
        <v>1069504</v>
      </c>
      <c r="N20" s="12">
        <f t="shared" si="5"/>
        <v>63779</v>
      </c>
    </row>
    <row r="21" spans="1:1025" x14ac:dyDescent="0.25">
      <c r="A21" t="s">
        <v>41</v>
      </c>
      <c r="B21">
        <v>2017</v>
      </c>
      <c r="C21" s="12">
        <v>2531</v>
      </c>
      <c r="D21" s="12"/>
      <c r="E21" s="12">
        <v>9845</v>
      </c>
      <c r="F21" s="12">
        <f>6814+4417</f>
        <v>11231</v>
      </c>
      <c r="G21" s="12">
        <v>12943</v>
      </c>
      <c r="H21" s="12">
        <f t="shared" si="9"/>
        <v>22788</v>
      </c>
      <c r="I21" s="12">
        <f t="shared" si="10"/>
        <v>6682</v>
      </c>
      <c r="J21" s="12">
        <v>16106</v>
      </c>
      <c r="K21" s="12">
        <v>1133248</v>
      </c>
      <c r="L21" s="12"/>
      <c r="M21" s="12">
        <f>1133248-66016</f>
        <v>1067232</v>
      </c>
      <c r="N21" s="12">
        <f t="shared" si="5"/>
        <v>66016</v>
      </c>
    </row>
    <row r="22" spans="1:1025" s="13" customFormat="1" x14ac:dyDescent="0.25">
      <c r="A22" s="13" t="s">
        <v>42</v>
      </c>
      <c r="B22" s="13">
        <v>2021</v>
      </c>
      <c r="C22" s="14">
        <v>14168000000</v>
      </c>
      <c r="D22" s="14"/>
      <c r="E22" s="14">
        <v>6470000000</v>
      </c>
      <c r="F22" s="14">
        <v>52869000000</v>
      </c>
      <c r="G22" s="14">
        <f t="shared" ref="G22:G42" si="11">E22+F22</f>
        <v>59339000000</v>
      </c>
      <c r="H22" s="14">
        <v>31938000000</v>
      </c>
      <c r="I22" s="14">
        <f t="shared" ref="I22:I31" si="12">G22-H22</f>
        <v>27401000000</v>
      </c>
      <c r="J22" s="14">
        <v>1463988000000</v>
      </c>
      <c r="K22" s="14">
        <v>1463988000000</v>
      </c>
      <c r="L22" s="14"/>
      <c r="M22" s="14" t="s">
        <v>43</v>
      </c>
      <c r="N22" s="14">
        <f>C22/G22</f>
        <v>0.2387637135779167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15"/>
      <c r="PC22" s="15"/>
      <c r="PD22" s="15"/>
      <c r="PE22" s="15"/>
      <c r="PF22" s="15"/>
      <c r="PG22" s="15"/>
      <c r="PH22" s="15"/>
      <c r="PI22" s="15"/>
      <c r="PJ22" s="15"/>
      <c r="PK22" s="15"/>
      <c r="PL22" s="15"/>
      <c r="PM22" s="15"/>
      <c r="PN22" s="15"/>
      <c r="PO22" s="15"/>
      <c r="PP22" s="15"/>
      <c r="PQ22" s="15"/>
      <c r="PR22" s="15"/>
      <c r="PS22" s="15"/>
      <c r="PT22" s="15"/>
      <c r="PU22" s="15"/>
      <c r="PV22" s="15"/>
      <c r="PW22" s="15"/>
      <c r="PX22" s="15"/>
      <c r="PY22" s="15"/>
      <c r="PZ22" s="15"/>
      <c r="QA22" s="15"/>
      <c r="QB22" s="15"/>
      <c r="QC22" s="15"/>
      <c r="QD22" s="15"/>
      <c r="QE22" s="15"/>
      <c r="QF22" s="15"/>
      <c r="QG22" s="15"/>
      <c r="QH22" s="15"/>
      <c r="QI22" s="15"/>
      <c r="QJ22" s="15"/>
      <c r="QK22" s="15"/>
      <c r="QL22" s="15"/>
      <c r="QM22" s="15"/>
      <c r="QN22" s="15"/>
      <c r="QO22" s="15"/>
      <c r="QP22" s="15"/>
      <c r="QQ22" s="15"/>
      <c r="QR22" s="15"/>
      <c r="QS22" s="15"/>
      <c r="QT22" s="15"/>
      <c r="QU22" s="15"/>
      <c r="QV22" s="15"/>
      <c r="QW22" s="15"/>
      <c r="QX22" s="15"/>
      <c r="QY22" s="15"/>
      <c r="QZ22" s="15"/>
      <c r="RA22" s="15"/>
      <c r="RB22" s="15"/>
      <c r="RC22" s="15"/>
      <c r="RD22" s="15"/>
      <c r="RE22" s="15"/>
      <c r="RF22" s="15"/>
      <c r="RG22" s="15"/>
      <c r="RH22" s="15"/>
      <c r="RI22" s="15"/>
      <c r="RJ22" s="15"/>
      <c r="RK22" s="15"/>
      <c r="RL22" s="15"/>
      <c r="RM22" s="15"/>
      <c r="RN22" s="15"/>
      <c r="RO22" s="15"/>
      <c r="RP22" s="15"/>
      <c r="RQ22" s="15"/>
      <c r="RR22" s="15"/>
      <c r="RS22" s="15"/>
      <c r="RT22" s="15"/>
      <c r="RU22" s="15"/>
      <c r="RV22" s="15"/>
      <c r="RW22" s="15"/>
      <c r="RX22" s="15"/>
      <c r="RY22" s="15"/>
      <c r="RZ22" s="15"/>
      <c r="SA22" s="15"/>
      <c r="SB22" s="15"/>
      <c r="SC22" s="15"/>
      <c r="SD22" s="15"/>
      <c r="SE22" s="15"/>
      <c r="SF22" s="15"/>
      <c r="SG22" s="15"/>
      <c r="SH22" s="15"/>
      <c r="SI22" s="15"/>
      <c r="SJ22" s="15"/>
      <c r="SK22" s="15"/>
      <c r="SL22" s="15"/>
      <c r="SM22" s="15"/>
      <c r="SN22" s="15"/>
      <c r="SO22" s="15"/>
      <c r="SP22" s="15"/>
      <c r="SQ22" s="15"/>
      <c r="SR22" s="15"/>
      <c r="SS22" s="15"/>
      <c r="ST22" s="15"/>
      <c r="SU22" s="15"/>
      <c r="SV22" s="15"/>
      <c r="SW22" s="15"/>
      <c r="SX22" s="15"/>
      <c r="SY22" s="15"/>
      <c r="SZ22" s="15"/>
      <c r="TA22" s="15"/>
      <c r="TB22" s="15"/>
      <c r="TC22" s="15"/>
      <c r="TD22" s="15"/>
      <c r="TE22" s="15"/>
      <c r="TF22" s="15"/>
      <c r="TG22" s="15"/>
      <c r="TH22" s="15"/>
      <c r="TI22" s="15"/>
      <c r="TJ22" s="15"/>
      <c r="TK22" s="15"/>
      <c r="TL22" s="15"/>
      <c r="TM22" s="15"/>
      <c r="TN22" s="15"/>
      <c r="TO22" s="15"/>
      <c r="TP22" s="15"/>
      <c r="TQ22" s="15"/>
      <c r="TR22" s="15"/>
      <c r="TS22" s="15"/>
      <c r="TT22" s="15"/>
      <c r="TU22" s="15"/>
      <c r="TV22" s="15"/>
      <c r="TW22" s="15"/>
      <c r="TX22" s="15"/>
      <c r="TY22" s="15"/>
      <c r="TZ22" s="15"/>
      <c r="UA22" s="15"/>
      <c r="UB22" s="15"/>
      <c r="UC22" s="15"/>
      <c r="UD22" s="15"/>
      <c r="UE22" s="15"/>
      <c r="UF22" s="15"/>
      <c r="UG22" s="15"/>
      <c r="UH22" s="15"/>
      <c r="UI22" s="15"/>
      <c r="UJ22" s="15"/>
      <c r="UK22" s="15"/>
      <c r="UL22" s="15"/>
      <c r="UM22" s="15"/>
      <c r="UN22" s="15"/>
      <c r="UO22" s="15"/>
      <c r="UP22" s="15"/>
      <c r="UQ22" s="15"/>
      <c r="UR22" s="15"/>
      <c r="US22" s="15"/>
      <c r="UT22" s="15"/>
      <c r="UU22" s="15"/>
      <c r="UV22" s="15"/>
      <c r="UW22" s="15"/>
      <c r="UX22" s="15"/>
      <c r="UY22" s="15"/>
      <c r="UZ22" s="15"/>
      <c r="VA22" s="15"/>
      <c r="VB22" s="15"/>
      <c r="VC22" s="15"/>
      <c r="VD22" s="15"/>
      <c r="VE22" s="15"/>
      <c r="VF22" s="15"/>
      <c r="VG22" s="15"/>
      <c r="VH22" s="15"/>
      <c r="VI22" s="15"/>
      <c r="VJ22" s="15"/>
      <c r="VK22" s="15"/>
      <c r="VL22" s="15"/>
      <c r="VM22" s="15"/>
      <c r="VN22" s="15"/>
      <c r="VO22" s="15"/>
      <c r="VP22" s="15"/>
      <c r="VQ22" s="15"/>
      <c r="VR22" s="15"/>
      <c r="VS22" s="15"/>
      <c r="VT22" s="15"/>
      <c r="VU22" s="15"/>
      <c r="VV22" s="15"/>
      <c r="VW22" s="15"/>
      <c r="VX22" s="15"/>
      <c r="VY22" s="15"/>
      <c r="VZ22" s="15"/>
      <c r="WA22" s="15"/>
      <c r="WB22" s="15"/>
      <c r="WC22" s="15"/>
      <c r="WD22" s="15"/>
      <c r="WE22" s="15"/>
      <c r="WF22" s="15"/>
      <c r="WG22" s="15"/>
      <c r="WH22" s="15"/>
      <c r="WI22" s="15"/>
      <c r="WJ22" s="15"/>
      <c r="WK22" s="15"/>
      <c r="WL22" s="15"/>
      <c r="WM22" s="15"/>
      <c r="WN22" s="15"/>
      <c r="WO22" s="15"/>
      <c r="WP22" s="15"/>
      <c r="WQ22" s="15"/>
      <c r="WR22" s="15"/>
      <c r="WS22" s="15"/>
      <c r="WT22" s="15"/>
      <c r="WU22" s="15"/>
      <c r="WV22" s="15"/>
      <c r="WW22" s="15"/>
      <c r="WX22" s="15"/>
      <c r="WY22" s="15"/>
      <c r="WZ22" s="15"/>
      <c r="XA22" s="15"/>
      <c r="XB22" s="15"/>
      <c r="XC22" s="15"/>
      <c r="XD22" s="15"/>
      <c r="XE22" s="15"/>
      <c r="XF22" s="15"/>
      <c r="XG22" s="15"/>
      <c r="XH22" s="15"/>
      <c r="XI22" s="15"/>
      <c r="XJ22" s="15"/>
      <c r="XK22" s="15"/>
      <c r="XL22" s="15"/>
      <c r="XM22" s="15"/>
      <c r="XN22" s="15"/>
      <c r="XO22" s="15"/>
      <c r="XP22" s="15"/>
      <c r="XQ22" s="15"/>
      <c r="XR22" s="15"/>
      <c r="XS22" s="15"/>
      <c r="XT22" s="15"/>
      <c r="XU22" s="15"/>
      <c r="XV22" s="15"/>
      <c r="XW22" s="15"/>
      <c r="XX22" s="15"/>
      <c r="XY22" s="15"/>
      <c r="XZ22" s="15"/>
      <c r="YA22" s="15"/>
      <c r="YB22" s="15"/>
      <c r="YC22" s="15"/>
      <c r="YD22" s="15"/>
      <c r="YE22" s="15"/>
      <c r="YF22" s="15"/>
      <c r="YG22" s="15"/>
      <c r="YH22" s="15"/>
      <c r="YI22" s="15"/>
      <c r="YJ22" s="15"/>
      <c r="YK22" s="15"/>
      <c r="YL22" s="15"/>
      <c r="YM22" s="15"/>
      <c r="YN22" s="15"/>
      <c r="YO22" s="15"/>
      <c r="YP22" s="15"/>
      <c r="YQ22" s="15"/>
      <c r="YR22" s="15"/>
      <c r="YS22" s="15"/>
      <c r="YT22" s="15"/>
      <c r="YU22" s="15"/>
      <c r="YV22" s="15"/>
      <c r="YW22" s="15"/>
      <c r="YX22" s="15"/>
      <c r="YY22" s="15"/>
      <c r="YZ22" s="15"/>
      <c r="ZA22" s="15"/>
      <c r="ZB22" s="15"/>
      <c r="ZC22" s="15"/>
      <c r="ZD22" s="15"/>
      <c r="ZE22" s="15"/>
      <c r="ZF22" s="15"/>
      <c r="ZG22" s="15"/>
      <c r="ZH22" s="15"/>
      <c r="ZI22" s="15"/>
      <c r="ZJ22" s="15"/>
      <c r="ZK22" s="15"/>
      <c r="ZL22" s="15"/>
      <c r="ZM22" s="15"/>
      <c r="ZN22" s="15"/>
      <c r="ZO22" s="15"/>
      <c r="ZP22" s="15"/>
      <c r="ZQ22" s="15"/>
      <c r="ZR22" s="15"/>
      <c r="ZS22" s="15"/>
      <c r="ZT22" s="15"/>
      <c r="ZU22" s="15"/>
      <c r="ZV22" s="15"/>
      <c r="ZW22" s="15"/>
      <c r="ZX22" s="15"/>
      <c r="ZY22" s="15"/>
      <c r="ZZ22" s="15"/>
      <c r="AAA22" s="15"/>
      <c r="AAB22" s="15"/>
      <c r="AAC22" s="15"/>
      <c r="AAD22" s="15"/>
      <c r="AAE22" s="15"/>
      <c r="AAF22" s="15"/>
      <c r="AAG22" s="15"/>
      <c r="AAH22" s="15"/>
      <c r="AAI22" s="15"/>
      <c r="AAJ22" s="15"/>
      <c r="AAK22" s="15"/>
      <c r="AAL22" s="15"/>
      <c r="AAM22" s="15"/>
      <c r="AAN22" s="15"/>
      <c r="AAO22" s="15"/>
      <c r="AAP22" s="15"/>
      <c r="AAQ22" s="15"/>
      <c r="AAR22" s="15"/>
      <c r="AAS22" s="15"/>
      <c r="AAT22" s="15"/>
      <c r="AAU22" s="15"/>
      <c r="AAV22" s="15"/>
      <c r="AAW22" s="15"/>
      <c r="AAX22" s="15"/>
      <c r="AAY22" s="15"/>
      <c r="AAZ22" s="15"/>
      <c r="ABA22" s="15"/>
      <c r="ABB22" s="15"/>
      <c r="ABC22" s="15"/>
      <c r="ABD22" s="15"/>
      <c r="ABE22" s="15"/>
      <c r="ABF22" s="15"/>
      <c r="ABG22" s="15"/>
      <c r="ABH22" s="15"/>
      <c r="ABI22" s="15"/>
      <c r="ABJ22" s="15"/>
      <c r="ABK22" s="15"/>
      <c r="ABL22" s="15"/>
      <c r="ABM22" s="15"/>
      <c r="ABN22" s="15"/>
      <c r="ABO22" s="15"/>
      <c r="ABP22" s="15"/>
      <c r="ABQ22" s="15"/>
      <c r="ABR22" s="15"/>
      <c r="ABS22" s="15"/>
      <c r="ABT22" s="15"/>
      <c r="ABU22" s="15"/>
      <c r="ABV22" s="15"/>
      <c r="ABW22" s="15"/>
      <c r="ABX22" s="15"/>
      <c r="ABY22" s="15"/>
      <c r="ABZ22" s="15"/>
      <c r="ACA22" s="15"/>
      <c r="ACB22" s="15"/>
      <c r="ACC22" s="15"/>
      <c r="ACD22" s="15"/>
      <c r="ACE22" s="15"/>
      <c r="ACF22" s="15"/>
      <c r="ACG22" s="15"/>
      <c r="ACH22" s="15"/>
      <c r="ACI22" s="15"/>
      <c r="ACJ22" s="15"/>
      <c r="ACK22" s="15"/>
      <c r="ACL22" s="15"/>
      <c r="ACM22" s="15"/>
      <c r="ACN22" s="15"/>
      <c r="ACO22" s="15"/>
      <c r="ACP22" s="15"/>
      <c r="ACQ22" s="15"/>
      <c r="ACR22" s="15"/>
      <c r="ACS22" s="15"/>
      <c r="ACT22" s="15"/>
      <c r="ACU22" s="15"/>
      <c r="ACV22" s="15"/>
      <c r="ACW22" s="15"/>
      <c r="ACX22" s="15"/>
      <c r="ACY22" s="15"/>
      <c r="ACZ22" s="15"/>
      <c r="ADA22" s="15"/>
      <c r="ADB22" s="15"/>
      <c r="ADC22" s="15"/>
      <c r="ADD22" s="15"/>
      <c r="ADE22" s="15"/>
      <c r="ADF22" s="15"/>
      <c r="ADG22" s="15"/>
      <c r="ADH22" s="15"/>
      <c r="ADI22" s="15"/>
      <c r="ADJ22" s="15"/>
      <c r="ADK22" s="15"/>
      <c r="ADL22" s="15"/>
      <c r="ADM22" s="15"/>
      <c r="ADN22" s="15"/>
      <c r="ADO22" s="15"/>
      <c r="ADP22" s="15"/>
      <c r="ADQ22" s="15"/>
      <c r="ADR22" s="15"/>
      <c r="ADS22" s="15"/>
      <c r="ADT22" s="15"/>
      <c r="ADU22" s="15"/>
      <c r="ADV22" s="15"/>
      <c r="ADW22" s="15"/>
      <c r="ADX22" s="15"/>
      <c r="ADY22" s="15"/>
      <c r="ADZ22" s="15"/>
      <c r="AEA22" s="15"/>
      <c r="AEB22" s="15"/>
      <c r="AEC22" s="15"/>
      <c r="AED22" s="15"/>
      <c r="AEE22" s="15"/>
      <c r="AEF22" s="15"/>
      <c r="AEG22" s="15"/>
      <c r="AEH22" s="15"/>
      <c r="AEI22" s="15"/>
      <c r="AEJ22" s="15"/>
      <c r="AEK22" s="15"/>
      <c r="AEL22" s="15"/>
      <c r="AEM22" s="15"/>
      <c r="AEN22" s="15"/>
      <c r="AEO22" s="15"/>
      <c r="AEP22" s="15"/>
      <c r="AEQ22" s="15"/>
      <c r="AER22" s="15"/>
      <c r="AES22" s="15"/>
      <c r="AET22" s="15"/>
      <c r="AEU22" s="15"/>
      <c r="AEV22" s="15"/>
      <c r="AEW22" s="15"/>
      <c r="AEX22" s="15"/>
      <c r="AEY22" s="15"/>
      <c r="AEZ22" s="15"/>
      <c r="AFA22" s="15"/>
      <c r="AFB22" s="15"/>
      <c r="AFC22" s="15"/>
      <c r="AFD22" s="15"/>
      <c r="AFE22" s="15"/>
      <c r="AFF22" s="15"/>
      <c r="AFG22" s="15"/>
      <c r="AFH22" s="15"/>
      <c r="AFI22" s="15"/>
      <c r="AFJ22" s="15"/>
      <c r="AFK22" s="15"/>
      <c r="AFL22" s="15"/>
      <c r="AFM22" s="15"/>
      <c r="AFN22" s="15"/>
      <c r="AFO22" s="15"/>
      <c r="AFP22" s="15"/>
      <c r="AFQ22" s="15"/>
      <c r="AFR22" s="15"/>
      <c r="AFS22" s="15"/>
      <c r="AFT22" s="15"/>
      <c r="AFU22" s="15"/>
      <c r="AFV22" s="15"/>
      <c r="AFW22" s="15"/>
      <c r="AFX22" s="15"/>
      <c r="AFY22" s="15"/>
      <c r="AFZ22" s="15"/>
      <c r="AGA22" s="15"/>
      <c r="AGB22" s="15"/>
      <c r="AGC22" s="15"/>
      <c r="AGD22" s="15"/>
      <c r="AGE22" s="15"/>
      <c r="AGF22" s="15"/>
      <c r="AGG22" s="15"/>
      <c r="AGH22" s="15"/>
      <c r="AGI22" s="15"/>
      <c r="AGJ22" s="15"/>
      <c r="AGK22" s="15"/>
      <c r="AGL22" s="15"/>
      <c r="AGM22" s="15"/>
      <c r="AGN22" s="15"/>
      <c r="AGO22" s="15"/>
      <c r="AGP22" s="15"/>
      <c r="AGQ22" s="15"/>
      <c r="AGR22" s="15"/>
      <c r="AGS22" s="15"/>
      <c r="AGT22" s="15"/>
      <c r="AGU22" s="15"/>
      <c r="AGV22" s="15"/>
      <c r="AGW22" s="15"/>
      <c r="AGX22" s="15"/>
      <c r="AGY22" s="15"/>
      <c r="AGZ22" s="15"/>
      <c r="AHA22" s="15"/>
      <c r="AHB22" s="15"/>
      <c r="AHC22" s="15"/>
      <c r="AHD22" s="15"/>
      <c r="AHE22" s="15"/>
      <c r="AHF22" s="15"/>
      <c r="AHG22" s="15"/>
      <c r="AHH22" s="15"/>
      <c r="AHI22" s="15"/>
      <c r="AHJ22" s="15"/>
      <c r="AHK22" s="15"/>
      <c r="AHL22" s="15"/>
      <c r="AHM22" s="15"/>
      <c r="AHN22" s="15"/>
      <c r="AHO22" s="15"/>
      <c r="AHP22" s="15"/>
      <c r="AHQ22" s="15"/>
      <c r="AHR22" s="15"/>
      <c r="AHS22" s="15"/>
      <c r="AHT22" s="15"/>
      <c r="AHU22" s="15"/>
      <c r="AHV22" s="15"/>
      <c r="AHW22" s="15"/>
      <c r="AHX22" s="15"/>
      <c r="AHY22" s="15"/>
      <c r="AHZ22" s="15"/>
      <c r="AIA22" s="15"/>
      <c r="AIB22" s="15"/>
      <c r="AIC22" s="15"/>
      <c r="AID22" s="15"/>
      <c r="AIE22" s="15"/>
      <c r="AIF22" s="15"/>
      <c r="AIG22" s="15"/>
      <c r="AIH22" s="15"/>
      <c r="AII22" s="15"/>
      <c r="AIJ22" s="15"/>
      <c r="AIK22" s="15"/>
      <c r="AIL22" s="15"/>
      <c r="AIM22" s="15"/>
      <c r="AIN22" s="15"/>
      <c r="AIO22" s="15"/>
      <c r="AIP22" s="15"/>
      <c r="AIQ22" s="15"/>
      <c r="AIR22" s="15"/>
      <c r="AIS22" s="15"/>
      <c r="AIT22" s="15"/>
      <c r="AIU22" s="15"/>
      <c r="AIV22" s="15"/>
      <c r="AIW22" s="15"/>
      <c r="AIX22" s="15"/>
      <c r="AIY22" s="15"/>
      <c r="AIZ22" s="15"/>
      <c r="AJA22" s="15"/>
      <c r="AJB22" s="15"/>
      <c r="AJC22" s="15"/>
      <c r="AJD22" s="15"/>
      <c r="AJE22" s="15"/>
      <c r="AJF22" s="15"/>
      <c r="AJG22" s="15"/>
      <c r="AJH22" s="15"/>
      <c r="AJI22" s="15"/>
      <c r="AJJ22" s="15"/>
      <c r="AJK22" s="15"/>
      <c r="AJL22" s="15"/>
      <c r="AJM22" s="15"/>
      <c r="AJN22" s="15"/>
      <c r="AJO22" s="15"/>
      <c r="AJP22" s="15"/>
      <c r="AJQ22" s="15"/>
      <c r="AJR22" s="15"/>
      <c r="AJS22" s="15"/>
      <c r="AJT22" s="15"/>
      <c r="AJU22" s="15"/>
      <c r="AJV22" s="15"/>
      <c r="AJW22" s="15"/>
      <c r="AJX22" s="15"/>
      <c r="AJY22" s="15"/>
      <c r="AJZ22" s="15"/>
      <c r="AKA22" s="15"/>
      <c r="AKB22" s="15"/>
      <c r="AKC22" s="15"/>
      <c r="AKD22" s="15"/>
      <c r="AKE22" s="15"/>
      <c r="AKF22" s="15"/>
      <c r="AKG22" s="15"/>
      <c r="AKH22" s="15"/>
      <c r="AKI22" s="15"/>
      <c r="AKJ22" s="15"/>
      <c r="AKK22" s="15"/>
      <c r="AKL22" s="15"/>
      <c r="AKM22" s="15"/>
      <c r="AKN22" s="15"/>
      <c r="AKO22" s="15"/>
      <c r="AKP22" s="15"/>
      <c r="AKQ22" s="15"/>
      <c r="AKR22" s="15"/>
      <c r="AKS22" s="15"/>
      <c r="AKT22" s="15"/>
      <c r="AKU22" s="15"/>
      <c r="AKV22" s="15"/>
      <c r="AKW22" s="15"/>
      <c r="AKX22" s="15"/>
      <c r="AKY22" s="15"/>
      <c r="AKZ22" s="15"/>
      <c r="ALA22" s="15"/>
      <c r="ALB22" s="15"/>
      <c r="ALC22" s="15"/>
      <c r="ALD22" s="15"/>
      <c r="ALE22" s="15"/>
      <c r="ALF22" s="15"/>
      <c r="ALG22" s="15"/>
      <c r="ALH22" s="15"/>
      <c r="ALI22" s="15"/>
      <c r="ALJ22" s="15"/>
      <c r="ALK22" s="15"/>
      <c r="ALL22" s="15"/>
      <c r="ALM22" s="15"/>
      <c r="ALN22" s="15"/>
      <c r="ALO22" s="15"/>
      <c r="ALP22" s="15"/>
      <c r="ALQ22" s="15"/>
      <c r="ALR22" s="15"/>
      <c r="ALS22" s="15"/>
      <c r="ALT22" s="15"/>
      <c r="ALU22" s="15"/>
      <c r="ALV22" s="15"/>
      <c r="ALW22" s="15"/>
      <c r="ALX22" s="15"/>
      <c r="ALY22" s="15"/>
      <c r="ALZ22" s="15"/>
      <c r="AMA22" s="15"/>
      <c r="AMB22" s="15"/>
      <c r="AMC22" s="15"/>
      <c r="AMD22" s="15"/>
      <c r="AME22" s="15"/>
      <c r="AMF22" s="15"/>
      <c r="AMG22" s="15"/>
      <c r="AMH22" s="15"/>
      <c r="AMI22" s="15"/>
      <c r="AMJ22" s="15"/>
      <c r="AMK22" s="15"/>
    </row>
    <row r="23" spans="1:1025" s="13" customFormat="1" x14ac:dyDescent="0.25">
      <c r="A23" s="13" t="s">
        <v>42</v>
      </c>
      <c r="B23" s="13">
        <v>2020</v>
      </c>
      <c r="C23" s="14">
        <v>9141000000</v>
      </c>
      <c r="D23" s="14"/>
      <c r="E23" s="14">
        <v>4751000000</v>
      </c>
      <c r="F23" s="14">
        <v>39809000000</v>
      </c>
      <c r="G23" s="14">
        <f t="shared" si="11"/>
        <v>44560000000</v>
      </c>
      <c r="H23" s="14">
        <v>28983000000</v>
      </c>
      <c r="I23" s="14">
        <f t="shared" si="12"/>
        <v>15577000000</v>
      </c>
      <c r="J23" s="14">
        <v>1163028000000</v>
      </c>
      <c r="K23" s="14">
        <v>1163028000000</v>
      </c>
      <c r="L23" s="14"/>
      <c r="M23" s="14" t="s">
        <v>43</v>
      </c>
      <c r="N23" s="14" t="s">
        <v>44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  <c r="SL23" s="15"/>
      <c r="SM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TB23" s="15"/>
      <c r="TC23" s="15"/>
      <c r="TD23" s="15"/>
      <c r="TE23" s="15"/>
      <c r="TF23" s="15"/>
      <c r="TG23" s="15"/>
      <c r="TH23" s="15"/>
      <c r="TI23" s="15"/>
      <c r="TJ23" s="15"/>
      <c r="TK23" s="15"/>
      <c r="TL23" s="15"/>
      <c r="TM23" s="15"/>
      <c r="TN23" s="15"/>
      <c r="TO23" s="15"/>
      <c r="TP23" s="15"/>
      <c r="TQ23" s="15"/>
      <c r="TR23" s="15"/>
      <c r="TS23" s="15"/>
      <c r="TT23" s="15"/>
      <c r="TU23" s="15"/>
      <c r="TV23" s="15"/>
      <c r="TW23" s="15"/>
      <c r="TX23" s="15"/>
      <c r="TY23" s="15"/>
      <c r="TZ23" s="15"/>
      <c r="UA23" s="15"/>
      <c r="UB23" s="15"/>
      <c r="UC23" s="15"/>
      <c r="UD23" s="15"/>
      <c r="UE23" s="15"/>
      <c r="UF23" s="15"/>
      <c r="UG23" s="15"/>
      <c r="UH23" s="15"/>
      <c r="UI23" s="15"/>
      <c r="UJ23" s="15"/>
      <c r="UK23" s="15"/>
      <c r="UL23" s="15"/>
      <c r="UM23" s="15"/>
      <c r="UN23" s="15"/>
      <c r="UO23" s="15"/>
      <c r="UP23" s="15"/>
      <c r="UQ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VF23" s="15"/>
      <c r="VG23" s="15"/>
      <c r="VH23" s="15"/>
      <c r="VI23" s="15"/>
      <c r="VJ23" s="15"/>
      <c r="VK23" s="15"/>
      <c r="VL23" s="15"/>
      <c r="VM23" s="15"/>
      <c r="VN23" s="15"/>
      <c r="VO23" s="15"/>
      <c r="VP23" s="15"/>
      <c r="VQ23" s="15"/>
      <c r="VR23" s="15"/>
      <c r="VS23" s="15"/>
      <c r="VT23" s="15"/>
      <c r="VU23" s="15"/>
      <c r="VV23" s="15"/>
      <c r="VW23" s="15"/>
      <c r="VX23" s="15"/>
      <c r="VY23" s="15"/>
      <c r="VZ23" s="15"/>
      <c r="WA23" s="15"/>
      <c r="WB23" s="15"/>
      <c r="WC23" s="15"/>
      <c r="WD23" s="15"/>
      <c r="WE23" s="15"/>
      <c r="WF23" s="15"/>
      <c r="WG23" s="15"/>
      <c r="WH23" s="15"/>
      <c r="WI23" s="15"/>
      <c r="WJ23" s="15"/>
      <c r="WK23" s="15"/>
      <c r="WL23" s="15"/>
      <c r="WM23" s="15"/>
      <c r="WN23" s="15"/>
      <c r="WO23" s="15"/>
      <c r="WP23" s="15"/>
      <c r="WQ23" s="15"/>
      <c r="WR23" s="15"/>
      <c r="WS23" s="15"/>
      <c r="WT23" s="15"/>
      <c r="WU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  <c r="XJ23" s="15"/>
      <c r="XK23" s="15"/>
      <c r="XL23" s="15"/>
      <c r="XM23" s="15"/>
      <c r="XN23" s="15"/>
      <c r="XO23" s="15"/>
      <c r="XP23" s="15"/>
      <c r="XQ23" s="15"/>
      <c r="XR23" s="15"/>
      <c r="XS23" s="15"/>
      <c r="XT23" s="15"/>
      <c r="XU23" s="15"/>
      <c r="XV23" s="15"/>
      <c r="XW23" s="15"/>
      <c r="XX23" s="15"/>
      <c r="XY23" s="15"/>
      <c r="XZ23" s="15"/>
      <c r="YA23" s="15"/>
      <c r="YB23" s="15"/>
      <c r="YC23" s="15"/>
      <c r="YD23" s="15"/>
      <c r="YE23" s="15"/>
      <c r="YF23" s="15"/>
      <c r="YG23" s="15"/>
      <c r="YH23" s="15"/>
      <c r="YI23" s="15"/>
      <c r="YJ23" s="15"/>
      <c r="YK23" s="15"/>
      <c r="YL23" s="15"/>
      <c r="YM23" s="15"/>
      <c r="YN23" s="15"/>
      <c r="YO23" s="15"/>
      <c r="YP23" s="15"/>
      <c r="YQ23" s="15"/>
      <c r="YR23" s="15"/>
      <c r="YS23" s="15"/>
      <c r="YT23" s="15"/>
      <c r="YU23" s="15"/>
      <c r="YV23" s="15"/>
      <c r="YW23" s="15"/>
      <c r="YX23" s="15"/>
      <c r="YY23" s="15"/>
      <c r="YZ23" s="15"/>
      <c r="ZA23" s="15"/>
      <c r="ZB23" s="15"/>
      <c r="ZC23" s="15"/>
      <c r="ZD23" s="15"/>
      <c r="ZE23" s="15"/>
      <c r="ZF23" s="15"/>
      <c r="ZG23" s="15"/>
      <c r="ZH23" s="15"/>
      <c r="ZI23" s="15"/>
      <c r="ZJ23" s="15"/>
      <c r="ZK23" s="15"/>
      <c r="ZL23" s="15"/>
      <c r="ZM23" s="15"/>
      <c r="ZN23" s="15"/>
      <c r="ZO23" s="15"/>
      <c r="ZP23" s="15"/>
      <c r="ZQ23" s="15"/>
      <c r="ZR23" s="15"/>
      <c r="ZS23" s="15"/>
      <c r="ZT23" s="15"/>
      <c r="ZU23" s="15"/>
      <c r="ZV23" s="15"/>
      <c r="ZW23" s="15"/>
      <c r="ZX23" s="15"/>
      <c r="ZY23" s="15"/>
      <c r="ZZ23" s="15"/>
      <c r="AAA23" s="15"/>
      <c r="AAB23" s="15"/>
      <c r="AAC23" s="15"/>
      <c r="AAD23" s="15"/>
      <c r="AAE23" s="15"/>
      <c r="AAF23" s="15"/>
      <c r="AAG23" s="15"/>
      <c r="AAH23" s="15"/>
      <c r="AAI23" s="15"/>
      <c r="AAJ23" s="15"/>
      <c r="AAK23" s="15"/>
      <c r="AAL23" s="15"/>
      <c r="AAM23" s="15"/>
      <c r="AAN23" s="15"/>
      <c r="AAO23" s="15"/>
      <c r="AAP23" s="15"/>
      <c r="AAQ23" s="15"/>
      <c r="AAR23" s="15"/>
      <c r="AAS23" s="15"/>
      <c r="AAT23" s="15"/>
      <c r="AAU23" s="15"/>
      <c r="AAV23" s="15"/>
      <c r="AAW23" s="15"/>
      <c r="AAX23" s="15"/>
      <c r="AAY23" s="15"/>
      <c r="AAZ23" s="15"/>
      <c r="ABA23" s="15"/>
      <c r="ABB23" s="15"/>
      <c r="ABC23" s="15"/>
      <c r="ABD23" s="15"/>
      <c r="ABE23" s="15"/>
      <c r="ABF23" s="15"/>
      <c r="ABG23" s="15"/>
      <c r="ABH23" s="15"/>
      <c r="ABI23" s="15"/>
      <c r="ABJ23" s="15"/>
      <c r="ABK23" s="15"/>
      <c r="ABL23" s="15"/>
      <c r="ABM23" s="15"/>
      <c r="ABN23" s="15"/>
      <c r="ABO23" s="15"/>
      <c r="ABP23" s="15"/>
      <c r="ABQ23" s="15"/>
      <c r="ABR23" s="15"/>
      <c r="ABS23" s="15"/>
      <c r="ABT23" s="15"/>
      <c r="ABU23" s="15"/>
      <c r="ABV23" s="15"/>
      <c r="ABW23" s="15"/>
      <c r="ABX23" s="15"/>
      <c r="ABY23" s="15"/>
      <c r="ABZ23" s="15"/>
      <c r="ACA23" s="15"/>
      <c r="ACB23" s="15"/>
      <c r="ACC23" s="15"/>
      <c r="ACD23" s="15"/>
      <c r="ACE23" s="15"/>
      <c r="ACF23" s="15"/>
      <c r="ACG23" s="15"/>
      <c r="ACH23" s="15"/>
      <c r="ACI23" s="15"/>
      <c r="ACJ23" s="15"/>
      <c r="ACK23" s="15"/>
      <c r="ACL23" s="15"/>
      <c r="ACM23" s="15"/>
      <c r="ACN23" s="15"/>
      <c r="ACO23" s="15"/>
      <c r="ACP23" s="15"/>
      <c r="ACQ23" s="15"/>
      <c r="ACR23" s="15"/>
      <c r="ACS23" s="15"/>
      <c r="ACT23" s="15"/>
      <c r="ACU23" s="15"/>
      <c r="ACV23" s="15"/>
      <c r="ACW23" s="15"/>
      <c r="ACX23" s="15"/>
      <c r="ACY23" s="15"/>
      <c r="ACZ23" s="15"/>
      <c r="ADA23" s="15"/>
      <c r="ADB23" s="15"/>
      <c r="ADC23" s="15"/>
      <c r="ADD23" s="15"/>
      <c r="ADE23" s="15"/>
      <c r="ADF23" s="15"/>
      <c r="ADG23" s="15"/>
      <c r="ADH23" s="15"/>
      <c r="ADI23" s="15"/>
      <c r="ADJ23" s="15"/>
      <c r="ADK23" s="15"/>
      <c r="ADL23" s="15"/>
      <c r="ADM23" s="15"/>
      <c r="ADN23" s="15"/>
      <c r="ADO23" s="15"/>
      <c r="ADP23" s="15"/>
      <c r="ADQ23" s="15"/>
      <c r="ADR23" s="15"/>
      <c r="ADS23" s="15"/>
      <c r="ADT23" s="15"/>
      <c r="ADU23" s="15"/>
      <c r="ADV23" s="15"/>
      <c r="ADW23" s="15"/>
      <c r="ADX23" s="15"/>
      <c r="ADY23" s="15"/>
      <c r="ADZ23" s="15"/>
      <c r="AEA23" s="15"/>
      <c r="AEB23" s="15"/>
      <c r="AEC23" s="15"/>
      <c r="AED23" s="15"/>
      <c r="AEE23" s="15"/>
      <c r="AEF23" s="15"/>
      <c r="AEG23" s="15"/>
      <c r="AEH23" s="15"/>
      <c r="AEI23" s="15"/>
      <c r="AEJ23" s="15"/>
      <c r="AEK23" s="15"/>
      <c r="AEL23" s="15"/>
      <c r="AEM23" s="15"/>
      <c r="AEN23" s="15"/>
      <c r="AEO23" s="15"/>
      <c r="AEP23" s="15"/>
      <c r="AEQ23" s="15"/>
      <c r="AER23" s="15"/>
      <c r="AES23" s="15"/>
      <c r="AET23" s="15"/>
      <c r="AEU23" s="15"/>
      <c r="AEV23" s="15"/>
      <c r="AEW23" s="15"/>
      <c r="AEX23" s="15"/>
      <c r="AEY23" s="15"/>
      <c r="AEZ23" s="15"/>
      <c r="AFA23" s="15"/>
      <c r="AFB23" s="15"/>
      <c r="AFC23" s="15"/>
      <c r="AFD23" s="15"/>
      <c r="AFE23" s="15"/>
      <c r="AFF23" s="15"/>
      <c r="AFG23" s="15"/>
      <c r="AFH23" s="15"/>
      <c r="AFI23" s="15"/>
      <c r="AFJ23" s="15"/>
      <c r="AFK23" s="15"/>
      <c r="AFL23" s="15"/>
      <c r="AFM23" s="15"/>
      <c r="AFN23" s="15"/>
      <c r="AFO23" s="15"/>
      <c r="AFP23" s="15"/>
      <c r="AFQ23" s="15"/>
      <c r="AFR23" s="15"/>
      <c r="AFS23" s="15"/>
      <c r="AFT23" s="15"/>
      <c r="AFU23" s="15"/>
      <c r="AFV23" s="15"/>
      <c r="AFW23" s="15"/>
      <c r="AFX23" s="15"/>
      <c r="AFY23" s="15"/>
      <c r="AFZ23" s="15"/>
      <c r="AGA23" s="15"/>
      <c r="AGB23" s="15"/>
      <c r="AGC23" s="15"/>
      <c r="AGD23" s="15"/>
      <c r="AGE23" s="15"/>
      <c r="AGF23" s="15"/>
      <c r="AGG23" s="15"/>
      <c r="AGH23" s="15"/>
      <c r="AGI23" s="15"/>
      <c r="AGJ23" s="15"/>
      <c r="AGK23" s="15"/>
      <c r="AGL23" s="15"/>
      <c r="AGM23" s="15"/>
      <c r="AGN23" s="15"/>
      <c r="AGO23" s="15"/>
      <c r="AGP23" s="15"/>
      <c r="AGQ23" s="15"/>
      <c r="AGR23" s="15"/>
      <c r="AGS23" s="15"/>
      <c r="AGT23" s="15"/>
      <c r="AGU23" s="15"/>
      <c r="AGV23" s="15"/>
      <c r="AGW23" s="15"/>
      <c r="AGX23" s="15"/>
      <c r="AGY23" s="15"/>
      <c r="AGZ23" s="15"/>
      <c r="AHA23" s="15"/>
      <c r="AHB23" s="15"/>
      <c r="AHC23" s="15"/>
      <c r="AHD23" s="15"/>
      <c r="AHE23" s="15"/>
      <c r="AHF23" s="15"/>
      <c r="AHG23" s="15"/>
      <c r="AHH23" s="15"/>
      <c r="AHI23" s="15"/>
      <c r="AHJ23" s="15"/>
      <c r="AHK23" s="15"/>
      <c r="AHL23" s="15"/>
      <c r="AHM23" s="15"/>
      <c r="AHN23" s="15"/>
      <c r="AHO23" s="15"/>
      <c r="AHP23" s="15"/>
      <c r="AHQ23" s="15"/>
      <c r="AHR23" s="15"/>
      <c r="AHS23" s="15"/>
      <c r="AHT23" s="15"/>
      <c r="AHU23" s="15"/>
      <c r="AHV23" s="15"/>
      <c r="AHW23" s="15"/>
      <c r="AHX23" s="15"/>
      <c r="AHY23" s="15"/>
      <c r="AHZ23" s="15"/>
      <c r="AIA23" s="15"/>
      <c r="AIB23" s="15"/>
      <c r="AIC23" s="15"/>
      <c r="AID23" s="15"/>
      <c r="AIE23" s="15"/>
      <c r="AIF23" s="15"/>
      <c r="AIG23" s="15"/>
      <c r="AIH23" s="15"/>
      <c r="AII23" s="15"/>
      <c r="AIJ23" s="15"/>
      <c r="AIK23" s="15"/>
      <c r="AIL23" s="15"/>
      <c r="AIM23" s="15"/>
      <c r="AIN23" s="15"/>
      <c r="AIO23" s="15"/>
      <c r="AIP23" s="15"/>
      <c r="AIQ23" s="15"/>
      <c r="AIR23" s="15"/>
      <c r="AIS23" s="15"/>
      <c r="AIT23" s="15"/>
      <c r="AIU23" s="15"/>
      <c r="AIV23" s="15"/>
      <c r="AIW23" s="15"/>
      <c r="AIX23" s="15"/>
      <c r="AIY23" s="15"/>
      <c r="AIZ23" s="15"/>
      <c r="AJA23" s="15"/>
      <c r="AJB23" s="15"/>
      <c r="AJC23" s="15"/>
      <c r="AJD23" s="15"/>
      <c r="AJE23" s="15"/>
      <c r="AJF23" s="15"/>
      <c r="AJG23" s="15"/>
      <c r="AJH23" s="15"/>
      <c r="AJI23" s="15"/>
      <c r="AJJ23" s="15"/>
      <c r="AJK23" s="15"/>
      <c r="AJL23" s="15"/>
      <c r="AJM23" s="15"/>
      <c r="AJN23" s="15"/>
      <c r="AJO23" s="15"/>
      <c r="AJP23" s="15"/>
      <c r="AJQ23" s="15"/>
      <c r="AJR23" s="15"/>
      <c r="AJS23" s="15"/>
      <c r="AJT23" s="15"/>
      <c r="AJU23" s="15"/>
      <c r="AJV23" s="15"/>
      <c r="AJW23" s="15"/>
      <c r="AJX23" s="15"/>
      <c r="AJY23" s="15"/>
      <c r="AJZ23" s="15"/>
      <c r="AKA23" s="15"/>
      <c r="AKB23" s="15"/>
      <c r="AKC23" s="15"/>
      <c r="AKD23" s="15"/>
      <c r="AKE23" s="15"/>
      <c r="AKF23" s="15"/>
      <c r="AKG23" s="15"/>
      <c r="AKH23" s="15"/>
      <c r="AKI23" s="15"/>
      <c r="AKJ23" s="15"/>
      <c r="AKK23" s="15"/>
      <c r="AKL23" s="15"/>
      <c r="AKM23" s="15"/>
      <c r="AKN23" s="15"/>
      <c r="AKO23" s="15"/>
      <c r="AKP23" s="15"/>
      <c r="AKQ23" s="15"/>
      <c r="AKR23" s="15"/>
      <c r="AKS23" s="15"/>
      <c r="AKT23" s="15"/>
      <c r="AKU23" s="15"/>
      <c r="AKV23" s="15"/>
      <c r="AKW23" s="15"/>
      <c r="AKX23" s="15"/>
      <c r="AKY23" s="15"/>
      <c r="AKZ23" s="15"/>
      <c r="ALA23" s="15"/>
      <c r="ALB23" s="15"/>
      <c r="ALC23" s="15"/>
      <c r="ALD23" s="15"/>
      <c r="ALE23" s="15"/>
      <c r="ALF23" s="15"/>
      <c r="ALG23" s="15"/>
      <c r="ALH23" s="15"/>
      <c r="ALI23" s="15"/>
      <c r="ALJ23" s="15"/>
      <c r="ALK23" s="15"/>
      <c r="ALL23" s="15"/>
      <c r="ALM23" s="15"/>
      <c r="ALN23" s="15"/>
      <c r="ALO23" s="15"/>
      <c r="ALP23" s="15"/>
      <c r="ALQ23" s="15"/>
      <c r="ALR23" s="15"/>
      <c r="ALS23" s="15"/>
      <c r="ALT23" s="15"/>
      <c r="ALU23" s="15"/>
      <c r="ALV23" s="15"/>
      <c r="ALW23" s="15"/>
      <c r="ALX23" s="15"/>
      <c r="ALY23" s="15"/>
      <c r="ALZ23" s="15"/>
      <c r="AMA23" s="15"/>
      <c r="AMB23" s="15"/>
      <c r="AMC23" s="15"/>
      <c r="AMD23" s="15"/>
      <c r="AME23" s="15"/>
      <c r="AMF23" s="15"/>
      <c r="AMG23" s="15"/>
      <c r="AMH23" s="15"/>
      <c r="AMI23" s="15"/>
      <c r="AMJ23" s="15"/>
      <c r="AMK23" s="15"/>
    </row>
    <row r="24" spans="1:1025" s="13" customFormat="1" x14ac:dyDescent="0.25">
      <c r="A24" s="13" t="s">
        <v>42</v>
      </c>
      <c r="B24" s="13">
        <v>2019</v>
      </c>
      <c r="C24" s="14">
        <v>6798000000</v>
      </c>
      <c r="D24" s="14"/>
      <c r="E24" s="14">
        <v>4362000000</v>
      </c>
      <c r="F24" s="14">
        <v>32184000000</v>
      </c>
      <c r="G24" s="14">
        <f t="shared" si="11"/>
        <v>36546000000</v>
      </c>
      <c r="H24" s="14">
        <v>24898000000</v>
      </c>
      <c r="I24" s="14">
        <f t="shared" si="12"/>
        <v>11648000000</v>
      </c>
      <c r="J24" s="14">
        <v>992968000000</v>
      </c>
      <c r="K24" s="14">
        <v>992968000000</v>
      </c>
      <c r="L24" s="14"/>
      <c r="M24" s="14" t="s">
        <v>43</v>
      </c>
      <c r="N24" s="14" t="s">
        <v>44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OT24" s="15"/>
      <c r="OU24" s="15"/>
      <c r="OV24" s="15"/>
      <c r="OW24" s="15"/>
      <c r="OX24" s="15"/>
      <c r="OY24" s="15"/>
      <c r="OZ24" s="15"/>
      <c r="PA24" s="15"/>
      <c r="PB24" s="15"/>
      <c r="PC24" s="15"/>
      <c r="PD24" s="15"/>
      <c r="PE24" s="15"/>
      <c r="PF24" s="15"/>
      <c r="PG24" s="15"/>
      <c r="PH24" s="15"/>
      <c r="PI24" s="15"/>
      <c r="PJ24" s="15"/>
      <c r="PK24" s="15"/>
      <c r="PL24" s="15"/>
      <c r="PM24" s="15"/>
      <c r="PN24" s="15"/>
      <c r="PO24" s="15"/>
      <c r="PP24" s="15"/>
      <c r="PQ24" s="15"/>
      <c r="PR24" s="15"/>
      <c r="PS24" s="15"/>
      <c r="PT24" s="15"/>
      <c r="PU24" s="15"/>
      <c r="PV24" s="15"/>
      <c r="PW24" s="15"/>
      <c r="PX24" s="15"/>
      <c r="PY24" s="15"/>
      <c r="PZ24" s="15"/>
      <c r="QA24" s="15"/>
      <c r="QB24" s="15"/>
      <c r="QC24" s="15"/>
      <c r="QD24" s="15"/>
      <c r="QE24" s="15"/>
      <c r="QF24" s="15"/>
      <c r="QG24" s="15"/>
      <c r="QH24" s="15"/>
      <c r="QI24" s="15"/>
      <c r="QJ24" s="15"/>
      <c r="QK24" s="15"/>
      <c r="QL24" s="15"/>
      <c r="QM24" s="15"/>
      <c r="QN24" s="15"/>
      <c r="QO24" s="15"/>
      <c r="QP24" s="15"/>
      <c r="QQ24" s="15"/>
      <c r="QR24" s="15"/>
      <c r="QS24" s="15"/>
      <c r="QT24" s="15"/>
      <c r="QU24" s="15"/>
      <c r="QV24" s="15"/>
      <c r="QW24" s="15"/>
      <c r="QX24" s="15"/>
      <c r="QY24" s="15"/>
      <c r="QZ24" s="15"/>
      <c r="RA24" s="15"/>
      <c r="RB24" s="15"/>
      <c r="RC24" s="15"/>
      <c r="RD24" s="15"/>
      <c r="RE24" s="15"/>
      <c r="RF24" s="15"/>
      <c r="RG24" s="15"/>
      <c r="RH24" s="15"/>
      <c r="RI24" s="15"/>
      <c r="RJ24" s="15"/>
      <c r="RK24" s="15"/>
      <c r="RL24" s="15"/>
      <c r="RM24" s="15"/>
      <c r="RN24" s="15"/>
      <c r="RO24" s="15"/>
      <c r="RP24" s="15"/>
      <c r="RQ24" s="15"/>
      <c r="RR24" s="15"/>
      <c r="RS24" s="15"/>
      <c r="RT24" s="15"/>
      <c r="RU24" s="15"/>
      <c r="RV24" s="15"/>
      <c r="RW24" s="15"/>
      <c r="RX24" s="15"/>
      <c r="RY24" s="15"/>
      <c r="RZ24" s="15"/>
      <c r="SA24" s="15"/>
      <c r="SB24" s="15"/>
      <c r="SC24" s="15"/>
      <c r="SD24" s="15"/>
      <c r="SE24" s="15"/>
      <c r="SF24" s="15"/>
      <c r="SG24" s="15"/>
      <c r="SH24" s="15"/>
      <c r="SI24" s="15"/>
      <c r="SJ24" s="15"/>
      <c r="SK24" s="15"/>
      <c r="SL24" s="15"/>
      <c r="SM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TB24" s="15"/>
      <c r="TC24" s="15"/>
      <c r="TD24" s="15"/>
      <c r="TE24" s="15"/>
      <c r="TF24" s="15"/>
      <c r="TG24" s="15"/>
      <c r="TH24" s="15"/>
      <c r="TI24" s="15"/>
      <c r="TJ24" s="15"/>
      <c r="TK24" s="15"/>
      <c r="TL24" s="15"/>
      <c r="TM24" s="15"/>
      <c r="TN24" s="15"/>
      <c r="TO24" s="15"/>
      <c r="TP24" s="15"/>
      <c r="TQ24" s="15"/>
      <c r="TR24" s="15"/>
      <c r="TS24" s="15"/>
      <c r="TT24" s="15"/>
      <c r="TU24" s="15"/>
      <c r="TV24" s="15"/>
      <c r="TW24" s="15"/>
      <c r="TX24" s="15"/>
      <c r="TY24" s="15"/>
      <c r="TZ24" s="15"/>
      <c r="UA24" s="15"/>
      <c r="UB24" s="15"/>
      <c r="UC24" s="15"/>
      <c r="UD24" s="15"/>
      <c r="UE24" s="15"/>
      <c r="UF24" s="15"/>
      <c r="UG24" s="15"/>
      <c r="UH24" s="15"/>
      <c r="UI24" s="15"/>
      <c r="UJ24" s="15"/>
      <c r="UK24" s="15"/>
      <c r="UL24" s="15"/>
      <c r="UM24" s="15"/>
      <c r="UN24" s="15"/>
      <c r="UO24" s="15"/>
      <c r="UP24" s="15"/>
      <c r="UQ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VF24" s="15"/>
      <c r="VG24" s="15"/>
      <c r="VH24" s="15"/>
      <c r="VI24" s="15"/>
      <c r="VJ24" s="15"/>
      <c r="VK24" s="15"/>
      <c r="VL24" s="15"/>
      <c r="VM24" s="15"/>
      <c r="VN24" s="15"/>
      <c r="VO24" s="15"/>
      <c r="VP24" s="15"/>
      <c r="VQ24" s="15"/>
      <c r="VR24" s="15"/>
      <c r="VS24" s="15"/>
      <c r="VT24" s="15"/>
      <c r="VU24" s="15"/>
      <c r="VV24" s="15"/>
      <c r="VW24" s="15"/>
      <c r="VX24" s="15"/>
      <c r="VY24" s="15"/>
      <c r="VZ24" s="15"/>
      <c r="WA24" s="15"/>
      <c r="WB24" s="15"/>
      <c r="WC24" s="15"/>
      <c r="WD24" s="15"/>
      <c r="WE24" s="15"/>
      <c r="WF24" s="15"/>
      <c r="WG24" s="15"/>
      <c r="WH24" s="15"/>
      <c r="WI24" s="15"/>
      <c r="WJ24" s="15"/>
      <c r="WK24" s="15"/>
      <c r="WL24" s="15"/>
      <c r="WM24" s="15"/>
      <c r="WN24" s="15"/>
      <c r="WO24" s="15"/>
      <c r="WP24" s="15"/>
      <c r="WQ24" s="15"/>
      <c r="WR24" s="15"/>
      <c r="WS24" s="15"/>
      <c r="WT24" s="15"/>
      <c r="WU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  <c r="XJ24" s="15"/>
      <c r="XK24" s="15"/>
      <c r="XL24" s="15"/>
      <c r="XM24" s="15"/>
      <c r="XN24" s="15"/>
      <c r="XO24" s="15"/>
      <c r="XP24" s="15"/>
      <c r="XQ24" s="15"/>
      <c r="XR24" s="15"/>
      <c r="XS24" s="15"/>
      <c r="XT24" s="15"/>
      <c r="XU24" s="15"/>
      <c r="XV24" s="15"/>
      <c r="XW24" s="15"/>
      <c r="XX24" s="15"/>
      <c r="XY24" s="15"/>
      <c r="XZ24" s="15"/>
      <c r="YA24" s="15"/>
      <c r="YB24" s="15"/>
      <c r="YC24" s="15"/>
      <c r="YD24" s="15"/>
      <c r="YE24" s="15"/>
      <c r="YF24" s="15"/>
      <c r="YG24" s="15"/>
      <c r="YH24" s="15"/>
      <c r="YI24" s="15"/>
      <c r="YJ24" s="15"/>
      <c r="YK24" s="15"/>
      <c r="YL24" s="15"/>
      <c r="YM24" s="15"/>
      <c r="YN24" s="15"/>
      <c r="YO24" s="15"/>
      <c r="YP24" s="15"/>
      <c r="YQ24" s="15"/>
      <c r="YR24" s="15"/>
      <c r="YS24" s="15"/>
      <c r="YT24" s="15"/>
      <c r="YU24" s="15"/>
      <c r="YV24" s="15"/>
      <c r="YW24" s="15"/>
      <c r="YX24" s="15"/>
      <c r="YY24" s="15"/>
      <c r="YZ24" s="15"/>
      <c r="ZA24" s="15"/>
      <c r="ZB24" s="15"/>
      <c r="ZC24" s="15"/>
      <c r="ZD24" s="15"/>
      <c r="ZE24" s="15"/>
      <c r="ZF24" s="15"/>
      <c r="ZG24" s="15"/>
      <c r="ZH24" s="15"/>
      <c r="ZI24" s="15"/>
      <c r="ZJ24" s="15"/>
      <c r="ZK24" s="15"/>
      <c r="ZL24" s="15"/>
      <c r="ZM24" s="15"/>
      <c r="ZN24" s="15"/>
      <c r="ZO24" s="15"/>
      <c r="ZP24" s="15"/>
      <c r="ZQ24" s="15"/>
      <c r="ZR24" s="15"/>
      <c r="ZS24" s="15"/>
      <c r="ZT24" s="15"/>
      <c r="ZU24" s="15"/>
      <c r="ZV24" s="15"/>
      <c r="ZW24" s="15"/>
      <c r="ZX24" s="15"/>
      <c r="ZY24" s="15"/>
      <c r="ZZ24" s="15"/>
      <c r="AAA24" s="15"/>
      <c r="AAB24" s="15"/>
      <c r="AAC24" s="15"/>
      <c r="AAD24" s="15"/>
      <c r="AAE24" s="15"/>
      <c r="AAF24" s="15"/>
      <c r="AAG24" s="15"/>
      <c r="AAH24" s="15"/>
      <c r="AAI24" s="15"/>
      <c r="AAJ24" s="15"/>
      <c r="AAK24" s="15"/>
      <c r="AAL24" s="15"/>
      <c r="AAM24" s="15"/>
      <c r="AAN24" s="15"/>
      <c r="AAO24" s="15"/>
      <c r="AAP24" s="15"/>
      <c r="AAQ24" s="15"/>
      <c r="AAR24" s="15"/>
      <c r="AAS24" s="15"/>
      <c r="AAT24" s="15"/>
      <c r="AAU24" s="15"/>
      <c r="AAV24" s="15"/>
      <c r="AAW24" s="15"/>
      <c r="AAX24" s="15"/>
      <c r="AAY24" s="15"/>
      <c r="AAZ24" s="15"/>
      <c r="ABA24" s="15"/>
      <c r="ABB24" s="15"/>
      <c r="ABC24" s="15"/>
      <c r="ABD24" s="15"/>
      <c r="ABE24" s="15"/>
      <c r="ABF24" s="15"/>
      <c r="ABG24" s="15"/>
      <c r="ABH24" s="15"/>
      <c r="ABI24" s="15"/>
      <c r="ABJ24" s="15"/>
      <c r="ABK24" s="15"/>
      <c r="ABL24" s="15"/>
      <c r="ABM24" s="15"/>
      <c r="ABN24" s="15"/>
      <c r="ABO24" s="15"/>
      <c r="ABP24" s="15"/>
      <c r="ABQ24" s="15"/>
      <c r="ABR24" s="15"/>
      <c r="ABS24" s="15"/>
      <c r="ABT24" s="15"/>
      <c r="ABU24" s="15"/>
      <c r="ABV24" s="15"/>
      <c r="ABW24" s="15"/>
      <c r="ABX24" s="15"/>
      <c r="ABY24" s="15"/>
      <c r="ABZ24" s="15"/>
      <c r="ACA24" s="15"/>
      <c r="ACB24" s="15"/>
      <c r="ACC24" s="15"/>
      <c r="ACD24" s="15"/>
      <c r="ACE24" s="15"/>
      <c r="ACF24" s="15"/>
      <c r="ACG24" s="15"/>
      <c r="ACH24" s="15"/>
      <c r="ACI24" s="15"/>
      <c r="ACJ24" s="15"/>
      <c r="ACK24" s="15"/>
      <c r="ACL24" s="15"/>
      <c r="ACM24" s="15"/>
      <c r="ACN24" s="15"/>
      <c r="ACO24" s="15"/>
      <c r="ACP24" s="15"/>
      <c r="ACQ24" s="15"/>
      <c r="ACR24" s="15"/>
      <c r="ACS24" s="15"/>
      <c r="ACT24" s="15"/>
      <c r="ACU24" s="15"/>
      <c r="ACV24" s="15"/>
      <c r="ACW24" s="15"/>
      <c r="ACX24" s="15"/>
      <c r="ACY24" s="15"/>
      <c r="ACZ24" s="15"/>
      <c r="ADA24" s="15"/>
      <c r="ADB24" s="15"/>
      <c r="ADC24" s="15"/>
      <c r="ADD24" s="15"/>
      <c r="ADE24" s="15"/>
      <c r="ADF24" s="15"/>
      <c r="ADG24" s="15"/>
      <c r="ADH24" s="15"/>
      <c r="ADI24" s="15"/>
      <c r="ADJ24" s="15"/>
      <c r="ADK24" s="15"/>
      <c r="ADL24" s="15"/>
      <c r="ADM24" s="15"/>
      <c r="ADN24" s="15"/>
      <c r="ADO24" s="15"/>
      <c r="ADP24" s="15"/>
      <c r="ADQ24" s="15"/>
      <c r="ADR24" s="15"/>
      <c r="ADS24" s="15"/>
      <c r="ADT24" s="15"/>
      <c r="ADU24" s="15"/>
      <c r="ADV24" s="15"/>
      <c r="ADW24" s="15"/>
      <c r="ADX24" s="15"/>
      <c r="ADY24" s="15"/>
      <c r="ADZ24" s="15"/>
      <c r="AEA24" s="15"/>
      <c r="AEB24" s="15"/>
      <c r="AEC24" s="15"/>
      <c r="AED24" s="15"/>
      <c r="AEE24" s="15"/>
      <c r="AEF24" s="15"/>
      <c r="AEG24" s="15"/>
      <c r="AEH24" s="15"/>
      <c r="AEI24" s="15"/>
      <c r="AEJ24" s="15"/>
      <c r="AEK24" s="15"/>
      <c r="AEL24" s="15"/>
      <c r="AEM24" s="15"/>
      <c r="AEN24" s="15"/>
      <c r="AEO24" s="15"/>
      <c r="AEP24" s="15"/>
      <c r="AEQ24" s="15"/>
      <c r="AER24" s="15"/>
      <c r="AES24" s="15"/>
      <c r="AET24" s="15"/>
      <c r="AEU24" s="15"/>
      <c r="AEV24" s="15"/>
      <c r="AEW24" s="15"/>
      <c r="AEX24" s="15"/>
      <c r="AEY24" s="15"/>
      <c r="AEZ24" s="15"/>
      <c r="AFA24" s="15"/>
      <c r="AFB24" s="15"/>
      <c r="AFC24" s="15"/>
      <c r="AFD24" s="15"/>
      <c r="AFE24" s="15"/>
      <c r="AFF24" s="15"/>
      <c r="AFG24" s="15"/>
      <c r="AFH24" s="15"/>
      <c r="AFI24" s="15"/>
      <c r="AFJ24" s="15"/>
      <c r="AFK24" s="15"/>
      <c r="AFL24" s="15"/>
      <c r="AFM24" s="15"/>
      <c r="AFN24" s="15"/>
      <c r="AFO24" s="15"/>
      <c r="AFP24" s="15"/>
      <c r="AFQ24" s="15"/>
      <c r="AFR24" s="15"/>
      <c r="AFS24" s="15"/>
      <c r="AFT24" s="15"/>
      <c r="AFU24" s="15"/>
      <c r="AFV24" s="15"/>
      <c r="AFW24" s="15"/>
      <c r="AFX24" s="15"/>
      <c r="AFY24" s="15"/>
      <c r="AFZ24" s="15"/>
      <c r="AGA24" s="15"/>
      <c r="AGB24" s="15"/>
      <c r="AGC24" s="15"/>
      <c r="AGD24" s="15"/>
      <c r="AGE24" s="15"/>
      <c r="AGF24" s="15"/>
      <c r="AGG24" s="15"/>
      <c r="AGH24" s="15"/>
      <c r="AGI24" s="15"/>
      <c r="AGJ24" s="15"/>
      <c r="AGK24" s="15"/>
      <c r="AGL24" s="15"/>
      <c r="AGM24" s="15"/>
      <c r="AGN24" s="15"/>
      <c r="AGO24" s="15"/>
      <c r="AGP24" s="15"/>
      <c r="AGQ24" s="15"/>
      <c r="AGR24" s="15"/>
      <c r="AGS24" s="15"/>
      <c r="AGT24" s="15"/>
      <c r="AGU24" s="15"/>
      <c r="AGV24" s="15"/>
      <c r="AGW24" s="15"/>
      <c r="AGX24" s="15"/>
      <c r="AGY24" s="15"/>
      <c r="AGZ24" s="15"/>
      <c r="AHA24" s="15"/>
      <c r="AHB24" s="15"/>
      <c r="AHC24" s="15"/>
      <c r="AHD24" s="15"/>
      <c r="AHE24" s="15"/>
      <c r="AHF24" s="15"/>
      <c r="AHG24" s="15"/>
      <c r="AHH24" s="15"/>
      <c r="AHI24" s="15"/>
      <c r="AHJ24" s="15"/>
      <c r="AHK24" s="15"/>
      <c r="AHL24" s="15"/>
      <c r="AHM24" s="15"/>
      <c r="AHN24" s="15"/>
      <c r="AHO24" s="15"/>
      <c r="AHP24" s="15"/>
      <c r="AHQ24" s="15"/>
      <c r="AHR24" s="15"/>
      <c r="AHS24" s="15"/>
      <c r="AHT24" s="15"/>
      <c r="AHU24" s="15"/>
      <c r="AHV24" s="15"/>
      <c r="AHW24" s="15"/>
      <c r="AHX24" s="15"/>
      <c r="AHY24" s="15"/>
      <c r="AHZ24" s="15"/>
      <c r="AIA24" s="15"/>
      <c r="AIB24" s="15"/>
      <c r="AIC24" s="15"/>
      <c r="AID24" s="15"/>
      <c r="AIE24" s="15"/>
      <c r="AIF24" s="15"/>
      <c r="AIG24" s="15"/>
      <c r="AIH24" s="15"/>
      <c r="AII24" s="15"/>
      <c r="AIJ24" s="15"/>
      <c r="AIK24" s="15"/>
      <c r="AIL24" s="15"/>
      <c r="AIM24" s="15"/>
      <c r="AIN24" s="15"/>
      <c r="AIO24" s="15"/>
      <c r="AIP24" s="15"/>
      <c r="AIQ24" s="15"/>
      <c r="AIR24" s="15"/>
      <c r="AIS24" s="15"/>
      <c r="AIT24" s="15"/>
      <c r="AIU24" s="15"/>
      <c r="AIV24" s="15"/>
      <c r="AIW24" s="15"/>
      <c r="AIX24" s="15"/>
      <c r="AIY24" s="15"/>
      <c r="AIZ24" s="15"/>
      <c r="AJA24" s="15"/>
      <c r="AJB24" s="15"/>
      <c r="AJC24" s="15"/>
      <c r="AJD24" s="15"/>
      <c r="AJE24" s="15"/>
      <c r="AJF24" s="15"/>
      <c r="AJG24" s="15"/>
      <c r="AJH24" s="15"/>
      <c r="AJI24" s="15"/>
      <c r="AJJ24" s="15"/>
      <c r="AJK24" s="15"/>
      <c r="AJL24" s="15"/>
      <c r="AJM24" s="15"/>
      <c r="AJN24" s="15"/>
      <c r="AJO24" s="15"/>
      <c r="AJP24" s="15"/>
      <c r="AJQ24" s="15"/>
      <c r="AJR24" s="15"/>
      <c r="AJS24" s="15"/>
      <c r="AJT24" s="15"/>
      <c r="AJU24" s="15"/>
      <c r="AJV24" s="15"/>
      <c r="AJW24" s="15"/>
      <c r="AJX24" s="15"/>
      <c r="AJY24" s="15"/>
      <c r="AJZ24" s="15"/>
      <c r="AKA24" s="15"/>
      <c r="AKB24" s="15"/>
      <c r="AKC24" s="15"/>
      <c r="AKD24" s="15"/>
      <c r="AKE24" s="15"/>
      <c r="AKF24" s="15"/>
      <c r="AKG24" s="15"/>
      <c r="AKH24" s="15"/>
      <c r="AKI24" s="15"/>
      <c r="AKJ24" s="15"/>
      <c r="AKK24" s="15"/>
      <c r="AKL24" s="15"/>
      <c r="AKM24" s="15"/>
      <c r="AKN24" s="15"/>
      <c r="AKO24" s="15"/>
      <c r="AKP24" s="15"/>
      <c r="AKQ24" s="15"/>
      <c r="AKR24" s="15"/>
      <c r="AKS24" s="15"/>
      <c r="AKT24" s="15"/>
      <c r="AKU24" s="15"/>
      <c r="AKV24" s="15"/>
      <c r="AKW24" s="15"/>
      <c r="AKX24" s="15"/>
      <c r="AKY24" s="15"/>
      <c r="AKZ24" s="15"/>
      <c r="ALA24" s="15"/>
      <c r="ALB24" s="15"/>
      <c r="ALC24" s="15"/>
      <c r="ALD24" s="15"/>
      <c r="ALE24" s="15"/>
      <c r="ALF24" s="15"/>
      <c r="ALG24" s="15"/>
      <c r="ALH24" s="15"/>
      <c r="ALI24" s="15"/>
      <c r="ALJ24" s="15"/>
      <c r="ALK24" s="15"/>
      <c r="ALL24" s="15"/>
      <c r="ALM24" s="15"/>
      <c r="ALN24" s="15"/>
      <c r="ALO24" s="15"/>
      <c r="ALP24" s="15"/>
      <c r="ALQ24" s="15"/>
      <c r="ALR24" s="15"/>
      <c r="ALS24" s="15"/>
      <c r="ALT24" s="15"/>
      <c r="ALU24" s="15"/>
      <c r="ALV24" s="15"/>
      <c r="ALW24" s="15"/>
      <c r="ALX24" s="15"/>
      <c r="ALY24" s="15"/>
      <c r="ALZ24" s="15"/>
      <c r="AMA24" s="15"/>
      <c r="AMB24" s="15"/>
      <c r="AMC24" s="15"/>
      <c r="AMD24" s="15"/>
      <c r="AME24" s="15"/>
      <c r="AMF24" s="15"/>
      <c r="AMG24" s="15"/>
      <c r="AMH24" s="15"/>
      <c r="AMI24" s="15"/>
      <c r="AMJ24" s="15"/>
      <c r="AMK24" s="15"/>
    </row>
    <row r="25" spans="1:1025" s="13" customFormat="1" x14ac:dyDescent="0.25">
      <c r="A25" s="13" t="s">
        <v>42</v>
      </c>
      <c r="B25" s="13">
        <v>2018</v>
      </c>
      <c r="C25" s="14">
        <v>7430000000</v>
      </c>
      <c r="D25" s="14"/>
      <c r="E25" s="14">
        <v>4362000000</v>
      </c>
      <c r="F25" s="14">
        <v>32849000000</v>
      </c>
      <c r="G25" s="14">
        <f t="shared" si="11"/>
        <v>37211000000</v>
      </c>
      <c r="H25" s="14">
        <v>23461000000</v>
      </c>
      <c r="I25" s="14">
        <f t="shared" si="12"/>
        <v>13750000000</v>
      </c>
      <c r="J25" s="14">
        <v>931796000000</v>
      </c>
      <c r="K25" s="14">
        <v>931796000000</v>
      </c>
      <c r="L25" s="14"/>
      <c r="M25" s="14" t="s">
        <v>43</v>
      </c>
      <c r="N25" s="14" t="s">
        <v>44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15"/>
      <c r="PC25" s="15"/>
      <c r="PD25" s="15"/>
      <c r="PE25" s="15"/>
      <c r="PF25" s="15"/>
      <c r="PG25" s="15"/>
      <c r="PH25" s="15"/>
      <c r="PI25" s="15"/>
      <c r="PJ25" s="15"/>
      <c r="PK25" s="15"/>
      <c r="PL25" s="15"/>
      <c r="PM25" s="15"/>
      <c r="PN25" s="15"/>
      <c r="PO25" s="15"/>
      <c r="PP25" s="15"/>
      <c r="PQ25" s="15"/>
      <c r="PR25" s="15"/>
      <c r="PS25" s="15"/>
      <c r="PT25" s="15"/>
      <c r="PU25" s="15"/>
      <c r="PV25" s="15"/>
      <c r="PW25" s="15"/>
      <c r="PX25" s="15"/>
      <c r="PY25" s="15"/>
      <c r="PZ25" s="15"/>
      <c r="QA25" s="15"/>
      <c r="QB25" s="15"/>
      <c r="QC25" s="15"/>
      <c r="QD25" s="15"/>
      <c r="QE25" s="15"/>
      <c r="QF25" s="15"/>
      <c r="QG25" s="15"/>
      <c r="QH25" s="15"/>
      <c r="QI25" s="15"/>
      <c r="QJ25" s="15"/>
      <c r="QK25" s="15"/>
      <c r="QL25" s="15"/>
      <c r="QM25" s="15"/>
      <c r="QN25" s="15"/>
      <c r="QO25" s="15"/>
      <c r="QP25" s="15"/>
      <c r="QQ25" s="15"/>
      <c r="QR25" s="15"/>
      <c r="QS25" s="15"/>
      <c r="QT25" s="15"/>
      <c r="QU25" s="15"/>
      <c r="QV25" s="15"/>
      <c r="QW25" s="15"/>
      <c r="QX25" s="15"/>
      <c r="QY25" s="15"/>
      <c r="QZ25" s="15"/>
      <c r="RA25" s="15"/>
      <c r="RB25" s="15"/>
      <c r="RC25" s="15"/>
      <c r="RD25" s="15"/>
      <c r="RE25" s="15"/>
      <c r="RF25" s="15"/>
      <c r="RG25" s="15"/>
      <c r="RH25" s="15"/>
      <c r="RI25" s="15"/>
      <c r="RJ25" s="15"/>
      <c r="RK25" s="15"/>
      <c r="RL25" s="15"/>
      <c r="RM25" s="15"/>
      <c r="RN25" s="15"/>
      <c r="RO25" s="15"/>
      <c r="RP25" s="15"/>
      <c r="RQ25" s="15"/>
      <c r="RR25" s="15"/>
      <c r="RS25" s="15"/>
      <c r="RT25" s="15"/>
      <c r="RU25" s="15"/>
      <c r="RV25" s="15"/>
      <c r="RW25" s="15"/>
      <c r="RX25" s="15"/>
      <c r="RY25" s="15"/>
      <c r="RZ25" s="15"/>
      <c r="SA25" s="15"/>
      <c r="SB25" s="15"/>
      <c r="SC25" s="15"/>
      <c r="SD25" s="15"/>
      <c r="SE25" s="15"/>
      <c r="SF25" s="15"/>
      <c r="SG25" s="15"/>
      <c r="SH25" s="15"/>
      <c r="SI25" s="15"/>
      <c r="SJ25" s="15"/>
      <c r="SK25" s="15"/>
      <c r="SL25" s="15"/>
      <c r="SM25" s="15"/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TB25" s="15"/>
      <c r="TC25" s="15"/>
      <c r="TD25" s="15"/>
      <c r="TE25" s="15"/>
      <c r="TF25" s="15"/>
      <c r="TG25" s="15"/>
      <c r="TH25" s="15"/>
      <c r="TI25" s="15"/>
      <c r="TJ25" s="15"/>
      <c r="TK25" s="15"/>
      <c r="TL25" s="15"/>
      <c r="TM25" s="15"/>
      <c r="TN25" s="15"/>
      <c r="TO25" s="15"/>
      <c r="TP25" s="15"/>
      <c r="TQ25" s="15"/>
      <c r="TR25" s="15"/>
      <c r="TS25" s="15"/>
      <c r="TT25" s="15"/>
      <c r="TU25" s="15"/>
      <c r="TV25" s="15"/>
      <c r="TW25" s="15"/>
      <c r="TX25" s="15"/>
      <c r="TY25" s="15"/>
      <c r="TZ25" s="15"/>
      <c r="UA25" s="15"/>
      <c r="UB25" s="15"/>
      <c r="UC25" s="15"/>
      <c r="UD25" s="15"/>
      <c r="UE25" s="15"/>
      <c r="UF25" s="15"/>
      <c r="UG25" s="15"/>
      <c r="UH25" s="15"/>
      <c r="UI25" s="15"/>
      <c r="UJ25" s="15"/>
      <c r="UK25" s="15"/>
      <c r="UL25" s="15"/>
      <c r="UM25" s="15"/>
      <c r="UN25" s="15"/>
      <c r="UO25" s="15"/>
      <c r="UP25" s="15"/>
      <c r="UQ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VF25" s="15"/>
      <c r="VG25" s="15"/>
      <c r="VH25" s="15"/>
      <c r="VI25" s="15"/>
      <c r="VJ25" s="15"/>
      <c r="VK25" s="15"/>
      <c r="VL25" s="15"/>
      <c r="VM25" s="15"/>
      <c r="VN25" s="15"/>
      <c r="VO25" s="15"/>
      <c r="VP25" s="15"/>
      <c r="VQ25" s="15"/>
      <c r="VR25" s="15"/>
      <c r="VS25" s="15"/>
      <c r="VT25" s="15"/>
      <c r="VU25" s="15"/>
      <c r="VV25" s="15"/>
      <c r="VW25" s="15"/>
      <c r="VX25" s="15"/>
      <c r="VY25" s="15"/>
      <c r="VZ25" s="15"/>
      <c r="WA25" s="15"/>
      <c r="WB25" s="15"/>
      <c r="WC25" s="15"/>
      <c r="WD25" s="15"/>
      <c r="WE25" s="15"/>
      <c r="WF25" s="15"/>
      <c r="WG25" s="15"/>
      <c r="WH25" s="15"/>
      <c r="WI25" s="15"/>
      <c r="WJ25" s="15"/>
      <c r="WK25" s="15"/>
      <c r="WL25" s="15"/>
      <c r="WM25" s="15"/>
      <c r="WN25" s="15"/>
      <c r="WO25" s="15"/>
      <c r="WP25" s="15"/>
      <c r="WQ25" s="15"/>
      <c r="WR25" s="15"/>
      <c r="WS25" s="15"/>
      <c r="WT25" s="15"/>
      <c r="WU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  <c r="XJ25" s="15"/>
      <c r="XK25" s="15"/>
      <c r="XL25" s="15"/>
      <c r="XM25" s="15"/>
      <c r="XN25" s="15"/>
      <c r="XO25" s="15"/>
      <c r="XP25" s="15"/>
      <c r="XQ25" s="15"/>
      <c r="XR25" s="15"/>
      <c r="XS25" s="15"/>
      <c r="XT25" s="15"/>
      <c r="XU25" s="15"/>
      <c r="XV25" s="15"/>
      <c r="XW25" s="15"/>
      <c r="XX25" s="15"/>
      <c r="XY25" s="15"/>
      <c r="XZ25" s="15"/>
      <c r="YA25" s="15"/>
      <c r="YB25" s="15"/>
      <c r="YC25" s="15"/>
      <c r="YD25" s="15"/>
      <c r="YE25" s="15"/>
      <c r="YF25" s="15"/>
      <c r="YG25" s="15"/>
      <c r="YH25" s="15"/>
      <c r="YI25" s="15"/>
      <c r="YJ25" s="15"/>
      <c r="YK25" s="15"/>
      <c r="YL25" s="15"/>
      <c r="YM25" s="15"/>
      <c r="YN25" s="15"/>
      <c r="YO25" s="15"/>
      <c r="YP25" s="15"/>
      <c r="YQ25" s="15"/>
      <c r="YR25" s="15"/>
      <c r="YS25" s="15"/>
      <c r="YT25" s="15"/>
      <c r="YU25" s="15"/>
      <c r="YV25" s="15"/>
      <c r="YW25" s="15"/>
      <c r="YX25" s="15"/>
      <c r="YY25" s="15"/>
      <c r="YZ25" s="15"/>
      <c r="ZA25" s="15"/>
      <c r="ZB25" s="15"/>
      <c r="ZC25" s="15"/>
      <c r="ZD25" s="15"/>
      <c r="ZE25" s="15"/>
      <c r="ZF25" s="15"/>
      <c r="ZG25" s="15"/>
      <c r="ZH25" s="15"/>
      <c r="ZI25" s="15"/>
      <c r="ZJ25" s="15"/>
      <c r="ZK25" s="15"/>
      <c r="ZL25" s="15"/>
      <c r="ZM25" s="15"/>
      <c r="ZN25" s="15"/>
      <c r="ZO25" s="15"/>
      <c r="ZP25" s="15"/>
      <c r="ZQ25" s="15"/>
      <c r="ZR25" s="15"/>
      <c r="ZS25" s="15"/>
      <c r="ZT25" s="15"/>
      <c r="ZU25" s="15"/>
      <c r="ZV25" s="15"/>
      <c r="ZW25" s="15"/>
      <c r="ZX25" s="15"/>
      <c r="ZY25" s="15"/>
      <c r="ZZ25" s="15"/>
      <c r="AAA25" s="15"/>
      <c r="AAB25" s="15"/>
      <c r="AAC25" s="15"/>
      <c r="AAD25" s="15"/>
      <c r="AAE25" s="15"/>
      <c r="AAF25" s="15"/>
      <c r="AAG25" s="15"/>
      <c r="AAH25" s="15"/>
      <c r="AAI25" s="15"/>
      <c r="AAJ25" s="15"/>
      <c r="AAK25" s="15"/>
      <c r="AAL25" s="15"/>
      <c r="AAM25" s="15"/>
      <c r="AAN25" s="15"/>
      <c r="AAO25" s="15"/>
      <c r="AAP25" s="15"/>
      <c r="AAQ25" s="15"/>
      <c r="AAR25" s="15"/>
      <c r="AAS25" s="15"/>
      <c r="AAT25" s="15"/>
      <c r="AAU25" s="15"/>
      <c r="AAV25" s="15"/>
      <c r="AAW25" s="15"/>
      <c r="AAX25" s="15"/>
      <c r="AAY25" s="15"/>
      <c r="AAZ25" s="15"/>
      <c r="ABA25" s="15"/>
      <c r="ABB25" s="15"/>
      <c r="ABC25" s="15"/>
      <c r="ABD25" s="15"/>
      <c r="ABE25" s="15"/>
      <c r="ABF25" s="15"/>
      <c r="ABG25" s="15"/>
      <c r="ABH25" s="15"/>
      <c r="ABI25" s="15"/>
      <c r="ABJ25" s="15"/>
      <c r="ABK25" s="15"/>
      <c r="ABL25" s="15"/>
      <c r="ABM25" s="15"/>
      <c r="ABN25" s="15"/>
      <c r="ABO25" s="15"/>
      <c r="ABP25" s="15"/>
      <c r="ABQ25" s="15"/>
      <c r="ABR25" s="15"/>
      <c r="ABS25" s="15"/>
      <c r="ABT25" s="15"/>
      <c r="ABU25" s="15"/>
      <c r="ABV25" s="15"/>
      <c r="ABW25" s="15"/>
      <c r="ABX25" s="15"/>
      <c r="ABY25" s="15"/>
      <c r="ABZ25" s="15"/>
      <c r="ACA25" s="15"/>
      <c r="ACB25" s="15"/>
      <c r="ACC25" s="15"/>
      <c r="ACD25" s="15"/>
      <c r="ACE25" s="15"/>
      <c r="ACF25" s="15"/>
      <c r="ACG25" s="15"/>
      <c r="ACH25" s="15"/>
      <c r="ACI25" s="15"/>
      <c r="ACJ25" s="15"/>
      <c r="ACK25" s="15"/>
      <c r="ACL25" s="15"/>
      <c r="ACM25" s="15"/>
      <c r="ACN25" s="15"/>
      <c r="ACO25" s="15"/>
      <c r="ACP25" s="15"/>
      <c r="ACQ25" s="15"/>
      <c r="ACR25" s="15"/>
      <c r="ACS25" s="15"/>
      <c r="ACT25" s="15"/>
      <c r="ACU25" s="15"/>
      <c r="ACV25" s="15"/>
      <c r="ACW25" s="15"/>
      <c r="ACX25" s="15"/>
      <c r="ACY25" s="15"/>
      <c r="ACZ25" s="15"/>
      <c r="ADA25" s="15"/>
      <c r="ADB25" s="15"/>
      <c r="ADC25" s="15"/>
      <c r="ADD25" s="15"/>
      <c r="ADE25" s="15"/>
      <c r="ADF25" s="15"/>
      <c r="ADG25" s="15"/>
      <c r="ADH25" s="15"/>
      <c r="ADI25" s="15"/>
      <c r="ADJ25" s="15"/>
      <c r="ADK25" s="15"/>
      <c r="ADL25" s="15"/>
      <c r="ADM25" s="15"/>
      <c r="ADN25" s="15"/>
      <c r="ADO25" s="15"/>
      <c r="ADP25" s="15"/>
      <c r="ADQ25" s="15"/>
      <c r="ADR25" s="15"/>
      <c r="ADS25" s="15"/>
      <c r="ADT25" s="15"/>
      <c r="ADU25" s="15"/>
      <c r="ADV25" s="15"/>
      <c r="ADW25" s="15"/>
      <c r="ADX25" s="15"/>
      <c r="ADY25" s="15"/>
      <c r="ADZ25" s="15"/>
      <c r="AEA25" s="15"/>
      <c r="AEB25" s="15"/>
      <c r="AEC25" s="15"/>
      <c r="AED25" s="15"/>
      <c r="AEE25" s="15"/>
      <c r="AEF25" s="15"/>
      <c r="AEG25" s="15"/>
      <c r="AEH25" s="15"/>
      <c r="AEI25" s="15"/>
      <c r="AEJ25" s="15"/>
      <c r="AEK25" s="15"/>
      <c r="AEL25" s="15"/>
      <c r="AEM25" s="15"/>
      <c r="AEN25" s="15"/>
      <c r="AEO25" s="15"/>
      <c r="AEP25" s="15"/>
      <c r="AEQ25" s="15"/>
      <c r="AER25" s="15"/>
      <c r="AES25" s="15"/>
      <c r="AET25" s="15"/>
      <c r="AEU25" s="15"/>
      <c r="AEV25" s="15"/>
      <c r="AEW25" s="15"/>
      <c r="AEX25" s="15"/>
      <c r="AEY25" s="15"/>
      <c r="AEZ25" s="15"/>
      <c r="AFA25" s="15"/>
      <c r="AFB25" s="15"/>
      <c r="AFC25" s="15"/>
      <c r="AFD25" s="15"/>
      <c r="AFE25" s="15"/>
      <c r="AFF25" s="15"/>
      <c r="AFG25" s="15"/>
      <c r="AFH25" s="15"/>
      <c r="AFI25" s="15"/>
      <c r="AFJ25" s="15"/>
      <c r="AFK25" s="15"/>
      <c r="AFL25" s="15"/>
      <c r="AFM25" s="15"/>
      <c r="AFN25" s="15"/>
      <c r="AFO25" s="15"/>
      <c r="AFP25" s="15"/>
      <c r="AFQ25" s="15"/>
      <c r="AFR25" s="15"/>
      <c r="AFS25" s="15"/>
      <c r="AFT25" s="15"/>
      <c r="AFU25" s="15"/>
      <c r="AFV25" s="15"/>
      <c r="AFW25" s="15"/>
      <c r="AFX25" s="15"/>
      <c r="AFY25" s="15"/>
      <c r="AFZ25" s="15"/>
      <c r="AGA25" s="15"/>
      <c r="AGB25" s="15"/>
      <c r="AGC25" s="15"/>
      <c r="AGD25" s="15"/>
      <c r="AGE25" s="15"/>
      <c r="AGF25" s="15"/>
      <c r="AGG25" s="15"/>
      <c r="AGH25" s="15"/>
      <c r="AGI25" s="15"/>
      <c r="AGJ25" s="15"/>
      <c r="AGK25" s="15"/>
      <c r="AGL25" s="15"/>
      <c r="AGM25" s="15"/>
      <c r="AGN25" s="15"/>
      <c r="AGO25" s="15"/>
      <c r="AGP25" s="15"/>
      <c r="AGQ25" s="15"/>
      <c r="AGR25" s="15"/>
      <c r="AGS25" s="15"/>
      <c r="AGT25" s="15"/>
      <c r="AGU25" s="15"/>
      <c r="AGV25" s="15"/>
      <c r="AGW25" s="15"/>
      <c r="AGX25" s="15"/>
      <c r="AGY25" s="15"/>
      <c r="AGZ25" s="15"/>
      <c r="AHA25" s="15"/>
      <c r="AHB25" s="15"/>
      <c r="AHC25" s="15"/>
      <c r="AHD25" s="15"/>
      <c r="AHE25" s="15"/>
      <c r="AHF25" s="15"/>
      <c r="AHG25" s="15"/>
      <c r="AHH25" s="15"/>
      <c r="AHI25" s="15"/>
      <c r="AHJ25" s="15"/>
      <c r="AHK25" s="15"/>
      <c r="AHL25" s="15"/>
      <c r="AHM25" s="15"/>
      <c r="AHN25" s="15"/>
      <c r="AHO25" s="15"/>
      <c r="AHP25" s="15"/>
      <c r="AHQ25" s="15"/>
      <c r="AHR25" s="15"/>
      <c r="AHS25" s="15"/>
      <c r="AHT25" s="15"/>
      <c r="AHU25" s="15"/>
      <c r="AHV25" s="15"/>
      <c r="AHW25" s="15"/>
      <c r="AHX25" s="15"/>
      <c r="AHY25" s="15"/>
      <c r="AHZ25" s="15"/>
      <c r="AIA25" s="15"/>
      <c r="AIB25" s="15"/>
      <c r="AIC25" s="15"/>
      <c r="AID25" s="15"/>
      <c r="AIE25" s="15"/>
      <c r="AIF25" s="15"/>
      <c r="AIG25" s="15"/>
      <c r="AIH25" s="15"/>
      <c r="AII25" s="15"/>
      <c r="AIJ25" s="15"/>
      <c r="AIK25" s="15"/>
      <c r="AIL25" s="15"/>
      <c r="AIM25" s="15"/>
      <c r="AIN25" s="15"/>
      <c r="AIO25" s="15"/>
      <c r="AIP25" s="15"/>
      <c r="AIQ25" s="15"/>
      <c r="AIR25" s="15"/>
      <c r="AIS25" s="15"/>
      <c r="AIT25" s="15"/>
      <c r="AIU25" s="15"/>
      <c r="AIV25" s="15"/>
      <c r="AIW25" s="15"/>
      <c r="AIX25" s="15"/>
      <c r="AIY25" s="15"/>
      <c r="AIZ25" s="15"/>
      <c r="AJA25" s="15"/>
      <c r="AJB25" s="15"/>
      <c r="AJC25" s="15"/>
      <c r="AJD25" s="15"/>
      <c r="AJE25" s="15"/>
      <c r="AJF25" s="15"/>
      <c r="AJG25" s="15"/>
      <c r="AJH25" s="15"/>
      <c r="AJI25" s="15"/>
      <c r="AJJ25" s="15"/>
      <c r="AJK25" s="15"/>
      <c r="AJL25" s="15"/>
      <c r="AJM25" s="15"/>
      <c r="AJN25" s="15"/>
      <c r="AJO25" s="15"/>
      <c r="AJP25" s="15"/>
      <c r="AJQ25" s="15"/>
      <c r="AJR25" s="15"/>
      <c r="AJS25" s="15"/>
      <c r="AJT25" s="15"/>
      <c r="AJU25" s="15"/>
      <c r="AJV25" s="15"/>
      <c r="AJW25" s="15"/>
      <c r="AJX25" s="15"/>
      <c r="AJY25" s="15"/>
      <c r="AJZ25" s="15"/>
      <c r="AKA25" s="15"/>
      <c r="AKB25" s="15"/>
      <c r="AKC25" s="15"/>
      <c r="AKD25" s="15"/>
      <c r="AKE25" s="15"/>
      <c r="AKF25" s="15"/>
      <c r="AKG25" s="15"/>
      <c r="AKH25" s="15"/>
      <c r="AKI25" s="15"/>
      <c r="AKJ25" s="15"/>
      <c r="AKK25" s="15"/>
      <c r="AKL25" s="15"/>
      <c r="AKM25" s="15"/>
      <c r="AKN25" s="15"/>
      <c r="AKO25" s="15"/>
      <c r="AKP25" s="15"/>
      <c r="AKQ25" s="15"/>
      <c r="AKR25" s="15"/>
      <c r="AKS25" s="15"/>
      <c r="AKT25" s="15"/>
      <c r="AKU25" s="15"/>
      <c r="AKV25" s="15"/>
      <c r="AKW25" s="15"/>
      <c r="AKX25" s="15"/>
      <c r="AKY25" s="15"/>
      <c r="AKZ25" s="15"/>
      <c r="ALA25" s="15"/>
      <c r="ALB25" s="15"/>
      <c r="ALC25" s="15"/>
      <c r="ALD25" s="15"/>
      <c r="ALE25" s="15"/>
      <c r="ALF25" s="15"/>
      <c r="ALG25" s="15"/>
      <c r="ALH25" s="15"/>
      <c r="ALI25" s="15"/>
      <c r="ALJ25" s="15"/>
      <c r="ALK25" s="15"/>
      <c r="ALL25" s="15"/>
      <c r="ALM25" s="15"/>
      <c r="ALN25" s="15"/>
      <c r="ALO25" s="15"/>
      <c r="ALP25" s="15"/>
      <c r="ALQ25" s="15"/>
      <c r="ALR25" s="15"/>
      <c r="ALS25" s="15"/>
      <c r="ALT25" s="15"/>
      <c r="ALU25" s="15"/>
      <c r="ALV25" s="15"/>
      <c r="ALW25" s="15"/>
      <c r="ALX25" s="15"/>
      <c r="ALY25" s="15"/>
      <c r="ALZ25" s="15"/>
      <c r="AMA25" s="15"/>
      <c r="AMB25" s="15"/>
      <c r="AMC25" s="15"/>
      <c r="AMD25" s="15"/>
      <c r="AME25" s="15"/>
      <c r="AMF25" s="15"/>
      <c r="AMG25" s="15"/>
      <c r="AMH25" s="15"/>
      <c r="AMI25" s="15"/>
      <c r="AMJ25" s="15"/>
      <c r="AMK25" s="15"/>
    </row>
    <row r="26" spans="1:1025" s="13" customFormat="1" x14ac:dyDescent="0.25">
      <c r="A26" s="13" t="s">
        <v>42</v>
      </c>
      <c r="B26" s="13">
        <v>2017</v>
      </c>
      <c r="C26" s="14">
        <v>7076000000</v>
      </c>
      <c r="D26" s="14"/>
      <c r="E26" s="14">
        <v>3767000000</v>
      </c>
      <c r="F26" s="14">
        <v>29798000000</v>
      </c>
      <c r="G26" s="14">
        <f t="shared" si="11"/>
        <v>33565000000</v>
      </c>
      <c r="H26" s="14">
        <v>20941000000</v>
      </c>
      <c r="I26" s="14">
        <f t="shared" si="12"/>
        <v>12624000000</v>
      </c>
      <c r="J26" s="14">
        <v>916776000000</v>
      </c>
      <c r="K26" s="14">
        <v>916776000000</v>
      </c>
      <c r="L26" s="14"/>
      <c r="M26" s="14" t="s">
        <v>43</v>
      </c>
      <c r="N26" s="14" t="s">
        <v>44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15"/>
      <c r="NH26" s="15"/>
      <c r="NI26" s="15"/>
      <c r="NJ26" s="15"/>
      <c r="NK26" s="15"/>
      <c r="NL26" s="15"/>
      <c r="NM26" s="15"/>
      <c r="NN26" s="15"/>
      <c r="NO26" s="15"/>
      <c r="NP26" s="15"/>
      <c r="NQ26" s="15"/>
      <c r="NR26" s="15"/>
      <c r="NS26" s="15"/>
      <c r="NT26" s="15"/>
      <c r="NU26" s="15"/>
      <c r="NV26" s="15"/>
      <c r="NW26" s="15"/>
      <c r="NX26" s="15"/>
      <c r="NY26" s="15"/>
      <c r="NZ26" s="15"/>
      <c r="OA26" s="15"/>
      <c r="OB26" s="15"/>
      <c r="OC26" s="15"/>
      <c r="OD26" s="15"/>
      <c r="OE26" s="15"/>
      <c r="OF26" s="15"/>
      <c r="OG26" s="15"/>
      <c r="OH26" s="15"/>
      <c r="OI26" s="15"/>
      <c r="OJ26" s="15"/>
      <c r="OK26" s="15"/>
      <c r="OL26" s="15"/>
      <c r="OM26" s="15"/>
      <c r="ON26" s="15"/>
      <c r="OO26" s="15"/>
      <c r="OP26" s="15"/>
      <c r="OQ26" s="15"/>
      <c r="OR26" s="15"/>
      <c r="OS26" s="15"/>
      <c r="OT26" s="15"/>
      <c r="OU26" s="15"/>
      <c r="OV26" s="15"/>
      <c r="OW26" s="15"/>
      <c r="OX26" s="15"/>
      <c r="OY26" s="15"/>
      <c r="OZ26" s="15"/>
      <c r="PA26" s="15"/>
      <c r="PB26" s="15"/>
      <c r="PC26" s="15"/>
      <c r="PD26" s="15"/>
      <c r="PE26" s="15"/>
      <c r="PF26" s="15"/>
      <c r="PG26" s="15"/>
      <c r="PH26" s="15"/>
      <c r="PI26" s="15"/>
      <c r="PJ26" s="15"/>
      <c r="PK26" s="15"/>
      <c r="PL26" s="15"/>
      <c r="PM26" s="15"/>
      <c r="PN26" s="15"/>
      <c r="PO26" s="15"/>
      <c r="PP26" s="15"/>
      <c r="PQ26" s="15"/>
      <c r="PR26" s="15"/>
      <c r="PS26" s="15"/>
      <c r="PT26" s="15"/>
      <c r="PU26" s="15"/>
      <c r="PV26" s="15"/>
      <c r="PW26" s="15"/>
      <c r="PX26" s="15"/>
      <c r="PY26" s="15"/>
      <c r="PZ26" s="15"/>
      <c r="QA26" s="15"/>
      <c r="QB26" s="15"/>
      <c r="QC26" s="15"/>
      <c r="QD26" s="15"/>
      <c r="QE26" s="15"/>
      <c r="QF26" s="15"/>
      <c r="QG26" s="15"/>
      <c r="QH26" s="15"/>
      <c r="QI26" s="15"/>
      <c r="QJ26" s="15"/>
      <c r="QK26" s="15"/>
      <c r="QL26" s="15"/>
      <c r="QM26" s="15"/>
      <c r="QN26" s="15"/>
      <c r="QO26" s="15"/>
      <c r="QP26" s="15"/>
      <c r="QQ26" s="15"/>
      <c r="QR26" s="15"/>
      <c r="QS26" s="15"/>
      <c r="QT26" s="15"/>
      <c r="QU26" s="15"/>
      <c r="QV26" s="15"/>
      <c r="QW26" s="15"/>
      <c r="QX26" s="15"/>
      <c r="QY26" s="15"/>
      <c r="QZ26" s="15"/>
      <c r="RA26" s="15"/>
      <c r="RB26" s="15"/>
      <c r="RC26" s="15"/>
      <c r="RD26" s="15"/>
      <c r="RE26" s="15"/>
      <c r="RF26" s="15"/>
      <c r="RG26" s="15"/>
      <c r="RH26" s="15"/>
      <c r="RI26" s="15"/>
      <c r="RJ26" s="15"/>
      <c r="RK26" s="15"/>
      <c r="RL26" s="15"/>
      <c r="RM26" s="15"/>
      <c r="RN26" s="15"/>
      <c r="RO26" s="15"/>
      <c r="RP26" s="15"/>
      <c r="RQ26" s="15"/>
      <c r="RR26" s="15"/>
      <c r="RS26" s="15"/>
      <c r="RT26" s="15"/>
      <c r="RU26" s="15"/>
      <c r="RV26" s="15"/>
      <c r="RW26" s="15"/>
      <c r="RX26" s="15"/>
      <c r="RY26" s="15"/>
      <c r="RZ26" s="15"/>
      <c r="SA26" s="15"/>
      <c r="SB26" s="15"/>
      <c r="SC26" s="15"/>
      <c r="SD26" s="15"/>
      <c r="SE26" s="15"/>
      <c r="SF26" s="15"/>
      <c r="SG26" s="15"/>
      <c r="SH26" s="15"/>
      <c r="SI26" s="15"/>
      <c r="SJ26" s="15"/>
      <c r="SK26" s="15"/>
      <c r="SL26" s="15"/>
      <c r="SM26" s="15"/>
      <c r="SN26" s="15"/>
      <c r="SO26" s="15"/>
      <c r="SP26" s="15"/>
      <c r="SQ26" s="15"/>
      <c r="SR26" s="15"/>
      <c r="SS26" s="15"/>
      <c r="ST26" s="15"/>
      <c r="SU26" s="15"/>
      <c r="SV26" s="15"/>
      <c r="SW26" s="15"/>
      <c r="SX26" s="15"/>
      <c r="SY26" s="15"/>
      <c r="SZ26" s="15"/>
      <c r="TA26" s="15"/>
      <c r="TB26" s="15"/>
      <c r="TC26" s="15"/>
      <c r="TD26" s="15"/>
      <c r="TE26" s="15"/>
      <c r="TF26" s="15"/>
      <c r="TG26" s="15"/>
      <c r="TH26" s="15"/>
      <c r="TI26" s="15"/>
      <c r="TJ26" s="15"/>
      <c r="TK26" s="15"/>
      <c r="TL26" s="15"/>
      <c r="TM26" s="15"/>
      <c r="TN26" s="15"/>
      <c r="TO26" s="15"/>
      <c r="TP26" s="15"/>
      <c r="TQ26" s="15"/>
      <c r="TR26" s="15"/>
      <c r="TS26" s="15"/>
      <c r="TT26" s="15"/>
      <c r="TU26" s="15"/>
      <c r="TV26" s="15"/>
      <c r="TW26" s="15"/>
      <c r="TX26" s="15"/>
      <c r="TY26" s="15"/>
      <c r="TZ26" s="15"/>
      <c r="UA26" s="15"/>
      <c r="UB26" s="15"/>
      <c r="UC26" s="15"/>
      <c r="UD26" s="15"/>
      <c r="UE26" s="15"/>
      <c r="UF26" s="15"/>
      <c r="UG26" s="15"/>
      <c r="UH26" s="15"/>
      <c r="UI26" s="15"/>
      <c r="UJ26" s="15"/>
      <c r="UK26" s="15"/>
      <c r="UL26" s="15"/>
      <c r="UM26" s="15"/>
      <c r="UN26" s="15"/>
      <c r="UO26" s="15"/>
      <c r="UP26" s="15"/>
      <c r="UQ26" s="15"/>
      <c r="UR26" s="15"/>
      <c r="US26" s="15"/>
      <c r="UT26" s="15"/>
      <c r="UU26" s="15"/>
      <c r="UV26" s="15"/>
      <c r="UW26" s="15"/>
      <c r="UX26" s="15"/>
      <c r="UY26" s="15"/>
      <c r="UZ26" s="15"/>
      <c r="VA26" s="15"/>
      <c r="VB26" s="15"/>
      <c r="VC26" s="15"/>
      <c r="VD26" s="15"/>
      <c r="VE26" s="15"/>
      <c r="VF26" s="15"/>
      <c r="VG26" s="15"/>
      <c r="VH26" s="15"/>
      <c r="VI26" s="15"/>
      <c r="VJ26" s="15"/>
      <c r="VK26" s="15"/>
      <c r="VL26" s="15"/>
      <c r="VM26" s="15"/>
      <c r="VN26" s="15"/>
      <c r="VO26" s="15"/>
      <c r="VP26" s="15"/>
      <c r="VQ26" s="15"/>
      <c r="VR26" s="15"/>
      <c r="VS26" s="15"/>
      <c r="VT26" s="15"/>
      <c r="VU26" s="15"/>
      <c r="VV26" s="15"/>
      <c r="VW26" s="15"/>
      <c r="VX26" s="15"/>
      <c r="VY26" s="15"/>
      <c r="VZ26" s="15"/>
      <c r="WA26" s="15"/>
      <c r="WB26" s="15"/>
      <c r="WC26" s="15"/>
      <c r="WD26" s="15"/>
      <c r="WE26" s="15"/>
      <c r="WF26" s="15"/>
      <c r="WG26" s="15"/>
      <c r="WH26" s="15"/>
      <c r="WI26" s="15"/>
      <c r="WJ26" s="15"/>
      <c r="WK26" s="15"/>
      <c r="WL26" s="15"/>
      <c r="WM26" s="15"/>
      <c r="WN26" s="15"/>
      <c r="WO26" s="15"/>
      <c r="WP26" s="15"/>
      <c r="WQ26" s="15"/>
      <c r="WR26" s="15"/>
      <c r="WS26" s="15"/>
      <c r="WT26" s="15"/>
      <c r="WU26" s="15"/>
      <c r="WV26" s="15"/>
      <c r="WW26" s="15"/>
      <c r="WX26" s="15"/>
      <c r="WY26" s="15"/>
      <c r="WZ26" s="15"/>
      <c r="XA26" s="15"/>
      <c r="XB26" s="15"/>
      <c r="XC26" s="15"/>
      <c r="XD26" s="15"/>
      <c r="XE26" s="15"/>
      <c r="XF26" s="15"/>
      <c r="XG26" s="15"/>
      <c r="XH26" s="15"/>
      <c r="XI26" s="15"/>
      <c r="XJ26" s="15"/>
      <c r="XK26" s="15"/>
      <c r="XL26" s="15"/>
      <c r="XM26" s="15"/>
      <c r="XN26" s="15"/>
      <c r="XO26" s="15"/>
      <c r="XP26" s="15"/>
      <c r="XQ26" s="15"/>
      <c r="XR26" s="15"/>
      <c r="XS26" s="15"/>
      <c r="XT26" s="15"/>
      <c r="XU26" s="15"/>
      <c r="XV26" s="15"/>
      <c r="XW26" s="15"/>
      <c r="XX26" s="15"/>
      <c r="XY26" s="15"/>
      <c r="XZ26" s="15"/>
      <c r="YA26" s="15"/>
      <c r="YB26" s="15"/>
      <c r="YC26" s="15"/>
      <c r="YD26" s="15"/>
      <c r="YE26" s="15"/>
      <c r="YF26" s="15"/>
      <c r="YG26" s="15"/>
      <c r="YH26" s="15"/>
      <c r="YI26" s="15"/>
      <c r="YJ26" s="15"/>
      <c r="YK26" s="15"/>
      <c r="YL26" s="15"/>
      <c r="YM26" s="15"/>
      <c r="YN26" s="15"/>
      <c r="YO26" s="15"/>
      <c r="YP26" s="15"/>
      <c r="YQ26" s="15"/>
      <c r="YR26" s="15"/>
      <c r="YS26" s="15"/>
      <c r="YT26" s="15"/>
      <c r="YU26" s="15"/>
      <c r="YV26" s="15"/>
      <c r="YW26" s="15"/>
      <c r="YX26" s="15"/>
      <c r="YY26" s="15"/>
      <c r="YZ26" s="15"/>
      <c r="ZA26" s="15"/>
      <c r="ZB26" s="15"/>
      <c r="ZC26" s="15"/>
      <c r="ZD26" s="15"/>
      <c r="ZE26" s="15"/>
      <c r="ZF26" s="15"/>
      <c r="ZG26" s="15"/>
      <c r="ZH26" s="15"/>
      <c r="ZI26" s="15"/>
      <c r="ZJ26" s="15"/>
      <c r="ZK26" s="15"/>
      <c r="ZL26" s="15"/>
      <c r="ZM26" s="15"/>
      <c r="ZN26" s="15"/>
      <c r="ZO26" s="15"/>
      <c r="ZP26" s="15"/>
      <c r="ZQ26" s="15"/>
      <c r="ZR26" s="15"/>
      <c r="ZS26" s="15"/>
      <c r="ZT26" s="15"/>
      <c r="ZU26" s="15"/>
      <c r="ZV26" s="15"/>
      <c r="ZW26" s="15"/>
      <c r="ZX26" s="15"/>
      <c r="ZY26" s="15"/>
      <c r="ZZ26" s="15"/>
      <c r="AAA26" s="15"/>
      <c r="AAB26" s="15"/>
      <c r="AAC26" s="15"/>
      <c r="AAD26" s="15"/>
      <c r="AAE26" s="15"/>
      <c r="AAF26" s="15"/>
      <c r="AAG26" s="15"/>
      <c r="AAH26" s="15"/>
      <c r="AAI26" s="15"/>
      <c r="AAJ26" s="15"/>
      <c r="AAK26" s="15"/>
      <c r="AAL26" s="15"/>
      <c r="AAM26" s="15"/>
      <c r="AAN26" s="15"/>
      <c r="AAO26" s="15"/>
      <c r="AAP26" s="15"/>
      <c r="AAQ26" s="15"/>
      <c r="AAR26" s="15"/>
      <c r="AAS26" s="15"/>
      <c r="AAT26" s="15"/>
      <c r="AAU26" s="15"/>
      <c r="AAV26" s="15"/>
      <c r="AAW26" s="15"/>
      <c r="AAX26" s="15"/>
      <c r="AAY26" s="15"/>
      <c r="AAZ26" s="15"/>
      <c r="ABA26" s="15"/>
      <c r="ABB26" s="15"/>
      <c r="ABC26" s="15"/>
      <c r="ABD26" s="15"/>
      <c r="ABE26" s="15"/>
      <c r="ABF26" s="15"/>
      <c r="ABG26" s="15"/>
      <c r="ABH26" s="15"/>
      <c r="ABI26" s="15"/>
      <c r="ABJ26" s="15"/>
      <c r="ABK26" s="15"/>
      <c r="ABL26" s="15"/>
      <c r="ABM26" s="15"/>
      <c r="ABN26" s="15"/>
      <c r="ABO26" s="15"/>
      <c r="ABP26" s="15"/>
      <c r="ABQ26" s="15"/>
      <c r="ABR26" s="15"/>
      <c r="ABS26" s="15"/>
      <c r="ABT26" s="15"/>
      <c r="ABU26" s="15"/>
      <c r="ABV26" s="15"/>
      <c r="ABW26" s="15"/>
      <c r="ABX26" s="15"/>
      <c r="ABY26" s="15"/>
      <c r="ABZ26" s="15"/>
      <c r="ACA26" s="15"/>
      <c r="ACB26" s="15"/>
      <c r="ACC26" s="15"/>
      <c r="ACD26" s="15"/>
      <c r="ACE26" s="15"/>
      <c r="ACF26" s="15"/>
      <c r="ACG26" s="15"/>
      <c r="ACH26" s="15"/>
      <c r="ACI26" s="15"/>
      <c r="ACJ26" s="15"/>
      <c r="ACK26" s="15"/>
      <c r="ACL26" s="15"/>
      <c r="ACM26" s="15"/>
      <c r="ACN26" s="15"/>
      <c r="ACO26" s="15"/>
      <c r="ACP26" s="15"/>
      <c r="ACQ26" s="15"/>
      <c r="ACR26" s="15"/>
      <c r="ACS26" s="15"/>
      <c r="ACT26" s="15"/>
      <c r="ACU26" s="15"/>
      <c r="ACV26" s="15"/>
      <c r="ACW26" s="15"/>
      <c r="ACX26" s="15"/>
      <c r="ACY26" s="15"/>
      <c r="ACZ26" s="15"/>
      <c r="ADA26" s="15"/>
      <c r="ADB26" s="15"/>
      <c r="ADC26" s="15"/>
      <c r="ADD26" s="15"/>
      <c r="ADE26" s="15"/>
      <c r="ADF26" s="15"/>
      <c r="ADG26" s="15"/>
      <c r="ADH26" s="15"/>
      <c r="ADI26" s="15"/>
      <c r="ADJ26" s="15"/>
      <c r="ADK26" s="15"/>
      <c r="ADL26" s="15"/>
      <c r="ADM26" s="15"/>
      <c r="ADN26" s="15"/>
      <c r="ADO26" s="15"/>
      <c r="ADP26" s="15"/>
      <c r="ADQ26" s="15"/>
      <c r="ADR26" s="15"/>
      <c r="ADS26" s="15"/>
      <c r="ADT26" s="15"/>
      <c r="ADU26" s="15"/>
      <c r="ADV26" s="15"/>
      <c r="ADW26" s="15"/>
      <c r="ADX26" s="15"/>
      <c r="ADY26" s="15"/>
      <c r="ADZ26" s="15"/>
      <c r="AEA26" s="15"/>
      <c r="AEB26" s="15"/>
      <c r="AEC26" s="15"/>
      <c r="AED26" s="15"/>
      <c r="AEE26" s="15"/>
      <c r="AEF26" s="15"/>
      <c r="AEG26" s="15"/>
      <c r="AEH26" s="15"/>
      <c r="AEI26" s="15"/>
      <c r="AEJ26" s="15"/>
      <c r="AEK26" s="15"/>
      <c r="AEL26" s="15"/>
      <c r="AEM26" s="15"/>
      <c r="AEN26" s="15"/>
      <c r="AEO26" s="15"/>
      <c r="AEP26" s="15"/>
      <c r="AEQ26" s="15"/>
      <c r="AER26" s="15"/>
      <c r="AES26" s="15"/>
      <c r="AET26" s="15"/>
      <c r="AEU26" s="15"/>
      <c r="AEV26" s="15"/>
      <c r="AEW26" s="15"/>
      <c r="AEX26" s="15"/>
      <c r="AEY26" s="15"/>
      <c r="AEZ26" s="15"/>
      <c r="AFA26" s="15"/>
      <c r="AFB26" s="15"/>
      <c r="AFC26" s="15"/>
      <c r="AFD26" s="15"/>
      <c r="AFE26" s="15"/>
      <c r="AFF26" s="15"/>
      <c r="AFG26" s="15"/>
      <c r="AFH26" s="15"/>
      <c r="AFI26" s="15"/>
      <c r="AFJ26" s="15"/>
      <c r="AFK26" s="15"/>
      <c r="AFL26" s="15"/>
      <c r="AFM26" s="15"/>
      <c r="AFN26" s="15"/>
      <c r="AFO26" s="15"/>
      <c r="AFP26" s="15"/>
      <c r="AFQ26" s="15"/>
      <c r="AFR26" s="15"/>
      <c r="AFS26" s="15"/>
      <c r="AFT26" s="15"/>
      <c r="AFU26" s="15"/>
      <c r="AFV26" s="15"/>
      <c r="AFW26" s="15"/>
      <c r="AFX26" s="15"/>
      <c r="AFY26" s="15"/>
      <c r="AFZ26" s="15"/>
      <c r="AGA26" s="15"/>
      <c r="AGB26" s="15"/>
      <c r="AGC26" s="15"/>
      <c r="AGD26" s="15"/>
      <c r="AGE26" s="15"/>
      <c r="AGF26" s="15"/>
      <c r="AGG26" s="15"/>
      <c r="AGH26" s="15"/>
      <c r="AGI26" s="15"/>
      <c r="AGJ26" s="15"/>
      <c r="AGK26" s="15"/>
      <c r="AGL26" s="15"/>
      <c r="AGM26" s="15"/>
      <c r="AGN26" s="15"/>
      <c r="AGO26" s="15"/>
      <c r="AGP26" s="15"/>
      <c r="AGQ26" s="15"/>
      <c r="AGR26" s="15"/>
      <c r="AGS26" s="15"/>
      <c r="AGT26" s="15"/>
      <c r="AGU26" s="15"/>
      <c r="AGV26" s="15"/>
      <c r="AGW26" s="15"/>
      <c r="AGX26" s="15"/>
      <c r="AGY26" s="15"/>
      <c r="AGZ26" s="15"/>
      <c r="AHA26" s="15"/>
      <c r="AHB26" s="15"/>
      <c r="AHC26" s="15"/>
      <c r="AHD26" s="15"/>
      <c r="AHE26" s="15"/>
      <c r="AHF26" s="15"/>
      <c r="AHG26" s="15"/>
      <c r="AHH26" s="15"/>
      <c r="AHI26" s="15"/>
      <c r="AHJ26" s="15"/>
      <c r="AHK26" s="15"/>
      <c r="AHL26" s="15"/>
      <c r="AHM26" s="15"/>
      <c r="AHN26" s="15"/>
      <c r="AHO26" s="15"/>
      <c r="AHP26" s="15"/>
      <c r="AHQ26" s="15"/>
      <c r="AHR26" s="15"/>
      <c r="AHS26" s="15"/>
      <c r="AHT26" s="15"/>
      <c r="AHU26" s="15"/>
      <c r="AHV26" s="15"/>
      <c r="AHW26" s="15"/>
      <c r="AHX26" s="15"/>
      <c r="AHY26" s="15"/>
      <c r="AHZ26" s="15"/>
      <c r="AIA26" s="15"/>
      <c r="AIB26" s="15"/>
      <c r="AIC26" s="15"/>
      <c r="AID26" s="15"/>
      <c r="AIE26" s="15"/>
      <c r="AIF26" s="15"/>
      <c r="AIG26" s="15"/>
      <c r="AIH26" s="15"/>
      <c r="AII26" s="15"/>
      <c r="AIJ26" s="15"/>
      <c r="AIK26" s="15"/>
      <c r="AIL26" s="15"/>
      <c r="AIM26" s="15"/>
      <c r="AIN26" s="15"/>
      <c r="AIO26" s="15"/>
      <c r="AIP26" s="15"/>
      <c r="AIQ26" s="15"/>
      <c r="AIR26" s="15"/>
      <c r="AIS26" s="15"/>
      <c r="AIT26" s="15"/>
      <c r="AIU26" s="15"/>
      <c r="AIV26" s="15"/>
      <c r="AIW26" s="15"/>
      <c r="AIX26" s="15"/>
      <c r="AIY26" s="15"/>
      <c r="AIZ26" s="15"/>
      <c r="AJA26" s="15"/>
      <c r="AJB26" s="15"/>
      <c r="AJC26" s="15"/>
      <c r="AJD26" s="15"/>
      <c r="AJE26" s="15"/>
      <c r="AJF26" s="15"/>
      <c r="AJG26" s="15"/>
      <c r="AJH26" s="15"/>
      <c r="AJI26" s="15"/>
      <c r="AJJ26" s="15"/>
      <c r="AJK26" s="15"/>
      <c r="AJL26" s="15"/>
      <c r="AJM26" s="15"/>
      <c r="AJN26" s="15"/>
      <c r="AJO26" s="15"/>
      <c r="AJP26" s="15"/>
      <c r="AJQ26" s="15"/>
      <c r="AJR26" s="15"/>
      <c r="AJS26" s="15"/>
      <c r="AJT26" s="15"/>
      <c r="AJU26" s="15"/>
      <c r="AJV26" s="15"/>
      <c r="AJW26" s="15"/>
      <c r="AJX26" s="15"/>
      <c r="AJY26" s="15"/>
      <c r="AJZ26" s="15"/>
      <c r="AKA26" s="15"/>
      <c r="AKB26" s="15"/>
      <c r="AKC26" s="15"/>
      <c r="AKD26" s="15"/>
      <c r="AKE26" s="15"/>
      <c r="AKF26" s="15"/>
      <c r="AKG26" s="15"/>
      <c r="AKH26" s="15"/>
      <c r="AKI26" s="15"/>
      <c r="AKJ26" s="15"/>
      <c r="AKK26" s="15"/>
      <c r="AKL26" s="15"/>
      <c r="AKM26" s="15"/>
      <c r="AKN26" s="15"/>
      <c r="AKO26" s="15"/>
      <c r="AKP26" s="15"/>
      <c r="AKQ26" s="15"/>
      <c r="AKR26" s="15"/>
      <c r="AKS26" s="15"/>
      <c r="AKT26" s="15"/>
      <c r="AKU26" s="15"/>
      <c r="AKV26" s="15"/>
      <c r="AKW26" s="15"/>
      <c r="AKX26" s="15"/>
      <c r="AKY26" s="15"/>
      <c r="AKZ26" s="15"/>
      <c r="ALA26" s="15"/>
      <c r="ALB26" s="15"/>
      <c r="ALC26" s="15"/>
      <c r="ALD26" s="15"/>
      <c r="ALE26" s="15"/>
      <c r="ALF26" s="15"/>
      <c r="ALG26" s="15"/>
      <c r="ALH26" s="15"/>
      <c r="ALI26" s="15"/>
      <c r="ALJ26" s="15"/>
      <c r="ALK26" s="15"/>
      <c r="ALL26" s="15"/>
      <c r="ALM26" s="15"/>
      <c r="ALN26" s="15"/>
      <c r="ALO26" s="15"/>
      <c r="ALP26" s="15"/>
      <c r="ALQ26" s="15"/>
      <c r="ALR26" s="15"/>
      <c r="ALS26" s="15"/>
      <c r="ALT26" s="15"/>
      <c r="ALU26" s="15"/>
      <c r="ALV26" s="15"/>
      <c r="ALW26" s="15"/>
      <c r="ALX26" s="15"/>
      <c r="ALY26" s="15"/>
      <c r="ALZ26" s="15"/>
      <c r="AMA26" s="15"/>
      <c r="AMB26" s="15"/>
      <c r="AMC26" s="15"/>
      <c r="AMD26" s="15"/>
      <c r="AME26" s="15"/>
      <c r="AMF26" s="15"/>
      <c r="AMG26" s="15"/>
      <c r="AMH26" s="15"/>
      <c r="AMI26" s="15"/>
      <c r="AMJ26" s="15"/>
      <c r="AMK26" s="15"/>
    </row>
    <row r="27" spans="1:1025" s="13" customFormat="1" x14ac:dyDescent="0.25">
      <c r="A27" s="13" t="s">
        <v>45</v>
      </c>
      <c r="B27" s="13">
        <v>2021</v>
      </c>
      <c r="C27" s="14">
        <v>13216000000</v>
      </c>
      <c r="D27" s="14"/>
      <c r="E27" s="14">
        <v>52311000000</v>
      </c>
      <c r="F27" s="14">
        <v>69338000000</v>
      </c>
      <c r="G27" s="14">
        <f t="shared" si="11"/>
        <v>121649000000</v>
      </c>
      <c r="H27" s="14">
        <v>71343000000</v>
      </c>
      <c r="I27" s="14">
        <f t="shared" si="12"/>
        <v>50306000000</v>
      </c>
      <c r="J27" s="14">
        <v>3743567000000</v>
      </c>
      <c r="K27" s="14">
        <v>3743567000000</v>
      </c>
      <c r="L27" s="14"/>
      <c r="M27" s="14" t="s">
        <v>43</v>
      </c>
      <c r="N27" s="14">
        <f>C27/G27</f>
        <v>0.10864043272036762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MB27" s="15"/>
      <c r="MC27" s="15"/>
      <c r="MD27" s="15"/>
      <c r="ME27" s="15"/>
      <c r="MF27" s="15"/>
      <c r="MG27" s="15"/>
      <c r="MH27" s="15"/>
      <c r="MI27" s="15"/>
      <c r="MJ27" s="15"/>
      <c r="MK27" s="15"/>
      <c r="ML27" s="15"/>
      <c r="MM27" s="15"/>
      <c r="MN27" s="15"/>
      <c r="MO27" s="15"/>
      <c r="MP27" s="15"/>
      <c r="MQ27" s="15"/>
      <c r="MR27" s="15"/>
      <c r="MS27" s="15"/>
      <c r="MT27" s="15"/>
      <c r="MU27" s="15"/>
      <c r="MV27" s="15"/>
      <c r="MW27" s="15"/>
      <c r="MX27" s="15"/>
      <c r="MY27" s="15"/>
      <c r="MZ27" s="15"/>
      <c r="NA27" s="15"/>
      <c r="NB27" s="15"/>
      <c r="NC27" s="15"/>
      <c r="ND27" s="15"/>
      <c r="NE27" s="15"/>
      <c r="NF27" s="15"/>
      <c r="NG27" s="15"/>
      <c r="NH27" s="15"/>
      <c r="NI27" s="15"/>
      <c r="NJ27" s="15"/>
      <c r="NK27" s="15"/>
      <c r="NL27" s="15"/>
      <c r="NM27" s="15"/>
      <c r="NN27" s="15"/>
      <c r="NO27" s="15"/>
      <c r="NP27" s="15"/>
      <c r="NQ27" s="15"/>
      <c r="NR27" s="15"/>
      <c r="NS27" s="15"/>
      <c r="NT27" s="15"/>
      <c r="NU27" s="15"/>
      <c r="NV27" s="15"/>
      <c r="NW27" s="15"/>
      <c r="NX27" s="15"/>
      <c r="NY27" s="15"/>
      <c r="NZ27" s="15"/>
      <c r="OA27" s="15"/>
      <c r="OB27" s="15"/>
      <c r="OC27" s="15"/>
      <c r="OD27" s="15"/>
      <c r="OE27" s="15"/>
      <c r="OF27" s="15"/>
      <c r="OG27" s="15"/>
      <c r="OH27" s="15"/>
      <c r="OI27" s="15"/>
      <c r="OJ27" s="15"/>
      <c r="OK27" s="15"/>
      <c r="OL27" s="15"/>
      <c r="OM27" s="15"/>
      <c r="ON27" s="15"/>
      <c r="OO27" s="15"/>
      <c r="OP27" s="15"/>
      <c r="OQ27" s="15"/>
      <c r="OR27" s="15"/>
      <c r="OS27" s="15"/>
      <c r="OT27" s="15"/>
      <c r="OU27" s="15"/>
      <c r="OV27" s="15"/>
      <c r="OW27" s="15"/>
      <c r="OX27" s="15"/>
      <c r="OY27" s="15"/>
      <c r="OZ27" s="15"/>
      <c r="PA27" s="15"/>
      <c r="PB27" s="15"/>
      <c r="PC27" s="15"/>
      <c r="PD27" s="15"/>
      <c r="PE27" s="15"/>
      <c r="PF27" s="15"/>
      <c r="PG27" s="15"/>
      <c r="PH27" s="15"/>
      <c r="PI27" s="15"/>
      <c r="PJ27" s="15"/>
      <c r="PK27" s="15"/>
      <c r="PL27" s="15"/>
      <c r="PM27" s="15"/>
      <c r="PN27" s="15"/>
      <c r="PO27" s="15"/>
      <c r="PP27" s="15"/>
      <c r="PQ27" s="15"/>
      <c r="PR27" s="15"/>
      <c r="PS27" s="15"/>
      <c r="PT27" s="15"/>
      <c r="PU27" s="15"/>
      <c r="PV27" s="15"/>
      <c r="PW27" s="15"/>
      <c r="PX27" s="15"/>
      <c r="PY27" s="15"/>
      <c r="PZ27" s="15"/>
      <c r="QA27" s="15"/>
      <c r="QB27" s="15"/>
      <c r="QC27" s="15"/>
      <c r="QD27" s="15"/>
      <c r="QE27" s="15"/>
      <c r="QF27" s="15"/>
      <c r="QG27" s="15"/>
      <c r="QH27" s="15"/>
      <c r="QI27" s="15"/>
      <c r="QJ27" s="15"/>
      <c r="QK27" s="15"/>
      <c r="QL27" s="15"/>
      <c r="QM27" s="15"/>
      <c r="QN27" s="15"/>
      <c r="QO27" s="15"/>
      <c r="QP27" s="15"/>
      <c r="QQ27" s="15"/>
      <c r="QR27" s="15"/>
      <c r="QS27" s="15"/>
      <c r="QT27" s="15"/>
      <c r="QU27" s="15"/>
      <c r="QV27" s="15"/>
      <c r="QW27" s="15"/>
      <c r="QX27" s="15"/>
      <c r="QY27" s="15"/>
      <c r="QZ27" s="15"/>
      <c r="RA27" s="15"/>
      <c r="RB27" s="15"/>
      <c r="RC27" s="15"/>
      <c r="RD27" s="15"/>
      <c r="RE27" s="15"/>
      <c r="RF27" s="15"/>
      <c r="RG27" s="15"/>
      <c r="RH27" s="15"/>
      <c r="RI27" s="15"/>
      <c r="RJ27" s="15"/>
      <c r="RK27" s="15"/>
      <c r="RL27" s="15"/>
      <c r="RM27" s="15"/>
      <c r="RN27" s="15"/>
      <c r="RO27" s="15"/>
      <c r="RP27" s="15"/>
      <c r="RQ27" s="15"/>
      <c r="RR27" s="15"/>
      <c r="RS27" s="15"/>
      <c r="RT27" s="15"/>
      <c r="RU27" s="15"/>
      <c r="RV27" s="15"/>
      <c r="RW27" s="15"/>
      <c r="RX27" s="15"/>
      <c r="RY27" s="15"/>
      <c r="RZ27" s="15"/>
      <c r="SA27" s="15"/>
      <c r="SB27" s="15"/>
      <c r="SC27" s="15"/>
      <c r="SD27" s="15"/>
      <c r="SE27" s="15"/>
      <c r="SF27" s="15"/>
      <c r="SG27" s="15"/>
      <c r="SH27" s="15"/>
      <c r="SI27" s="15"/>
      <c r="SJ27" s="15"/>
      <c r="SK27" s="15"/>
      <c r="SL27" s="15"/>
      <c r="SM27" s="15"/>
      <c r="SN27" s="15"/>
      <c r="SO27" s="15"/>
      <c r="SP27" s="15"/>
      <c r="SQ27" s="15"/>
      <c r="SR27" s="15"/>
      <c r="SS27" s="15"/>
      <c r="ST27" s="15"/>
      <c r="SU27" s="15"/>
      <c r="SV27" s="15"/>
      <c r="SW27" s="15"/>
      <c r="SX27" s="15"/>
      <c r="SY27" s="15"/>
      <c r="SZ27" s="15"/>
      <c r="TA27" s="15"/>
      <c r="TB27" s="15"/>
      <c r="TC27" s="15"/>
      <c r="TD27" s="15"/>
      <c r="TE27" s="15"/>
      <c r="TF27" s="15"/>
      <c r="TG27" s="15"/>
      <c r="TH27" s="15"/>
      <c r="TI27" s="15"/>
      <c r="TJ27" s="15"/>
      <c r="TK27" s="15"/>
      <c r="TL27" s="15"/>
      <c r="TM27" s="15"/>
      <c r="TN27" s="15"/>
      <c r="TO27" s="15"/>
      <c r="TP27" s="15"/>
      <c r="TQ27" s="15"/>
      <c r="TR27" s="15"/>
      <c r="TS27" s="15"/>
      <c r="TT27" s="15"/>
      <c r="TU27" s="15"/>
      <c r="TV27" s="15"/>
      <c r="TW27" s="15"/>
      <c r="TX27" s="15"/>
      <c r="TY27" s="15"/>
      <c r="TZ27" s="15"/>
      <c r="UA27" s="15"/>
      <c r="UB27" s="15"/>
      <c r="UC27" s="15"/>
      <c r="UD27" s="15"/>
      <c r="UE27" s="15"/>
      <c r="UF27" s="15"/>
      <c r="UG27" s="15"/>
      <c r="UH27" s="15"/>
      <c r="UI27" s="15"/>
      <c r="UJ27" s="15"/>
      <c r="UK27" s="15"/>
      <c r="UL27" s="15"/>
      <c r="UM27" s="15"/>
      <c r="UN27" s="15"/>
      <c r="UO27" s="15"/>
      <c r="UP27" s="15"/>
      <c r="UQ27" s="15"/>
      <c r="UR27" s="15"/>
      <c r="US27" s="15"/>
      <c r="UT27" s="15"/>
      <c r="UU27" s="15"/>
      <c r="UV27" s="15"/>
      <c r="UW27" s="15"/>
      <c r="UX27" s="15"/>
      <c r="UY27" s="15"/>
      <c r="UZ27" s="15"/>
      <c r="VA27" s="15"/>
      <c r="VB27" s="15"/>
      <c r="VC27" s="15"/>
      <c r="VD27" s="15"/>
      <c r="VE27" s="15"/>
      <c r="VF27" s="15"/>
      <c r="VG27" s="15"/>
      <c r="VH27" s="15"/>
      <c r="VI27" s="15"/>
      <c r="VJ27" s="15"/>
      <c r="VK27" s="15"/>
      <c r="VL27" s="15"/>
      <c r="VM27" s="15"/>
      <c r="VN27" s="15"/>
      <c r="VO27" s="15"/>
      <c r="VP27" s="15"/>
      <c r="VQ27" s="15"/>
      <c r="VR27" s="15"/>
      <c r="VS27" s="15"/>
      <c r="VT27" s="15"/>
      <c r="VU27" s="15"/>
      <c r="VV27" s="15"/>
      <c r="VW27" s="15"/>
      <c r="VX27" s="15"/>
      <c r="VY27" s="15"/>
      <c r="VZ27" s="15"/>
      <c r="WA27" s="15"/>
      <c r="WB27" s="15"/>
      <c r="WC27" s="15"/>
      <c r="WD27" s="15"/>
      <c r="WE27" s="15"/>
      <c r="WF27" s="15"/>
      <c r="WG27" s="15"/>
      <c r="WH27" s="15"/>
      <c r="WI27" s="15"/>
      <c r="WJ27" s="15"/>
      <c r="WK27" s="15"/>
      <c r="WL27" s="15"/>
      <c r="WM27" s="15"/>
      <c r="WN27" s="15"/>
      <c r="WO27" s="15"/>
      <c r="WP27" s="15"/>
      <c r="WQ27" s="15"/>
      <c r="WR27" s="15"/>
      <c r="WS27" s="15"/>
      <c r="WT27" s="15"/>
      <c r="WU27" s="15"/>
      <c r="WV27" s="15"/>
      <c r="WW27" s="15"/>
      <c r="WX27" s="15"/>
      <c r="WY27" s="15"/>
      <c r="WZ27" s="15"/>
      <c r="XA27" s="15"/>
      <c r="XB27" s="15"/>
      <c r="XC27" s="15"/>
      <c r="XD27" s="15"/>
      <c r="XE27" s="15"/>
      <c r="XF27" s="15"/>
      <c r="XG27" s="15"/>
      <c r="XH27" s="15"/>
      <c r="XI27" s="15"/>
      <c r="XJ27" s="15"/>
      <c r="XK27" s="15"/>
      <c r="XL27" s="15"/>
      <c r="XM27" s="15"/>
      <c r="XN27" s="15"/>
      <c r="XO27" s="15"/>
      <c r="XP27" s="15"/>
      <c r="XQ27" s="15"/>
      <c r="XR27" s="15"/>
      <c r="XS27" s="15"/>
      <c r="XT27" s="15"/>
      <c r="XU27" s="15"/>
      <c r="XV27" s="15"/>
      <c r="XW27" s="15"/>
      <c r="XX27" s="15"/>
      <c r="XY27" s="15"/>
      <c r="XZ27" s="15"/>
      <c r="YA27" s="15"/>
      <c r="YB27" s="15"/>
      <c r="YC27" s="15"/>
      <c r="YD27" s="15"/>
      <c r="YE27" s="15"/>
      <c r="YF27" s="15"/>
      <c r="YG27" s="15"/>
      <c r="YH27" s="15"/>
      <c r="YI27" s="15"/>
      <c r="YJ27" s="15"/>
      <c r="YK27" s="15"/>
      <c r="YL27" s="15"/>
      <c r="YM27" s="15"/>
      <c r="YN27" s="15"/>
      <c r="YO27" s="15"/>
      <c r="YP27" s="15"/>
      <c r="YQ27" s="15"/>
      <c r="YR27" s="15"/>
      <c r="YS27" s="15"/>
      <c r="YT27" s="15"/>
      <c r="YU27" s="15"/>
      <c r="YV27" s="15"/>
      <c r="YW27" s="15"/>
      <c r="YX27" s="15"/>
      <c r="YY27" s="15"/>
      <c r="YZ27" s="15"/>
      <c r="ZA27" s="15"/>
      <c r="ZB27" s="15"/>
      <c r="ZC27" s="15"/>
      <c r="ZD27" s="15"/>
      <c r="ZE27" s="15"/>
      <c r="ZF27" s="15"/>
      <c r="ZG27" s="15"/>
      <c r="ZH27" s="15"/>
      <c r="ZI27" s="15"/>
      <c r="ZJ27" s="15"/>
      <c r="ZK27" s="15"/>
      <c r="ZL27" s="15"/>
      <c r="ZM27" s="15"/>
      <c r="ZN27" s="15"/>
      <c r="ZO27" s="15"/>
      <c r="ZP27" s="15"/>
      <c r="ZQ27" s="15"/>
      <c r="ZR27" s="15"/>
      <c r="ZS27" s="15"/>
      <c r="ZT27" s="15"/>
      <c r="ZU27" s="15"/>
      <c r="ZV27" s="15"/>
      <c r="ZW27" s="15"/>
      <c r="ZX27" s="15"/>
      <c r="ZY27" s="15"/>
      <c r="ZZ27" s="15"/>
      <c r="AAA27" s="15"/>
      <c r="AAB27" s="15"/>
      <c r="AAC27" s="15"/>
      <c r="AAD27" s="15"/>
      <c r="AAE27" s="15"/>
      <c r="AAF27" s="15"/>
      <c r="AAG27" s="15"/>
      <c r="AAH27" s="15"/>
      <c r="AAI27" s="15"/>
      <c r="AAJ27" s="15"/>
      <c r="AAK27" s="15"/>
      <c r="AAL27" s="15"/>
      <c r="AAM27" s="15"/>
      <c r="AAN27" s="15"/>
      <c r="AAO27" s="15"/>
      <c r="AAP27" s="15"/>
      <c r="AAQ27" s="15"/>
      <c r="AAR27" s="15"/>
      <c r="AAS27" s="15"/>
      <c r="AAT27" s="15"/>
      <c r="AAU27" s="15"/>
      <c r="AAV27" s="15"/>
      <c r="AAW27" s="15"/>
      <c r="AAX27" s="15"/>
      <c r="AAY27" s="15"/>
      <c r="AAZ27" s="15"/>
      <c r="ABA27" s="15"/>
      <c r="ABB27" s="15"/>
      <c r="ABC27" s="15"/>
      <c r="ABD27" s="15"/>
      <c r="ABE27" s="15"/>
      <c r="ABF27" s="15"/>
      <c r="ABG27" s="15"/>
      <c r="ABH27" s="15"/>
      <c r="ABI27" s="15"/>
      <c r="ABJ27" s="15"/>
      <c r="ABK27" s="15"/>
      <c r="ABL27" s="15"/>
      <c r="ABM27" s="15"/>
      <c r="ABN27" s="15"/>
      <c r="ABO27" s="15"/>
      <c r="ABP27" s="15"/>
      <c r="ABQ27" s="15"/>
      <c r="ABR27" s="15"/>
      <c r="ABS27" s="15"/>
      <c r="ABT27" s="15"/>
      <c r="ABU27" s="15"/>
      <c r="ABV27" s="15"/>
      <c r="ABW27" s="15"/>
      <c r="ABX27" s="15"/>
      <c r="ABY27" s="15"/>
      <c r="ABZ27" s="15"/>
      <c r="ACA27" s="15"/>
      <c r="ACB27" s="15"/>
      <c r="ACC27" s="15"/>
      <c r="ACD27" s="15"/>
      <c r="ACE27" s="15"/>
      <c r="ACF27" s="15"/>
      <c r="ACG27" s="15"/>
      <c r="ACH27" s="15"/>
      <c r="ACI27" s="15"/>
      <c r="ACJ27" s="15"/>
      <c r="ACK27" s="15"/>
      <c r="ACL27" s="15"/>
      <c r="ACM27" s="15"/>
      <c r="ACN27" s="15"/>
      <c r="ACO27" s="15"/>
      <c r="ACP27" s="15"/>
      <c r="ACQ27" s="15"/>
      <c r="ACR27" s="15"/>
      <c r="ACS27" s="15"/>
      <c r="ACT27" s="15"/>
      <c r="ACU27" s="15"/>
      <c r="ACV27" s="15"/>
      <c r="ACW27" s="15"/>
      <c r="ACX27" s="15"/>
      <c r="ACY27" s="15"/>
      <c r="ACZ27" s="15"/>
      <c r="ADA27" s="15"/>
      <c r="ADB27" s="15"/>
      <c r="ADC27" s="15"/>
      <c r="ADD27" s="15"/>
      <c r="ADE27" s="15"/>
      <c r="ADF27" s="15"/>
      <c r="ADG27" s="15"/>
      <c r="ADH27" s="15"/>
      <c r="ADI27" s="15"/>
      <c r="ADJ27" s="15"/>
      <c r="ADK27" s="15"/>
      <c r="ADL27" s="15"/>
      <c r="ADM27" s="15"/>
      <c r="ADN27" s="15"/>
      <c r="ADO27" s="15"/>
      <c r="ADP27" s="15"/>
      <c r="ADQ27" s="15"/>
      <c r="ADR27" s="15"/>
      <c r="ADS27" s="15"/>
      <c r="ADT27" s="15"/>
      <c r="ADU27" s="15"/>
      <c r="ADV27" s="15"/>
      <c r="ADW27" s="15"/>
      <c r="ADX27" s="15"/>
      <c r="ADY27" s="15"/>
      <c r="ADZ27" s="15"/>
      <c r="AEA27" s="15"/>
      <c r="AEB27" s="15"/>
      <c r="AEC27" s="15"/>
      <c r="AED27" s="15"/>
      <c r="AEE27" s="15"/>
      <c r="AEF27" s="15"/>
      <c r="AEG27" s="15"/>
      <c r="AEH27" s="15"/>
      <c r="AEI27" s="15"/>
      <c r="AEJ27" s="15"/>
      <c r="AEK27" s="15"/>
      <c r="AEL27" s="15"/>
      <c r="AEM27" s="15"/>
      <c r="AEN27" s="15"/>
      <c r="AEO27" s="15"/>
      <c r="AEP27" s="15"/>
      <c r="AEQ27" s="15"/>
      <c r="AER27" s="15"/>
      <c r="AES27" s="15"/>
      <c r="AET27" s="15"/>
      <c r="AEU27" s="15"/>
      <c r="AEV27" s="15"/>
      <c r="AEW27" s="15"/>
      <c r="AEX27" s="15"/>
      <c r="AEY27" s="15"/>
      <c r="AEZ27" s="15"/>
      <c r="AFA27" s="15"/>
      <c r="AFB27" s="15"/>
      <c r="AFC27" s="15"/>
      <c r="AFD27" s="15"/>
      <c r="AFE27" s="15"/>
      <c r="AFF27" s="15"/>
      <c r="AFG27" s="15"/>
      <c r="AFH27" s="15"/>
      <c r="AFI27" s="15"/>
      <c r="AFJ27" s="15"/>
      <c r="AFK27" s="15"/>
      <c r="AFL27" s="15"/>
      <c r="AFM27" s="15"/>
      <c r="AFN27" s="15"/>
      <c r="AFO27" s="15"/>
      <c r="AFP27" s="15"/>
      <c r="AFQ27" s="15"/>
      <c r="AFR27" s="15"/>
      <c r="AFS27" s="15"/>
      <c r="AFT27" s="15"/>
      <c r="AFU27" s="15"/>
      <c r="AFV27" s="15"/>
      <c r="AFW27" s="15"/>
      <c r="AFX27" s="15"/>
      <c r="AFY27" s="15"/>
      <c r="AFZ27" s="15"/>
      <c r="AGA27" s="15"/>
      <c r="AGB27" s="15"/>
      <c r="AGC27" s="15"/>
      <c r="AGD27" s="15"/>
      <c r="AGE27" s="15"/>
      <c r="AGF27" s="15"/>
      <c r="AGG27" s="15"/>
      <c r="AGH27" s="15"/>
      <c r="AGI27" s="15"/>
      <c r="AGJ27" s="15"/>
      <c r="AGK27" s="15"/>
      <c r="AGL27" s="15"/>
      <c r="AGM27" s="15"/>
      <c r="AGN27" s="15"/>
      <c r="AGO27" s="15"/>
      <c r="AGP27" s="15"/>
      <c r="AGQ27" s="15"/>
      <c r="AGR27" s="15"/>
      <c r="AGS27" s="15"/>
      <c r="AGT27" s="15"/>
      <c r="AGU27" s="15"/>
      <c r="AGV27" s="15"/>
      <c r="AGW27" s="15"/>
      <c r="AGX27" s="15"/>
      <c r="AGY27" s="15"/>
      <c r="AGZ27" s="15"/>
      <c r="AHA27" s="15"/>
      <c r="AHB27" s="15"/>
      <c r="AHC27" s="15"/>
      <c r="AHD27" s="15"/>
      <c r="AHE27" s="15"/>
      <c r="AHF27" s="15"/>
      <c r="AHG27" s="15"/>
      <c r="AHH27" s="15"/>
      <c r="AHI27" s="15"/>
      <c r="AHJ27" s="15"/>
      <c r="AHK27" s="15"/>
      <c r="AHL27" s="15"/>
      <c r="AHM27" s="15"/>
      <c r="AHN27" s="15"/>
      <c r="AHO27" s="15"/>
      <c r="AHP27" s="15"/>
      <c r="AHQ27" s="15"/>
      <c r="AHR27" s="15"/>
      <c r="AHS27" s="15"/>
      <c r="AHT27" s="15"/>
      <c r="AHU27" s="15"/>
      <c r="AHV27" s="15"/>
      <c r="AHW27" s="15"/>
      <c r="AHX27" s="15"/>
      <c r="AHY27" s="15"/>
      <c r="AHZ27" s="15"/>
      <c r="AIA27" s="15"/>
      <c r="AIB27" s="15"/>
      <c r="AIC27" s="15"/>
      <c r="AID27" s="15"/>
      <c r="AIE27" s="15"/>
      <c r="AIF27" s="15"/>
      <c r="AIG27" s="15"/>
      <c r="AIH27" s="15"/>
      <c r="AII27" s="15"/>
      <c r="AIJ27" s="15"/>
      <c r="AIK27" s="15"/>
      <c r="AIL27" s="15"/>
      <c r="AIM27" s="15"/>
      <c r="AIN27" s="15"/>
      <c r="AIO27" s="15"/>
      <c r="AIP27" s="15"/>
      <c r="AIQ27" s="15"/>
      <c r="AIR27" s="15"/>
      <c r="AIS27" s="15"/>
      <c r="AIT27" s="15"/>
      <c r="AIU27" s="15"/>
      <c r="AIV27" s="15"/>
      <c r="AIW27" s="15"/>
      <c r="AIX27" s="15"/>
      <c r="AIY27" s="15"/>
      <c r="AIZ27" s="15"/>
      <c r="AJA27" s="15"/>
      <c r="AJB27" s="15"/>
      <c r="AJC27" s="15"/>
      <c r="AJD27" s="15"/>
      <c r="AJE27" s="15"/>
      <c r="AJF27" s="15"/>
      <c r="AJG27" s="15"/>
      <c r="AJH27" s="15"/>
      <c r="AJI27" s="15"/>
      <c r="AJJ27" s="15"/>
      <c r="AJK27" s="15"/>
      <c r="AJL27" s="15"/>
      <c r="AJM27" s="15"/>
      <c r="AJN27" s="15"/>
      <c r="AJO27" s="15"/>
      <c r="AJP27" s="15"/>
      <c r="AJQ27" s="15"/>
      <c r="AJR27" s="15"/>
      <c r="AJS27" s="15"/>
      <c r="AJT27" s="15"/>
      <c r="AJU27" s="15"/>
      <c r="AJV27" s="15"/>
      <c r="AJW27" s="15"/>
      <c r="AJX27" s="15"/>
      <c r="AJY27" s="15"/>
      <c r="AJZ27" s="15"/>
      <c r="AKA27" s="15"/>
      <c r="AKB27" s="15"/>
      <c r="AKC27" s="15"/>
      <c r="AKD27" s="15"/>
      <c r="AKE27" s="15"/>
      <c r="AKF27" s="15"/>
      <c r="AKG27" s="15"/>
      <c r="AKH27" s="15"/>
      <c r="AKI27" s="15"/>
      <c r="AKJ27" s="15"/>
      <c r="AKK27" s="15"/>
      <c r="AKL27" s="15"/>
      <c r="AKM27" s="15"/>
      <c r="AKN27" s="15"/>
      <c r="AKO27" s="15"/>
      <c r="AKP27" s="15"/>
      <c r="AKQ27" s="15"/>
      <c r="AKR27" s="15"/>
      <c r="AKS27" s="15"/>
      <c r="AKT27" s="15"/>
      <c r="AKU27" s="15"/>
      <c r="AKV27" s="15"/>
      <c r="AKW27" s="15"/>
      <c r="AKX27" s="15"/>
      <c r="AKY27" s="15"/>
      <c r="AKZ27" s="15"/>
      <c r="ALA27" s="15"/>
      <c r="ALB27" s="15"/>
      <c r="ALC27" s="15"/>
      <c r="ALD27" s="15"/>
      <c r="ALE27" s="15"/>
      <c r="ALF27" s="15"/>
      <c r="ALG27" s="15"/>
      <c r="ALH27" s="15"/>
      <c r="ALI27" s="15"/>
      <c r="ALJ27" s="15"/>
      <c r="ALK27" s="15"/>
      <c r="ALL27" s="15"/>
      <c r="ALM27" s="15"/>
      <c r="ALN27" s="15"/>
      <c r="ALO27" s="15"/>
      <c r="ALP27" s="15"/>
      <c r="ALQ27" s="15"/>
      <c r="ALR27" s="15"/>
      <c r="ALS27" s="15"/>
      <c r="ALT27" s="15"/>
      <c r="ALU27" s="15"/>
      <c r="ALV27" s="15"/>
      <c r="ALW27" s="15"/>
      <c r="ALX27" s="15"/>
      <c r="ALY27" s="15"/>
      <c r="ALZ27" s="15"/>
      <c r="AMA27" s="15"/>
      <c r="AMB27" s="15"/>
      <c r="AMC27" s="15"/>
      <c r="AMD27" s="15"/>
      <c r="AME27" s="15"/>
      <c r="AMF27" s="15"/>
      <c r="AMG27" s="15"/>
      <c r="AMH27" s="15"/>
      <c r="AMI27" s="15"/>
      <c r="AMJ27" s="15"/>
      <c r="AMK27" s="15"/>
    </row>
    <row r="28" spans="1:1025" s="13" customFormat="1" x14ac:dyDescent="0.25">
      <c r="A28" s="13" t="s">
        <v>45</v>
      </c>
      <c r="B28" s="13">
        <v>2020</v>
      </c>
      <c r="C28" s="14">
        <v>9486000000</v>
      </c>
      <c r="D28" s="14"/>
      <c r="E28" s="14">
        <v>54563000000</v>
      </c>
      <c r="F28" s="14">
        <v>65388000000</v>
      </c>
      <c r="G28" s="14">
        <f t="shared" si="11"/>
        <v>119951000000</v>
      </c>
      <c r="H28" s="14">
        <v>66656000000</v>
      </c>
      <c r="I28" s="14">
        <f t="shared" si="12"/>
        <v>53295000000</v>
      </c>
      <c r="J28" s="14">
        <v>3384757000000</v>
      </c>
      <c r="K28" s="14">
        <v>3384757000000</v>
      </c>
      <c r="L28" s="14"/>
      <c r="M28" s="14" t="s">
        <v>43</v>
      </c>
      <c r="N28" s="14" t="s">
        <v>44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  <c r="JZ28" s="15"/>
      <c r="KA28" s="15"/>
      <c r="KB28" s="15"/>
      <c r="KC28" s="15"/>
      <c r="KD28" s="15"/>
      <c r="KE28" s="15"/>
      <c r="KF28" s="15"/>
      <c r="KG28" s="15"/>
      <c r="KH28" s="15"/>
      <c r="KI28" s="15"/>
      <c r="KJ28" s="15"/>
      <c r="KK28" s="15"/>
      <c r="KL28" s="15"/>
      <c r="KM28" s="15"/>
      <c r="KN28" s="15"/>
      <c r="KO28" s="15"/>
      <c r="KP28" s="15"/>
      <c r="KQ28" s="15"/>
      <c r="KR28" s="15"/>
      <c r="KS28" s="15"/>
      <c r="KT28" s="15"/>
      <c r="KU28" s="15"/>
      <c r="KV28" s="15"/>
      <c r="KW28" s="15"/>
      <c r="KX28" s="15"/>
      <c r="KY28" s="15"/>
      <c r="KZ28" s="15"/>
      <c r="LA28" s="15"/>
      <c r="LB28" s="15"/>
      <c r="LC28" s="15"/>
      <c r="LD28" s="15"/>
      <c r="LE28" s="15"/>
      <c r="LF28" s="15"/>
      <c r="LG28" s="15"/>
      <c r="LH28" s="15"/>
      <c r="LI28" s="15"/>
      <c r="LJ28" s="15"/>
      <c r="LK28" s="15"/>
      <c r="LL28" s="15"/>
      <c r="LM28" s="15"/>
      <c r="LN28" s="15"/>
      <c r="LO28" s="15"/>
      <c r="LP28" s="15"/>
      <c r="LQ28" s="15"/>
      <c r="LR28" s="15"/>
      <c r="LS28" s="15"/>
      <c r="LT28" s="15"/>
      <c r="LU28" s="15"/>
      <c r="LV28" s="15"/>
      <c r="LW28" s="15"/>
      <c r="LX28" s="15"/>
      <c r="LY28" s="15"/>
      <c r="LZ28" s="15"/>
      <c r="MA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OF28" s="15"/>
      <c r="OG28" s="15"/>
      <c r="OH28" s="15"/>
      <c r="OI28" s="15"/>
      <c r="OJ28" s="15"/>
      <c r="OK28" s="15"/>
      <c r="OL28" s="15"/>
      <c r="OM28" s="15"/>
      <c r="ON28" s="15"/>
      <c r="OO28" s="15"/>
      <c r="OP28" s="15"/>
      <c r="OQ28" s="15"/>
      <c r="OR28" s="15"/>
      <c r="OS28" s="15"/>
      <c r="OT28" s="15"/>
      <c r="OU28" s="15"/>
      <c r="OV28" s="15"/>
      <c r="OW28" s="15"/>
      <c r="OX28" s="15"/>
      <c r="OY28" s="15"/>
      <c r="OZ28" s="15"/>
      <c r="PA28" s="15"/>
      <c r="PB28" s="15"/>
      <c r="PC28" s="15"/>
      <c r="PD28" s="15"/>
      <c r="PE28" s="15"/>
      <c r="PF28" s="15"/>
      <c r="PG28" s="15"/>
      <c r="PH28" s="15"/>
      <c r="PI28" s="15"/>
      <c r="PJ28" s="15"/>
      <c r="PK28" s="15"/>
      <c r="PL28" s="15"/>
      <c r="PM28" s="15"/>
      <c r="PN28" s="15"/>
      <c r="PO28" s="15"/>
      <c r="PP28" s="15"/>
      <c r="PQ28" s="15"/>
      <c r="PR28" s="15"/>
      <c r="PS28" s="15"/>
      <c r="PT28" s="15"/>
      <c r="PU28" s="15"/>
      <c r="PV28" s="15"/>
      <c r="PW28" s="15"/>
      <c r="PX28" s="15"/>
      <c r="PY28" s="15"/>
      <c r="PZ28" s="15"/>
      <c r="QA28" s="15"/>
      <c r="QB28" s="15"/>
      <c r="QC28" s="15"/>
      <c r="QD28" s="15"/>
      <c r="QE28" s="15"/>
      <c r="QF28" s="15"/>
      <c r="QG28" s="15"/>
      <c r="QH28" s="15"/>
      <c r="QI28" s="15"/>
      <c r="QJ28" s="15"/>
      <c r="QK28" s="15"/>
      <c r="QL28" s="15"/>
      <c r="QM28" s="15"/>
      <c r="QN28" s="15"/>
      <c r="QO28" s="15"/>
      <c r="QP28" s="15"/>
      <c r="QQ28" s="15"/>
      <c r="QR28" s="15"/>
      <c r="QS28" s="15"/>
      <c r="QT28" s="15"/>
      <c r="QU28" s="15"/>
      <c r="QV28" s="15"/>
      <c r="QW28" s="15"/>
      <c r="QX28" s="15"/>
      <c r="QY28" s="15"/>
      <c r="QZ28" s="15"/>
      <c r="RA28" s="15"/>
      <c r="RB28" s="15"/>
      <c r="RC28" s="15"/>
      <c r="RD28" s="15"/>
      <c r="RE28" s="15"/>
      <c r="RF28" s="15"/>
      <c r="RG28" s="15"/>
      <c r="RH28" s="15"/>
      <c r="RI28" s="15"/>
      <c r="RJ28" s="15"/>
      <c r="RK28" s="15"/>
      <c r="RL28" s="15"/>
      <c r="RM28" s="15"/>
      <c r="RN28" s="15"/>
      <c r="RO28" s="15"/>
      <c r="RP28" s="15"/>
      <c r="RQ28" s="15"/>
      <c r="RR28" s="15"/>
      <c r="RS28" s="15"/>
      <c r="RT28" s="15"/>
      <c r="RU28" s="15"/>
      <c r="RV28" s="15"/>
      <c r="RW28" s="15"/>
      <c r="RX28" s="15"/>
      <c r="RY28" s="15"/>
      <c r="RZ28" s="15"/>
      <c r="SA28" s="15"/>
      <c r="SB28" s="15"/>
      <c r="SC28" s="15"/>
      <c r="SD28" s="15"/>
      <c r="SE28" s="15"/>
      <c r="SF28" s="15"/>
      <c r="SG28" s="15"/>
      <c r="SH28" s="15"/>
      <c r="SI28" s="15"/>
      <c r="SJ28" s="15"/>
      <c r="SK28" s="15"/>
      <c r="SL28" s="15"/>
      <c r="SM28" s="15"/>
      <c r="SN28" s="15"/>
      <c r="SO28" s="15"/>
      <c r="SP28" s="15"/>
      <c r="SQ28" s="15"/>
      <c r="SR28" s="15"/>
      <c r="SS28" s="15"/>
      <c r="ST28" s="15"/>
      <c r="SU28" s="15"/>
      <c r="SV28" s="15"/>
      <c r="SW28" s="15"/>
      <c r="SX28" s="15"/>
      <c r="SY28" s="15"/>
      <c r="SZ28" s="15"/>
      <c r="TA28" s="15"/>
      <c r="TB28" s="15"/>
      <c r="TC28" s="15"/>
      <c r="TD28" s="15"/>
      <c r="TE28" s="15"/>
      <c r="TF28" s="15"/>
      <c r="TG28" s="15"/>
      <c r="TH28" s="15"/>
      <c r="TI28" s="15"/>
      <c r="TJ28" s="15"/>
      <c r="TK28" s="15"/>
      <c r="TL28" s="15"/>
      <c r="TM28" s="15"/>
      <c r="TN28" s="15"/>
      <c r="TO28" s="15"/>
      <c r="TP28" s="15"/>
      <c r="TQ28" s="15"/>
      <c r="TR28" s="15"/>
      <c r="TS28" s="15"/>
      <c r="TT28" s="15"/>
      <c r="TU28" s="15"/>
      <c r="TV28" s="15"/>
      <c r="TW28" s="15"/>
      <c r="TX28" s="15"/>
      <c r="TY28" s="15"/>
      <c r="TZ28" s="15"/>
      <c r="UA28" s="15"/>
      <c r="UB28" s="15"/>
      <c r="UC28" s="15"/>
      <c r="UD28" s="15"/>
      <c r="UE28" s="15"/>
      <c r="UF28" s="15"/>
      <c r="UG28" s="15"/>
      <c r="UH28" s="15"/>
      <c r="UI28" s="15"/>
      <c r="UJ28" s="15"/>
      <c r="UK28" s="15"/>
      <c r="UL28" s="15"/>
      <c r="UM28" s="15"/>
      <c r="UN28" s="15"/>
      <c r="UO28" s="15"/>
      <c r="UP28" s="15"/>
      <c r="UQ28" s="15"/>
      <c r="UR28" s="15"/>
      <c r="US28" s="15"/>
      <c r="UT28" s="15"/>
      <c r="UU28" s="15"/>
      <c r="UV28" s="15"/>
      <c r="UW28" s="15"/>
      <c r="UX28" s="15"/>
      <c r="UY28" s="15"/>
      <c r="UZ28" s="15"/>
      <c r="VA28" s="15"/>
      <c r="VB28" s="15"/>
      <c r="VC28" s="15"/>
      <c r="VD28" s="15"/>
      <c r="VE28" s="15"/>
      <c r="VF28" s="15"/>
      <c r="VG28" s="15"/>
      <c r="VH28" s="15"/>
      <c r="VI28" s="15"/>
      <c r="VJ28" s="15"/>
      <c r="VK28" s="15"/>
      <c r="VL28" s="15"/>
      <c r="VM28" s="15"/>
      <c r="VN28" s="15"/>
      <c r="VO28" s="15"/>
      <c r="VP28" s="15"/>
      <c r="VQ28" s="15"/>
      <c r="VR28" s="15"/>
      <c r="VS28" s="15"/>
      <c r="VT28" s="15"/>
      <c r="VU28" s="15"/>
      <c r="VV28" s="15"/>
      <c r="VW28" s="15"/>
      <c r="VX28" s="15"/>
      <c r="VY28" s="15"/>
      <c r="VZ28" s="15"/>
      <c r="WA28" s="15"/>
      <c r="WB28" s="15"/>
      <c r="WC28" s="15"/>
      <c r="WD28" s="15"/>
      <c r="WE28" s="15"/>
      <c r="WF28" s="15"/>
      <c r="WG28" s="15"/>
      <c r="WH28" s="15"/>
      <c r="WI28" s="15"/>
      <c r="WJ28" s="15"/>
      <c r="WK28" s="15"/>
      <c r="WL28" s="15"/>
      <c r="WM28" s="15"/>
      <c r="WN28" s="15"/>
      <c r="WO28" s="15"/>
      <c r="WP28" s="15"/>
      <c r="WQ28" s="15"/>
      <c r="WR28" s="15"/>
      <c r="WS28" s="15"/>
      <c r="WT28" s="15"/>
      <c r="WU28" s="15"/>
      <c r="WV28" s="15"/>
      <c r="WW28" s="15"/>
      <c r="WX28" s="15"/>
      <c r="WY28" s="15"/>
      <c r="WZ28" s="15"/>
      <c r="XA28" s="15"/>
      <c r="XB28" s="15"/>
      <c r="XC28" s="15"/>
      <c r="XD28" s="15"/>
      <c r="XE28" s="15"/>
      <c r="XF28" s="15"/>
      <c r="XG28" s="15"/>
      <c r="XH28" s="15"/>
      <c r="XI28" s="15"/>
      <c r="XJ28" s="15"/>
      <c r="XK28" s="15"/>
      <c r="XL28" s="15"/>
      <c r="XM28" s="15"/>
      <c r="XN28" s="15"/>
      <c r="XO28" s="15"/>
      <c r="XP28" s="15"/>
      <c r="XQ28" s="15"/>
      <c r="XR28" s="15"/>
      <c r="XS28" s="15"/>
      <c r="XT28" s="15"/>
      <c r="XU28" s="15"/>
      <c r="XV28" s="15"/>
      <c r="XW28" s="15"/>
      <c r="XX28" s="15"/>
      <c r="XY28" s="15"/>
      <c r="XZ28" s="15"/>
      <c r="YA28" s="15"/>
      <c r="YB28" s="15"/>
      <c r="YC28" s="15"/>
      <c r="YD28" s="15"/>
      <c r="YE28" s="15"/>
      <c r="YF28" s="15"/>
      <c r="YG28" s="15"/>
      <c r="YH28" s="15"/>
      <c r="YI28" s="15"/>
      <c r="YJ28" s="15"/>
      <c r="YK28" s="15"/>
      <c r="YL28" s="15"/>
      <c r="YM28" s="15"/>
      <c r="YN28" s="15"/>
      <c r="YO28" s="15"/>
      <c r="YP28" s="15"/>
      <c r="YQ28" s="15"/>
      <c r="YR28" s="15"/>
      <c r="YS28" s="15"/>
      <c r="YT28" s="15"/>
      <c r="YU28" s="15"/>
      <c r="YV28" s="15"/>
      <c r="YW28" s="15"/>
      <c r="YX28" s="15"/>
      <c r="YY28" s="15"/>
      <c r="YZ28" s="15"/>
      <c r="ZA28" s="15"/>
      <c r="ZB28" s="15"/>
      <c r="ZC28" s="15"/>
      <c r="ZD28" s="15"/>
      <c r="ZE28" s="15"/>
      <c r="ZF28" s="15"/>
      <c r="ZG28" s="15"/>
      <c r="ZH28" s="15"/>
      <c r="ZI28" s="15"/>
      <c r="ZJ28" s="15"/>
      <c r="ZK28" s="15"/>
      <c r="ZL28" s="15"/>
      <c r="ZM28" s="15"/>
      <c r="ZN28" s="15"/>
      <c r="ZO28" s="15"/>
      <c r="ZP28" s="15"/>
      <c r="ZQ28" s="15"/>
      <c r="ZR28" s="15"/>
      <c r="ZS28" s="15"/>
      <c r="ZT28" s="15"/>
      <c r="ZU28" s="15"/>
      <c r="ZV28" s="15"/>
      <c r="ZW28" s="15"/>
      <c r="ZX28" s="15"/>
      <c r="ZY28" s="15"/>
      <c r="ZZ28" s="15"/>
      <c r="AAA28" s="15"/>
      <c r="AAB28" s="15"/>
      <c r="AAC28" s="15"/>
      <c r="AAD28" s="15"/>
      <c r="AAE28" s="15"/>
      <c r="AAF28" s="15"/>
      <c r="AAG28" s="15"/>
      <c r="AAH28" s="15"/>
      <c r="AAI28" s="15"/>
      <c r="AAJ28" s="15"/>
      <c r="AAK28" s="15"/>
      <c r="AAL28" s="15"/>
      <c r="AAM28" s="15"/>
      <c r="AAN28" s="15"/>
      <c r="AAO28" s="15"/>
      <c r="AAP28" s="15"/>
      <c r="AAQ28" s="15"/>
      <c r="AAR28" s="15"/>
      <c r="AAS28" s="15"/>
      <c r="AAT28" s="15"/>
      <c r="AAU28" s="15"/>
      <c r="AAV28" s="15"/>
      <c r="AAW28" s="15"/>
      <c r="AAX28" s="15"/>
      <c r="AAY28" s="15"/>
      <c r="AAZ28" s="15"/>
      <c r="ABA28" s="15"/>
      <c r="ABB28" s="15"/>
      <c r="ABC28" s="15"/>
      <c r="ABD28" s="15"/>
      <c r="ABE28" s="15"/>
      <c r="ABF28" s="15"/>
      <c r="ABG28" s="15"/>
      <c r="ABH28" s="15"/>
      <c r="ABI28" s="15"/>
      <c r="ABJ28" s="15"/>
      <c r="ABK28" s="15"/>
      <c r="ABL28" s="15"/>
      <c r="ABM28" s="15"/>
      <c r="ABN28" s="15"/>
      <c r="ABO28" s="15"/>
      <c r="ABP28" s="15"/>
      <c r="ABQ28" s="15"/>
      <c r="ABR28" s="15"/>
      <c r="ABS28" s="15"/>
      <c r="ABT28" s="15"/>
      <c r="ABU28" s="15"/>
      <c r="ABV28" s="15"/>
      <c r="ABW28" s="15"/>
      <c r="ABX28" s="15"/>
      <c r="ABY28" s="15"/>
      <c r="ABZ28" s="15"/>
      <c r="ACA28" s="15"/>
      <c r="ACB28" s="15"/>
      <c r="ACC28" s="15"/>
      <c r="ACD28" s="15"/>
      <c r="ACE28" s="15"/>
      <c r="ACF28" s="15"/>
      <c r="ACG28" s="15"/>
      <c r="ACH28" s="15"/>
      <c r="ACI28" s="15"/>
      <c r="ACJ28" s="15"/>
      <c r="ACK28" s="15"/>
      <c r="ACL28" s="15"/>
      <c r="ACM28" s="15"/>
      <c r="ACN28" s="15"/>
      <c r="ACO28" s="15"/>
      <c r="ACP28" s="15"/>
      <c r="ACQ28" s="15"/>
      <c r="ACR28" s="15"/>
      <c r="ACS28" s="15"/>
      <c r="ACT28" s="15"/>
      <c r="ACU28" s="15"/>
      <c r="ACV28" s="15"/>
      <c r="ACW28" s="15"/>
      <c r="ACX28" s="15"/>
      <c r="ACY28" s="15"/>
      <c r="ACZ28" s="15"/>
      <c r="ADA28" s="15"/>
      <c r="ADB28" s="15"/>
      <c r="ADC28" s="15"/>
      <c r="ADD28" s="15"/>
      <c r="ADE28" s="15"/>
      <c r="ADF28" s="15"/>
      <c r="ADG28" s="15"/>
      <c r="ADH28" s="15"/>
      <c r="ADI28" s="15"/>
      <c r="ADJ28" s="15"/>
      <c r="ADK28" s="15"/>
      <c r="ADL28" s="15"/>
      <c r="ADM28" s="15"/>
      <c r="ADN28" s="15"/>
      <c r="ADO28" s="15"/>
      <c r="ADP28" s="15"/>
      <c r="ADQ28" s="15"/>
      <c r="ADR28" s="15"/>
      <c r="ADS28" s="15"/>
      <c r="ADT28" s="15"/>
      <c r="ADU28" s="15"/>
      <c r="ADV28" s="15"/>
      <c r="ADW28" s="15"/>
      <c r="ADX28" s="15"/>
      <c r="ADY28" s="15"/>
      <c r="ADZ28" s="15"/>
      <c r="AEA28" s="15"/>
      <c r="AEB28" s="15"/>
      <c r="AEC28" s="15"/>
      <c r="AED28" s="15"/>
      <c r="AEE28" s="15"/>
      <c r="AEF28" s="15"/>
      <c r="AEG28" s="15"/>
      <c r="AEH28" s="15"/>
      <c r="AEI28" s="15"/>
      <c r="AEJ28" s="15"/>
      <c r="AEK28" s="15"/>
      <c r="AEL28" s="15"/>
      <c r="AEM28" s="15"/>
      <c r="AEN28" s="15"/>
      <c r="AEO28" s="15"/>
      <c r="AEP28" s="15"/>
      <c r="AEQ28" s="15"/>
      <c r="AER28" s="15"/>
      <c r="AES28" s="15"/>
      <c r="AET28" s="15"/>
      <c r="AEU28" s="15"/>
      <c r="AEV28" s="15"/>
      <c r="AEW28" s="15"/>
      <c r="AEX28" s="15"/>
      <c r="AEY28" s="15"/>
      <c r="AEZ28" s="15"/>
      <c r="AFA28" s="15"/>
      <c r="AFB28" s="15"/>
      <c r="AFC28" s="15"/>
      <c r="AFD28" s="15"/>
      <c r="AFE28" s="15"/>
      <c r="AFF28" s="15"/>
      <c r="AFG28" s="15"/>
      <c r="AFH28" s="15"/>
      <c r="AFI28" s="15"/>
      <c r="AFJ28" s="15"/>
      <c r="AFK28" s="15"/>
      <c r="AFL28" s="15"/>
      <c r="AFM28" s="15"/>
      <c r="AFN28" s="15"/>
      <c r="AFO28" s="15"/>
      <c r="AFP28" s="15"/>
      <c r="AFQ28" s="15"/>
      <c r="AFR28" s="15"/>
      <c r="AFS28" s="15"/>
      <c r="AFT28" s="15"/>
      <c r="AFU28" s="15"/>
      <c r="AFV28" s="15"/>
      <c r="AFW28" s="15"/>
      <c r="AFX28" s="15"/>
      <c r="AFY28" s="15"/>
      <c r="AFZ28" s="15"/>
      <c r="AGA28" s="15"/>
      <c r="AGB28" s="15"/>
      <c r="AGC28" s="15"/>
      <c r="AGD28" s="15"/>
      <c r="AGE28" s="15"/>
      <c r="AGF28" s="15"/>
      <c r="AGG28" s="15"/>
      <c r="AGH28" s="15"/>
      <c r="AGI28" s="15"/>
      <c r="AGJ28" s="15"/>
      <c r="AGK28" s="15"/>
      <c r="AGL28" s="15"/>
      <c r="AGM28" s="15"/>
      <c r="AGN28" s="15"/>
      <c r="AGO28" s="15"/>
      <c r="AGP28" s="15"/>
      <c r="AGQ28" s="15"/>
      <c r="AGR28" s="15"/>
      <c r="AGS28" s="15"/>
      <c r="AGT28" s="15"/>
      <c r="AGU28" s="15"/>
      <c r="AGV28" s="15"/>
      <c r="AGW28" s="15"/>
      <c r="AGX28" s="15"/>
      <c r="AGY28" s="15"/>
      <c r="AGZ28" s="15"/>
      <c r="AHA28" s="15"/>
      <c r="AHB28" s="15"/>
      <c r="AHC28" s="15"/>
      <c r="AHD28" s="15"/>
      <c r="AHE28" s="15"/>
      <c r="AHF28" s="15"/>
      <c r="AHG28" s="15"/>
      <c r="AHH28" s="15"/>
      <c r="AHI28" s="15"/>
      <c r="AHJ28" s="15"/>
      <c r="AHK28" s="15"/>
      <c r="AHL28" s="15"/>
      <c r="AHM28" s="15"/>
      <c r="AHN28" s="15"/>
      <c r="AHO28" s="15"/>
      <c r="AHP28" s="15"/>
      <c r="AHQ28" s="15"/>
      <c r="AHR28" s="15"/>
      <c r="AHS28" s="15"/>
      <c r="AHT28" s="15"/>
      <c r="AHU28" s="15"/>
      <c r="AHV28" s="15"/>
      <c r="AHW28" s="15"/>
      <c r="AHX28" s="15"/>
      <c r="AHY28" s="15"/>
      <c r="AHZ28" s="15"/>
      <c r="AIA28" s="15"/>
      <c r="AIB28" s="15"/>
      <c r="AIC28" s="15"/>
      <c r="AID28" s="15"/>
      <c r="AIE28" s="15"/>
      <c r="AIF28" s="15"/>
      <c r="AIG28" s="15"/>
      <c r="AIH28" s="15"/>
      <c r="AII28" s="15"/>
      <c r="AIJ28" s="15"/>
      <c r="AIK28" s="15"/>
      <c r="AIL28" s="15"/>
      <c r="AIM28" s="15"/>
      <c r="AIN28" s="15"/>
      <c r="AIO28" s="15"/>
      <c r="AIP28" s="15"/>
      <c r="AIQ28" s="15"/>
      <c r="AIR28" s="15"/>
      <c r="AIS28" s="15"/>
      <c r="AIT28" s="15"/>
      <c r="AIU28" s="15"/>
      <c r="AIV28" s="15"/>
      <c r="AIW28" s="15"/>
      <c r="AIX28" s="15"/>
      <c r="AIY28" s="15"/>
      <c r="AIZ28" s="15"/>
      <c r="AJA28" s="15"/>
      <c r="AJB28" s="15"/>
      <c r="AJC28" s="15"/>
      <c r="AJD28" s="15"/>
      <c r="AJE28" s="15"/>
      <c r="AJF28" s="15"/>
      <c r="AJG28" s="15"/>
      <c r="AJH28" s="15"/>
      <c r="AJI28" s="15"/>
      <c r="AJJ28" s="15"/>
      <c r="AJK28" s="15"/>
      <c r="AJL28" s="15"/>
      <c r="AJM28" s="15"/>
      <c r="AJN28" s="15"/>
      <c r="AJO28" s="15"/>
      <c r="AJP28" s="15"/>
      <c r="AJQ28" s="15"/>
      <c r="AJR28" s="15"/>
      <c r="AJS28" s="15"/>
      <c r="AJT28" s="15"/>
      <c r="AJU28" s="15"/>
      <c r="AJV28" s="15"/>
      <c r="AJW28" s="15"/>
      <c r="AJX28" s="15"/>
      <c r="AJY28" s="15"/>
      <c r="AJZ28" s="15"/>
      <c r="AKA28" s="15"/>
      <c r="AKB28" s="15"/>
      <c r="AKC28" s="15"/>
      <c r="AKD28" s="15"/>
      <c r="AKE28" s="15"/>
      <c r="AKF28" s="15"/>
      <c r="AKG28" s="15"/>
      <c r="AKH28" s="15"/>
      <c r="AKI28" s="15"/>
      <c r="AKJ28" s="15"/>
      <c r="AKK28" s="15"/>
      <c r="AKL28" s="15"/>
      <c r="AKM28" s="15"/>
      <c r="AKN28" s="15"/>
      <c r="AKO28" s="15"/>
      <c r="AKP28" s="15"/>
      <c r="AKQ28" s="15"/>
      <c r="AKR28" s="15"/>
      <c r="AKS28" s="15"/>
      <c r="AKT28" s="15"/>
      <c r="AKU28" s="15"/>
      <c r="AKV28" s="15"/>
      <c r="AKW28" s="15"/>
      <c r="AKX28" s="15"/>
      <c r="AKY28" s="15"/>
      <c r="AKZ28" s="15"/>
      <c r="ALA28" s="15"/>
      <c r="ALB28" s="15"/>
      <c r="ALC28" s="15"/>
      <c r="ALD28" s="15"/>
      <c r="ALE28" s="15"/>
      <c r="ALF28" s="15"/>
      <c r="ALG28" s="15"/>
      <c r="ALH28" s="15"/>
      <c r="ALI28" s="15"/>
      <c r="ALJ28" s="15"/>
      <c r="ALK28" s="15"/>
      <c r="ALL28" s="15"/>
      <c r="ALM28" s="15"/>
      <c r="ALN28" s="15"/>
      <c r="ALO28" s="15"/>
      <c r="ALP28" s="15"/>
      <c r="ALQ28" s="15"/>
      <c r="ALR28" s="15"/>
      <c r="ALS28" s="15"/>
      <c r="ALT28" s="15"/>
      <c r="ALU28" s="15"/>
      <c r="ALV28" s="15"/>
      <c r="ALW28" s="15"/>
      <c r="ALX28" s="15"/>
      <c r="ALY28" s="15"/>
      <c r="ALZ28" s="15"/>
      <c r="AMA28" s="15"/>
      <c r="AMB28" s="15"/>
      <c r="AMC28" s="15"/>
      <c r="AMD28" s="15"/>
      <c r="AME28" s="15"/>
      <c r="AMF28" s="15"/>
      <c r="AMG28" s="15"/>
      <c r="AMH28" s="15"/>
      <c r="AMI28" s="15"/>
      <c r="AMJ28" s="15"/>
      <c r="AMK28" s="15"/>
    </row>
    <row r="29" spans="1:1025" s="13" customFormat="1" x14ac:dyDescent="0.25">
      <c r="A29" s="13" t="s">
        <v>45</v>
      </c>
      <c r="B29" s="13">
        <v>2019</v>
      </c>
      <c r="C29" s="14">
        <v>7501000000</v>
      </c>
      <c r="D29" s="14"/>
      <c r="E29" s="14">
        <v>57245000000</v>
      </c>
      <c r="F29" s="14">
        <v>58475000000</v>
      </c>
      <c r="G29" s="14">
        <f t="shared" si="11"/>
        <v>115720000000</v>
      </c>
      <c r="H29" s="14">
        <v>65269000000</v>
      </c>
      <c r="I29" s="14">
        <f t="shared" si="12"/>
        <v>50451000000</v>
      </c>
      <c r="J29" s="14">
        <v>2687379000000</v>
      </c>
      <c r="K29" s="14">
        <v>2687379000000</v>
      </c>
      <c r="L29" s="14"/>
      <c r="M29" s="14" t="s">
        <v>43</v>
      </c>
      <c r="N29" s="14" t="s">
        <v>44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/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5"/>
      <c r="KR29" s="15"/>
      <c r="KS29" s="15"/>
      <c r="KT29" s="15"/>
      <c r="KU29" s="15"/>
      <c r="KV29" s="15"/>
      <c r="KW29" s="15"/>
      <c r="KX29" s="15"/>
      <c r="KY29" s="15"/>
      <c r="KZ29" s="15"/>
      <c r="LA29" s="15"/>
      <c r="LB29" s="15"/>
      <c r="LC29" s="15"/>
      <c r="LD29" s="15"/>
      <c r="LE29" s="15"/>
      <c r="LF29" s="15"/>
      <c r="LG29" s="15"/>
      <c r="LH29" s="15"/>
      <c r="LI29" s="15"/>
      <c r="LJ29" s="15"/>
      <c r="LK29" s="15"/>
      <c r="LL29" s="15"/>
      <c r="LM29" s="15"/>
      <c r="LN29" s="15"/>
      <c r="LO29" s="15"/>
      <c r="LP29" s="15"/>
      <c r="LQ29" s="15"/>
      <c r="LR29" s="15"/>
      <c r="LS29" s="15"/>
      <c r="LT29" s="15"/>
      <c r="LU29" s="15"/>
      <c r="LV29" s="15"/>
      <c r="LW29" s="15"/>
      <c r="LX29" s="15"/>
      <c r="LY29" s="15"/>
      <c r="LZ29" s="15"/>
      <c r="MA29" s="15"/>
      <c r="MB29" s="15"/>
      <c r="MC29" s="15"/>
      <c r="MD29" s="15"/>
      <c r="ME29" s="15"/>
      <c r="MF29" s="15"/>
      <c r="MG29" s="15"/>
      <c r="MH29" s="15"/>
      <c r="MI29" s="15"/>
      <c r="MJ29" s="15"/>
      <c r="MK29" s="15"/>
      <c r="ML29" s="15"/>
      <c r="MM29" s="15"/>
      <c r="MN29" s="15"/>
      <c r="MO29" s="15"/>
      <c r="MP29" s="15"/>
      <c r="MQ29" s="15"/>
      <c r="MR29" s="15"/>
      <c r="MS29" s="15"/>
      <c r="MT29" s="15"/>
      <c r="MU29" s="15"/>
      <c r="MV29" s="15"/>
      <c r="MW29" s="15"/>
      <c r="MX29" s="15"/>
      <c r="MY29" s="15"/>
      <c r="MZ29" s="15"/>
      <c r="NA29" s="15"/>
      <c r="NB29" s="15"/>
      <c r="NC29" s="15"/>
      <c r="ND29" s="15"/>
      <c r="NE29" s="15"/>
      <c r="NF29" s="15"/>
      <c r="NG29" s="15"/>
      <c r="NH29" s="15"/>
      <c r="NI29" s="15"/>
      <c r="NJ29" s="15"/>
      <c r="NK29" s="15"/>
      <c r="NL29" s="15"/>
      <c r="NM29" s="15"/>
      <c r="NN29" s="15"/>
      <c r="NO29" s="15"/>
      <c r="NP29" s="15"/>
      <c r="NQ29" s="15"/>
      <c r="NR29" s="15"/>
      <c r="NS29" s="15"/>
      <c r="NT29" s="15"/>
      <c r="NU29" s="15"/>
      <c r="NV29" s="15"/>
      <c r="NW29" s="15"/>
      <c r="NX29" s="15"/>
      <c r="NY29" s="15"/>
      <c r="NZ29" s="15"/>
      <c r="OA29" s="15"/>
      <c r="OB29" s="15"/>
      <c r="OC29" s="15"/>
      <c r="OD29" s="15"/>
      <c r="OE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15"/>
      <c r="PC29" s="15"/>
      <c r="PD29" s="15"/>
      <c r="PE29" s="15"/>
      <c r="PF29" s="15"/>
      <c r="PG29" s="15"/>
      <c r="PH29" s="15"/>
      <c r="PI29" s="15"/>
      <c r="PJ29" s="15"/>
      <c r="PK29" s="15"/>
      <c r="PL29" s="15"/>
      <c r="PM29" s="15"/>
      <c r="PN29" s="15"/>
      <c r="PO29" s="15"/>
      <c r="PP29" s="15"/>
      <c r="PQ29" s="15"/>
      <c r="PR29" s="15"/>
      <c r="PS29" s="15"/>
      <c r="PT29" s="15"/>
      <c r="PU29" s="15"/>
      <c r="PV29" s="15"/>
      <c r="PW29" s="15"/>
      <c r="PX29" s="15"/>
      <c r="PY29" s="15"/>
      <c r="PZ29" s="15"/>
      <c r="QA29" s="15"/>
      <c r="QB29" s="15"/>
      <c r="QC29" s="15"/>
      <c r="QD29" s="15"/>
      <c r="QE29" s="15"/>
      <c r="QF29" s="15"/>
      <c r="QG29" s="15"/>
      <c r="QH29" s="15"/>
      <c r="QI29" s="15"/>
      <c r="QJ29" s="15"/>
      <c r="QK29" s="15"/>
      <c r="QL29" s="15"/>
      <c r="QM29" s="15"/>
      <c r="QN29" s="15"/>
      <c r="QO29" s="15"/>
      <c r="QP29" s="15"/>
      <c r="QQ29" s="15"/>
      <c r="QR29" s="15"/>
      <c r="QS29" s="15"/>
      <c r="QT29" s="15"/>
      <c r="QU29" s="15"/>
      <c r="QV29" s="15"/>
      <c r="QW29" s="15"/>
      <c r="QX29" s="15"/>
      <c r="QY29" s="15"/>
      <c r="QZ29" s="15"/>
      <c r="RA29" s="15"/>
      <c r="RB29" s="15"/>
      <c r="RC29" s="15"/>
      <c r="RD29" s="15"/>
      <c r="RE29" s="15"/>
      <c r="RF29" s="15"/>
      <c r="RG29" s="15"/>
      <c r="RH29" s="15"/>
      <c r="RI29" s="15"/>
      <c r="RJ29" s="15"/>
      <c r="RK29" s="15"/>
      <c r="RL29" s="15"/>
      <c r="RM29" s="15"/>
      <c r="RN29" s="15"/>
      <c r="RO29" s="15"/>
      <c r="RP29" s="15"/>
      <c r="RQ29" s="15"/>
      <c r="RR29" s="15"/>
      <c r="RS29" s="15"/>
      <c r="RT29" s="15"/>
      <c r="RU29" s="15"/>
      <c r="RV29" s="15"/>
      <c r="RW29" s="15"/>
      <c r="RX29" s="15"/>
      <c r="RY29" s="15"/>
      <c r="RZ29" s="15"/>
      <c r="SA29" s="15"/>
      <c r="SB29" s="15"/>
      <c r="SC29" s="15"/>
      <c r="SD29" s="15"/>
      <c r="SE29" s="15"/>
      <c r="SF29" s="15"/>
      <c r="SG29" s="15"/>
      <c r="SH29" s="15"/>
      <c r="SI29" s="15"/>
      <c r="SJ29" s="15"/>
      <c r="SK29" s="15"/>
      <c r="SL29" s="15"/>
      <c r="SM29" s="15"/>
      <c r="SN29" s="15"/>
      <c r="SO29" s="15"/>
      <c r="SP29" s="15"/>
      <c r="SQ29" s="15"/>
      <c r="SR29" s="15"/>
      <c r="SS29" s="15"/>
      <c r="ST29" s="15"/>
      <c r="SU29" s="15"/>
      <c r="SV29" s="15"/>
      <c r="SW29" s="15"/>
      <c r="SX29" s="15"/>
      <c r="SY29" s="15"/>
      <c r="SZ29" s="15"/>
      <c r="TA29" s="15"/>
      <c r="TB29" s="15"/>
      <c r="TC29" s="15"/>
      <c r="TD29" s="15"/>
      <c r="TE29" s="15"/>
      <c r="TF29" s="15"/>
      <c r="TG29" s="15"/>
      <c r="TH29" s="15"/>
      <c r="TI29" s="15"/>
      <c r="TJ29" s="15"/>
      <c r="TK29" s="15"/>
      <c r="TL29" s="15"/>
      <c r="TM29" s="15"/>
      <c r="TN29" s="15"/>
      <c r="TO29" s="15"/>
      <c r="TP29" s="15"/>
      <c r="TQ29" s="15"/>
      <c r="TR29" s="15"/>
      <c r="TS29" s="15"/>
      <c r="TT29" s="15"/>
      <c r="TU29" s="15"/>
      <c r="TV29" s="15"/>
      <c r="TW29" s="15"/>
      <c r="TX29" s="15"/>
      <c r="TY29" s="15"/>
      <c r="TZ29" s="15"/>
      <c r="UA29" s="15"/>
      <c r="UB29" s="15"/>
      <c r="UC29" s="15"/>
      <c r="UD29" s="15"/>
      <c r="UE29" s="15"/>
      <c r="UF29" s="15"/>
      <c r="UG29" s="15"/>
      <c r="UH29" s="15"/>
      <c r="UI29" s="15"/>
      <c r="UJ29" s="15"/>
      <c r="UK29" s="15"/>
      <c r="UL29" s="15"/>
      <c r="UM29" s="15"/>
      <c r="UN29" s="15"/>
      <c r="UO29" s="15"/>
      <c r="UP29" s="15"/>
      <c r="UQ29" s="15"/>
      <c r="UR29" s="15"/>
      <c r="US29" s="15"/>
      <c r="UT29" s="15"/>
      <c r="UU29" s="15"/>
      <c r="UV29" s="15"/>
      <c r="UW29" s="15"/>
      <c r="UX29" s="15"/>
      <c r="UY29" s="15"/>
      <c r="UZ29" s="15"/>
      <c r="VA29" s="15"/>
      <c r="VB29" s="15"/>
      <c r="VC29" s="15"/>
      <c r="VD29" s="15"/>
      <c r="VE29" s="15"/>
      <c r="VF29" s="15"/>
      <c r="VG29" s="15"/>
      <c r="VH29" s="15"/>
      <c r="VI29" s="15"/>
      <c r="VJ29" s="15"/>
      <c r="VK29" s="15"/>
      <c r="VL29" s="15"/>
      <c r="VM29" s="15"/>
      <c r="VN29" s="15"/>
      <c r="VO29" s="15"/>
      <c r="VP29" s="15"/>
      <c r="VQ29" s="15"/>
      <c r="VR29" s="15"/>
      <c r="VS29" s="15"/>
      <c r="VT29" s="15"/>
      <c r="VU29" s="15"/>
      <c r="VV29" s="15"/>
      <c r="VW29" s="15"/>
      <c r="VX29" s="15"/>
      <c r="VY29" s="15"/>
      <c r="VZ29" s="15"/>
      <c r="WA29" s="15"/>
      <c r="WB29" s="15"/>
      <c r="WC29" s="15"/>
      <c r="WD29" s="15"/>
      <c r="WE29" s="15"/>
      <c r="WF29" s="15"/>
      <c r="WG29" s="15"/>
      <c r="WH29" s="15"/>
      <c r="WI29" s="15"/>
      <c r="WJ29" s="15"/>
      <c r="WK29" s="15"/>
      <c r="WL29" s="15"/>
      <c r="WM29" s="15"/>
      <c r="WN29" s="15"/>
      <c r="WO29" s="15"/>
      <c r="WP29" s="15"/>
      <c r="WQ29" s="15"/>
      <c r="WR29" s="15"/>
      <c r="WS29" s="15"/>
      <c r="WT29" s="15"/>
      <c r="WU29" s="15"/>
      <c r="WV29" s="15"/>
      <c r="WW29" s="15"/>
      <c r="WX29" s="15"/>
      <c r="WY29" s="15"/>
      <c r="WZ29" s="15"/>
      <c r="XA29" s="15"/>
      <c r="XB29" s="15"/>
      <c r="XC29" s="15"/>
      <c r="XD29" s="15"/>
      <c r="XE29" s="15"/>
      <c r="XF29" s="15"/>
      <c r="XG29" s="15"/>
      <c r="XH29" s="15"/>
      <c r="XI29" s="15"/>
      <c r="XJ29" s="15"/>
      <c r="XK29" s="15"/>
      <c r="XL29" s="15"/>
      <c r="XM29" s="15"/>
      <c r="XN29" s="15"/>
      <c r="XO29" s="15"/>
      <c r="XP29" s="15"/>
      <c r="XQ29" s="15"/>
      <c r="XR29" s="15"/>
      <c r="XS29" s="15"/>
      <c r="XT29" s="15"/>
      <c r="XU29" s="15"/>
      <c r="XV29" s="15"/>
      <c r="XW29" s="15"/>
      <c r="XX29" s="15"/>
      <c r="XY29" s="15"/>
      <c r="XZ29" s="15"/>
      <c r="YA29" s="15"/>
      <c r="YB29" s="15"/>
      <c r="YC29" s="15"/>
      <c r="YD29" s="15"/>
      <c r="YE29" s="15"/>
      <c r="YF29" s="15"/>
      <c r="YG29" s="15"/>
      <c r="YH29" s="15"/>
      <c r="YI29" s="15"/>
      <c r="YJ29" s="15"/>
      <c r="YK29" s="15"/>
      <c r="YL29" s="15"/>
      <c r="YM29" s="15"/>
      <c r="YN29" s="15"/>
      <c r="YO29" s="15"/>
      <c r="YP29" s="15"/>
      <c r="YQ29" s="15"/>
      <c r="YR29" s="15"/>
      <c r="YS29" s="15"/>
      <c r="YT29" s="15"/>
      <c r="YU29" s="15"/>
      <c r="YV29" s="15"/>
      <c r="YW29" s="15"/>
      <c r="YX29" s="15"/>
      <c r="YY29" s="15"/>
      <c r="YZ29" s="15"/>
      <c r="ZA29" s="15"/>
      <c r="ZB29" s="15"/>
      <c r="ZC29" s="15"/>
      <c r="ZD29" s="15"/>
      <c r="ZE29" s="15"/>
      <c r="ZF29" s="15"/>
      <c r="ZG29" s="15"/>
      <c r="ZH29" s="15"/>
      <c r="ZI29" s="15"/>
      <c r="ZJ29" s="15"/>
      <c r="ZK29" s="15"/>
      <c r="ZL29" s="15"/>
      <c r="ZM29" s="15"/>
      <c r="ZN29" s="15"/>
      <c r="ZO29" s="15"/>
      <c r="ZP29" s="15"/>
      <c r="ZQ29" s="15"/>
      <c r="ZR29" s="15"/>
      <c r="ZS29" s="15"/>
      <c r="ZT29" s="15"/>
      <c r="ZU29" s="15"/>
      <c r="ZV29" s="15"/>
      <c r="ZW29" s="15"/>
      <c r="ZX29" s="15"/>
      <c r="ZY29" s="15"/>
      <c r="ZZ29" s="15"/>
      <c r="AAA29" s="15"/>
      <c r="AAB29" s="15"/>
      <c r="AAC29" s="15"/>
      <c r="AAD29" s="15"/>
      <c r="AAE29" s="15"/>
      <c r="AAF29" s="15"/>
      <c r="AAG29" s="15"/>
      <c r="AAH29" s="15"/>
      <c r="AAI29" s="15"/>
      <c r="AAJ29" s="15"/>
      <c r="AAK29" s="15"/>
      <c r="AAL29" s="15"/>
      <c r="AAM29" s="15"/>
      <c r="AAN29" s="15"/>
      <c r="AAO29" s="15"/>
      <c r="AAP29" s="15"/>
      <c r="AAQ29" s="15"/>
      <c r="AAR29" s="15"/>
      <c r="AAS29" s="15"/>
      <c r="AAT29" s="15"/>
      <c r="AAU29" s="15"/>
      <c r="AAV29" s="15"/>
      <c r="AAW29" s="15"/>
      <c r="AAX29" s="15"/>
      <c r="AAY29" s="15"/>
      <c r="AAZ29" s="15"/>
      <c r="ABA29" s="15"/>
      <c r="ABB29" s="15"/>
      <c r="ABC29" s="15"/>
      <c r="ABD29" s="15"/>
      <c r="ABE29" s="15"/>
      <c r="ABF29" s="15"/>
      <c r="ABG29" s="15"/>
      <c r="ABH29" s="15"/>
      <c r="ABI29" s="15"/>
      <c r="ABJ29" s="15"/>
      <c r="ABK29" s="15"/>
      <c r="ABL29" s="15"/>
      <c r="ABM29" s="15"/>
      <c r="ABN29" s="15"/>
      <c r="ABO29" s="15"/>
      <c r="ABP29" s="15"/>
      <c r="ABQ29" s="15"/>
      <c r="ABR29" s="15"/>
      <c r="ABS29" s="15"/>
      <c r="ABT29" s="15"/>
      <c r="ABU29" s="15"/>
      <c r="ABV29" s="15"/>
      <c r="ABW29" s="15"/>
      <c r="ABX29" s="15"/>
      <c r="ABY29" s="15"/>
      <c r="ABZ29" s="15"/>
      <c r="ACA29" s="15"/>
      <c r="ACB29" s="15"/>
      <c r="ACC29" s="15"/>
      <c r="ACD29" s="15"/>
      <c r="ACE29" s="15"/>
      <c r="ACF29" s="15"/>
      <c r="ACG29" s="15"/>
      <c r="ACH29" s="15"/>
      <c r="ACI29" s="15"/>
      <c r="ACJ29" s="15"/>
      <c r="ACK29" s="15"/>
      <c r="ACL29" s="15"/>
      <c r="ACM29" s="15"/>
      <c r="ACN29" s="15"/>
      <c r="ACO29" s="15"/>
      <c r="ACP29" s="15"/>
      <c r="ACQ29" s="15"/>
      <c r="ACR29" s="15"/>
      <c r="ACS29" s="15"/>
      <c r="ACT29" s="15"/>
      <c r="ACU29" s="15"/>
      <c r="ACV29" s="15"/>
      <c r="ACW29" s="15"/>
      <c r="ACX29" s="15"/>
      <c r="ACY29" s="15"/>
      <c r="ACZ29" s="15"/>
      <c r="ADA29" s="15"/>
      <c r="ADB29" s="15"/>
      <c r="ADC29" s="15"/>
      <c r="ADD29" s="15"/>
      <c r="ADE29" s="15"/>
      <c r="ADF29" s="15"/>
      <c r="ADG29" s="15"/>
      <c r="ADH29" s="15"/>
      <c r="ADI29" s="15"/>
      <c r="ADJ29" s="15"/>
      <c r="ADK29" s="15"/>
      <c r="ADL29" s="15"/>
      <c r="ADM29" s="15"/>
      <c r="ADN29" s="15"/>
      <c r="ADO29" s="15"/>
      <c r="ADP29" s="15"/>
      <c r="ADQ29" s="15"/>
      <c r="ADR29" s="15"/>
      <c r="ADS29" s="15"/>
      <c r="ADT29" s="15"/>
      <c r="ADU29" s="15"/>
      <c r="ADV29" s="15"/>
      <c r="ADW29" s="15"/>
      <c r="ADX29" s="15"/>
      <c r="ADY29" s="15"/>
      <c r="ADZ29" s="15"/>
      <c r="AEA29" s="15"/>
      <c r="AEB29" s="15"/>
      <c r="AEC29" s="15"/>
      <c r="AED29" s="15"/>
      <c r="AEE29" s="15"/>
      <c r="AEF29" s="15"/>
      <c r="AEG29" s="15"/>
      <c r="AEH29" s="15"/>
      <c r="AEI29" s="15"/>
      <c r="AEJ29" s="15"/>
      <c r="AEK29" s="15"/>
      <c r="AEL29" s="15"/>
      <c r="AEM29" s="15"/>
      <c r="AEN29" s="15"/>
      <c r="AEO29" s="15"/>
      <c r="AEP29" s="15"/>
      <c r="AEQ29" s="15"/>
      <c r="AER29" s="15"/>
      <c r="AES29" s="15"/>
      <c r="AET29" s="15"/>
      <c r="AEU29" s="15"/>
      <c r="AEV29" s="15"/>
      <c r="AEW29" s="15"/>
      <c r="AEX29" s="15"/>
      <c r="AEY29" s="15"/>
      <c r="AEZ29" s="15"/>
      <c r="AFA29" s="15"/>
      <c r="AFB29" s="15"/>
      <c r="AFC29" s="15"/>
      <c r="AFD29" s="15"/>
      <c r="AFE29" s="15"/>
      <c r="AFF29" s="15"/>
      <c r="AFG29" s="15"/>
      <c r="AFH29" s="15"/>
      <c r="AFI29" s="15"/>
      <c r="AFJ29" s="15"/>
      <c r="AFK29" s="15"/>
      <c r="AFL29" s="15"/>
      <c r="AFM29" s="15"/>
      <c r="AFN29" s="15"/>
      <c r="AFO29" s="15"/>
      <c r="AFP29" s="15"/>
      <c r="AFQ29" s="15"/>
      <c r="AFR29" s="15"/>
      <c r="AFS29" s="15"/>
      <c r="AFT29" s="15"/>
      <c r="AFU29" s="15"/>
      <c r="AFV29" s="15"/>
      <c r="AFW29" s="15"/>
      <c r="AFX29" s="15"/>
      <c r="AFY29" s="15"/>
      <c r="AFZ29" s="15"/>
      <c r="AGA29" s="15"/>
      <c r="AGB29" s="15"/>
      <c r="AGC29" s="15"/>
      <c r="AGD29" s="15"/>
      <c r="AGE29" s="15"/>
      <c r="AGF29" s="15"/>
      <c r="AGG29" s="15"/>
      <c r="AGH29" s="15"/>
      <c r="AGI29" s="15"/>
      <c r="AGJ29" s="15"/>
      <c r="AGK29" s="15"/>
      <c r="AGL29" s="15"/>
      <c r="AGM29" s="15"/>
      <c r="AGN29" s="15"/>
      <c r="AGO29" s="15"/>
      <c r="AGP29" s="15"/>
      <c r="AGQ29" s="15"/>
      <c r="AGR29" s="15"/>
      <c r="AGS29" s="15"/>
      <c r="AGT29" s="15"/>
      <c r="AGU29" s="15"/>
      <c r="AGV29" s="15"/>
      <c r="AGW29" s="15"/>
      <c r="AGX29" s="15"/>
      <c r="AGY29" s="15"/>
      <c r="AGZ29" s="15"/>
      <c r="AHA29" s="15"/>
      <c r="AHB29" s="15"/>
      <c r="AHC29" s="15"/>
      <c r="AHD29" s="15"/>
      <c r="AHE29" s="15"/>
      <c r="AHF29" s="15"/>
      <c r="AHG29" s="15"/>
      <c r="AHH29" s="15"/>
      <c r="AHI29" s="15"/>
      <c r="AHJ29" s="15"/>
      <c r="AHK29" s="15"/>
      <c r="AHL29" s="15"/>
      <c r="AHM29" s="15"/>
      <c r="AHN29" s="15"/>
      <c r="AHO29" s="15"/>
      <c r="AHP29" s="15"/>
      <c r="AHQ29" s="15"/>
      <c r="AHR29" s="15"/>
      <c r="AHS29" s="15"/>
      <c r="AHT29" s="15"/>
      <c r="AHU29" s="15"/>
      <c r="AHV29" s="15"/>
      <c r="AHW29" s="15"/>
      <c r="AHX29" s="15"/>
      <c r="AHY29" s="15"/>
      <c r="AHZ29" s="15"/>
      <c r="AIA29" s="15"/>
      <c r="AIB29" s="15"/>
      <c r="AIC29" s="15"/>
      <c r="AID29" s="15"/>
      <c r="AIE29" s="15"/>
      <c r="AIF29" s="15"/>
      <c r="AIG29" s="15"/>
      <c r="AIH29" s="15"/>
      <c r="AII29" s="15"/>
      <c r="AIJ29" s="15"/>
      <c r="AIK29" s="15"/>
      <c r="AIL29" s="15"/>
      <c r="AIM29" s="15"/>
      <c r="AIN29" s="15"/>
      <c r="AIO29" s="15"/>
      <c r="AIP29" s="15"/>
      <c r="AIQ29" s="15"/>
      <c r="AIR29" s="15"/>
      <c r="AIS29" s="15"/>
      <c r="AIT29" s="15"/>
      <c r="AIU29" s="15"/>
      <c r="AIV29" s="15"/>
      <c r="AIW29" s="15"/>
      <c r="AIX29" s="15"/>
      <c r="AIY29" s="15"/>
      <c r="AIZ29" s="15"/>
      <c r="AJA29" s="15"/>
      <c r="AJB29" s="15"/>
      <c r="AJC29" s="15"/>
      <c r="AJD29" s="15"/>
      <c r="AJE29" s="15"/>
      <c r="AJF29" s="15"/>
      <c r="AJG29" s="15"/>
      <c r="AJH29" s="15"/>
      <c r="AJI29" s="15"/>
      <c r="AJJ29" s="15"/>
      <c r="AJK29" s="15"/>
      <c r="AJL29" s="15"/>
      <c r="AJM29" s="15"/>
      <c r="AJN29" s="15"/>
      <c r="AJO29" s="15"/>
      <c r="AJP29" s="15"/>
      <c r="AJQ29" s="15"/>
      <c r="AJR29" s="15"/>
      <c r="AJS29" s="15"/>
      <c r="AJT29" s="15"/>
      <c r="AJU29" s="15"/>
      <c r="AJV29" s="15"/>
      <c r="AJW29" s="15"/>
      <c r="AJX29" s="15"/>
      <c r="AJY29" s="15"/>
      <c r="AJZ29" s="15"/>
      <c r="AKA29" s="15"/>
      <c r="AKB29" s="15"/>
      <c r="AKC29" s="15"/>
      <c r="AKD29" s="15"/>
      <c r="AKE29" s="15"/>
      <c r="AKF29" s="15"/>
      <c r="AKG29" s="15"/>
      <c r="AKH29" s="15"/>
      <c r="AKI29" s="15"/>
      <c r="AKJ29" s="15"/>
      <c r="AKK29" s="15"/>
      <c r="AKL29" s="15"/>
      <c r="AKM29" s="15"/>
      <c r="AKN29" s="15"/>
      <c r="AKO29" s="15"/>
      <c r="AKP29" s="15"/>
      <c r="AKQ29" s="15"/>
      <c r="AKR29" s="15"/>
      <c r="AKS29" s="15"/>
      <c r="AKT29" s="15"/>
      <c r="AKU29" s="15"/>
      <c r="AKV29" s="15"/>
      <c r="AKW29" s="15"/>
      <c r="AKX29" s="15"/>
      <c r="AKY29" s="15"/>
      <c r="AKZ29" s="15"/>
      <c r="ALA29" s="15"/>
      <c r="ALB29" s="15"/>
      <c r="ALC29" s="15"/>
      <c r="ALD29" s="15"/>
      <c r="ALE29" s="15"/>
      <c r="ALF29" s="15"/>
      <c r="ALG29" s="15"/>
      <c r="ALH29" s="15"/>
      <c r="ALI29" s="15"/>
      <c r="ALJ29" s="15"/>
      <c r="ALK29" s="15"/>
      <c r="ALL29" s="15"/>
      <c r="ALM29" s="15"/>
      <c r="ALN29" s="15"/>
      <c r="ALO29" s="15"/>
      <c r="ALP29" s="15"/>
      <c r="ALQ29" s="15"/>
      <c r="ALR29" s="15"/>
      <c r="ALS29" s="15"/>
      <c r="ALT29" s="15"/>
      <c r="ALU29" s="15"/>
      <c r="ALV29" s="15"/>
      <c r="ALW29" s="15"/>
      <c r="ALX29" s="15"/>
      <c r="ALY29" s="15"/>
      <c r="ALZ29" s="15"/>
      <c r="AMA29" s="15"/>
      <c r="AMB29" s="15"/>
      <c r="AMC29" s="15"/>
      <c r="AMD29" s="15"/>
      <c r="AME29" s="15"/>
      <c r="AMF29" s="15"/>
      <c r="AMG29" s="15"/>
      <c r="AMH29" s="15"/>
      <c r="AMI29" s="15"/>
      <c r="AMJ29" s="15"/>
      <c r="AMK29" s="15"/>
    </row>
    <row r="30" spans="1:1025" s="13" customFormat="1" x14ac:dyDescent="0.25">
      <c r="A30" s="13" t="s">
        <v>45</v>
      </c>
      <c r="B30" s="13">
        <v>2018</v>
      </c>
      <c r="C30" s="14">
        <v>7550000000</v>
      </c>
      <c r="D30" s="14"/>
      <c r="E30" s="14">
        <v>55059000000</v>
      </c>
      <c r="F30" s="14">
        <v>53970000000</v>
      </c>
      <c r="G30" s="14">
        <f t="shared" si="11"/>
        <v>109029000000</v>
      </c>
      <c r="H30" s="14">
        <v>63394000000</v>
      </c>
      <c r="I30" s="14">
        <f t="shared" si="12"/>
        <v>45635000000</v>
      </c>
      <c r="J30" s="14">
        <v>2622532000000</v>
      </c>
      <c r="K30" s="14">
        <v>2622532000000</v>
      </c>
      <c r="L30" s="14"/>
      <c r="M30" s="14" t="s">
        <v>43</v>
      </c>
      <c r="N30" s="14" t="s">
        <v>44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/>
      <c r="LR30" s="15"/>
      <c r="LS30" s="15"/>
      <c r="LT30" s="15"/>
      <c r="LU30" s="15"/>
      <c r="LV30" s="15"/>
      <c r="LW30" s="15"/>
      <c r="LX30" s="15"/>
      <c r="LY30" s="15"/>
      <c r="LZ30" s="15"/>
      <c r="MA30" s="15"/>
      <c r="MB30" s="15"/>
      <c r="MC30" s="15"/>
      <c r="MD30" s="15"/>
      <c r="ME30" s="15"/>
      <c r="MF30" s="15"/>
      <c r="MG30" s="15"/>
      <c r="MH30" s="15"/>
      <c r="MI30" s="15"/>
      <c r="MJ30" s="15"/>
      <c r="MK30" s="15"/>
      <c r="ML30" s="15"/>
      <c r="MM30" s="15"/>
      <c r="MN30" s="15"/>
      <c r="MO30" s="15"/>
      <c r="MP30" s="15"/>
      <c r="MQ30" s="15"/>
      <c r="MR30" s="15"/>
      <c r="MS30" s="15"/>
      <c r="MT30" s="15"/>
      <c r="MU30" s="15"/>
      <c r="MV30" s="15"/>
      <c r="MW30" s="15"/>
      <c r="MX30" s="15"/>
      <c r="MY30" s="15"/>
      <c r="MZ30" s="15"/>
      <c r="NA30" s="15"/>
      <c r="NB30" s="15"/>
      <c r="NC30" s="15"/>
      <c r="ND30" s="15"/>
      <c r="NE30" s="15"/>
      <c r="NF30" s="15"/>
      <c r="NG30" s="15"/>
      <c r="NH30" s="15"/>
      <c r="NI30" s="15"/>
      <c r="NJ30" s="15"/>
      <c r="NK30" s="15"/>
      <c r="NL30" s="15"/>
      <c r="NM30" s="15"/>
      <c r="NN30" s="15"/>
      <c r="NO30" s="15"/>
      <c r="NP30" s="15"/>
      <c r="NQ30" s="15"/>
      <c r="NR30" s="15"/>
      <c r="NS30" s="15"/>
      <c r="NT30" s="15"/>
      <c r="NU30" s="15"/>
      <c r="NV30" s="15"/>
      <c r="NW30" s="15"/>
      <c r="NX30" s="15"/>
      <c r="NY30" s="15"/>
      <c r="NZ30" s="15"/>
      <c r="OA30" s="15"/>
      <c r="OB30" s="15"/>
      <c r="OC30" s="15"/>
      <c r="OD30" s="15"/>
      <c r="OE30" s="15"/>
      <c r="OF30" s="15"/>
      <c r="OG30" s="15"/>
      <c r="OH30" s="15"/>
      <c r="OI30" s="15"/>
      <c r="OJ30" s="15"/>
      <c r="OK30" s="15"/>
      <c r="OL30" s="15"/>
      <c r="OM30" s="15"/>
      <c r="ON30" s="15"/>
      <c r="OO30" s="15"/>
      <c r="OP30" s="15"/>
      <c r="OQ30" s="15"/>
      <c r="OR30" s="15"/>
      <c r="OS30" s="15"/>
      <c r="OT30" s="15"/>
      <c r="OU30" s="15"/>
      <c r="OV30" s="15"/>
      <c r="OW30" s="15"/>
      <c r="OX30" s="15"/>
      <c r="OY30" s="15"/>
      <c r="OZ30" s="15"/>
      <c r="PA30" s="15"/>
      <c r="PB30" s="15"/>
      <c r="PC30" s="15"/>
      <c r="PD30" s="15"/>
      <c r="PE30" s="15"/>
      <c r="PF30" s="15"/>
      <c r="PG30" s="15"/>
      <c r="PH30" s="15"/>
      <c r="PI30" s="15"/>
      <c r="PJ30" s="15"/>
      <c r="PK30" s="15"/>
      <c r="PL30" s="15"/>
      <c r="PM30" s="15"/>
      <c r="PN30" s="15"/>
      <c r="PO30" s="15"/>
      <c r="PP30" s="15"/>
      <c r="PQ30" s="15"/>
      <c r="PR30" s="15"/>
      <c r="PS30" s="15"/>
      <c r="PT30" s="15"/>
      <c r="PU30" s="15"/>
      <c r="PV30" s="15"/>
      <c r="PW30" s="15"/>
      <c r="PX30" s="15"/>
      <c r="PY30" s="15"/>
      <c r="PZ30" s="15"/>
      <c r="QA30" s="15"/>
      <c r="QB30" s="15"/>
      <c r="QC30" s="15"/>
      <c r="QD30" s="15"/>
      <c r="QE30" s="15"/>
      <c r="QF30" s="15"/>
      <c r="QG30" s="15"/>
      <c r="QH30" s="15"/>
      <c r="QI30" s="15"/>
      <c r="QJ30" s="15"/>
      <c r="QK30" s="15"/>
      <c r="QL30" s="15"/>
      <c r="QM30" s="15"/>
      <c r="QN30" s="15"/>
      <c r="QO30" s="15"/>
      <c r="QP30" s="15"/>
      <c r="QQ30" s="15"/>
      <c r="QR30" s="15"/>
      <c r="QS30" s="15"/>
      <c r="QT30" s="15"/>
      <c r="QU30" s="15"/>
      <c r="QV30" s="15"/>
      <c r="QW30" s="15"/>
      <c r="QX30" s="15"/>
      <c r="QY30" s="15"/>
      <c r="QZ30" s="15"/>
      <c r="RA30" s="15"/>
      <c r="RB30" s="15"/>
      <c r="RC30" s="15"/>
      <c r="RD30" s="15"/>
      <c r="RE30" s="15"/>
      <c r="RF30" s="15"/>
      <c r="RG30" s="15"/>
      <c r="RH30" s="15"/>
      <c r="RI30" s="15"/>
      <c r="RJ30" s="15"/>
      <c r="RK30" s="15"/>
      <c r="RL30" s="15"/>
      <c r="RM30" s="15"/>
      <c r="RN30" s="15"/>
      <c r="RO30" s="15"/>
      <c r="RP30" s="15"/>
      <c r="RQ30" s="15"/>
      <c r="RR30" s="15"/>
      <c r="RS30" s="15"/>
      <c r="RT30" s="15"/>
      <c r="RU30" s="15"/>
      <c r="RV30" s="15"/>
      <c r="RW30" s="15"/>
      <c r="RX30" s="15"/>
      <c r="RY30" s="15"/>
      <c r="RZ30" s="15"/>
      <c r="SA30" s="15"/>
      <c r="SB30" s="15"/>
      <c r="SC30" s="15"/>
      <c r="SD30" s="15"/>
      <c r="SE30" s="15"/>
      <c r="SF30" s="15"/>
      <c r="SG30" s="15"/>
      <c r="SH30" s="15"/>
      <c r="SI30" s="15"/>
      <c r="SJ30" s="15"/>
      <c r="SK30" s="15"/>
      <c r="SL30" s="15"/>
      <c r="SM30" s="15"/>
      <c r="SN30" s="15"/>
      <c r="SO30" s="15"/>
      <c r="SP30" s="15"/>
      <c r="SQ30" s="15"/>
      <c r="SR30" s="15"/>
      <c r="SS30" s="15"/>
      <c r="ST30" s="15"/>
      <c r="SU30" s="15"/>
      <c r="SV30" s="15"/>
      <c r="SW30" s="15"/>
      <c r="SX30" s="15"/>
      <c r="SY30" s="15"/>
      <c r="SZ30" s="15"/>
      <c r="TA30" s="15"/>
      <c r="TB30" s="15"/>
      <c r="TC30" s="15"/>
      <c r="TD30" s="15"/>
      <c r="TE30" s="15"/>
      <c r="TF30" s="15"/>
      <c r="TG30" s="15"/>
      <c r="TH30" s="15"/>
      <c r="TI30" s="15"/>
      <c r="TJ30" s="15"/>
      <c r="TK30" s="15"/>
      <c r="TL30" s="15"/>
      <c r="TM30" s="15"/>
      <c r="TN30" s="15"/>
      <c r="TO30" s="15"/>
      <c r="TP30" s="15"/>
      <c r="TQ30" s="15"/>
      <c r="TR30" s="15"/>
      <c r="TS30" s="15"/>
      <c r="TT30" s="15"/>
      <c r="TU30" s="15"/>
      <c r="TV30" s="15"/>
      <c r="TW30" s="15"/>
      <c r="TX30" s="15"/>
      <c r="TY30" s="15"/>
      <c r="TZ30" s="15"/>
      <c r="UA30" s="15"/>
      <c r="UB30" s="15"/>
      <c r="UC30" s="15"/>
      <c r="UD30" s="15"/>
      <c r="UE30" s="15"/>
      <c r="UF30" s="15"/>
      <c r="UG30" s="15"/>
      <c r="UH30" s="15"/>
      <c r="UI30" s="15"/>
      <c r="UJ30" s="15"/>
      <c r="UK30" s="15"/>
      <c r="UL30" s="15"/>
      <c r="UM30" s="15"/>
      <c r="UN30" s="15"/>
      <c r="UO30" s="15"/>
      <c r="UP30" s="15"/>
      <c r="UQ30" s="15"/>
      <c r="UR30" s="15"/>
      <c r="US30" s="15"/>
      <c r="UT30" s="15"/>
      <c r="UU30" s="15"/>
      <c r="UV30" s="15"/>
      <c r="UW30" s="15"/>
      <c r="UX30" s="15"/>
      <c r="UY30" s="15"/>
      <c r="UZ30" s="15"/>
      <c r="VA30" s="15"/>
      <c r="VB30" s="15"/>
      <c r="VC30" s="15"/>
      <c r="VD30" s="15"/>
      <c r="VE30" s="15"/>
      <c r="VF30" s="15"/>
      <c r="VG30" s="15"/>
      <c r="VH30" s="15"/>
      <c r="VI30" s="15"/>
      <c r="VJ30" s="15"/>
      <c r="VK30" s="15"/>
      <c r="VL30" s="15"/>
      <c r="VM30" s="15"/>
      <c r="VN30" s="15"/>
      <c r="VO30" s="15"/>
      <c r="VP30" s="15"/>
      <c r="VQ30" s="15"/>
      <c r="VR30" s="15"/>
      <c r="VS30" s="15"/>
      <c r="VT30" s="15"/>
      <c r="VU30" s="15"/>
      <c r="VV30" s="15"/>
      <c r="VW30" s="15"/>
      <c r="VX30" s="15"/>
      <c r="VY30" s="15"/>
      <c r="VZ30" s="15"/>
      <c r="WA30" s="15"/>
      <c r="WB30" s="15"/>
      <c r="WC30" s="15"/>
      <c r="WD30" s="15"/>
      <c r="WE30" s="15"/>
      <c r="WF30" s="15"/>
      <c r="WG30" s="15"/>
      <c r="WH30" s="15"/>
      <c r="WI30" s="15"/>
      <c r="WJ30" s="15"/>
      <c r="WK30" s="15"/>
      <c r="WL30" s="15"/>
      <c r="WM30" s="15"/>
      <c r="WN30" s="15"/>
      <c r="WO30" s="15"/>
      <c r="WP30" s="15"/>
      <c r="WQ30" s="15"/>
      <c r="WR30" s="15"/>
      <c r="WS30" s="15"/>
      <c r="WT30" s="15"/>
      <c r="WU30" s="15"/>
      <c r="WV30" s="15"/>
      <c r="WW30" s="15"/>
      <c r="WX30" s="15"/>
      <c r="WY30" s="15"/>
      <c r="WZ30" s="15"/>
      <c r="XA30" s="15"/>
      <c r="XB30" s="15"/>
      <c r="XC30" s="15"/>
      <c r="XD30" s="15"/>
      <c r="XE30" s="15"/>
      <c r="XF30" s="15"/>
      <c r="XG30" s="15"/>
      <c r="XH30" s="15"/>
      <c r="XI30" s="15"/>
      <c r="XJ30" s="15"/>
      <c r="XK30" s="15"/>
      <c r="XL30" s="15"/>
      <c r="XM30" s="15"/>
      <c r="XN30" s="15"/>
      <c r="XO30" s="15"/>
      <c r="XP30" s="15"/>
      <c r="XQ30" s="15"/>
      <c r="XR30" s="15"/>
      <c r="XS30" s="15"/>
      <c r="XT30" s="15"/>
      <c r="XU30" s="15"/>
      <c r="XV30" s="15"/>
      <c r="XW30" s="15"/>
      <c r="XX30" s="15"/>
      <c r="XY30" s="15"/>
      <c r="XZ30" s="15"/>
      <c r="YA30" s="15"/>
      <c r="YB30" s="15"/>
      <c r="YC30" s="15"/>
      <c r="YD30" s="15"/>
      <c r="YE30" s="15"/>
      <c r="YF30" s="15"/>
      <c r="YG30" s="15"/>
      <c r="YH30" s="15"/>
      <c r="YI30" s="15"/>
      <c r="YJ30" s="15"/>
      <c r="YK30" s="15"/>
      <c r="YL30" s="15"/>
      <c r="YM30" s="15"/>
      <c r="YN30" s="15"/>
      <c r="YO30" s="15"/>
      <c r="YP30" s="15"/>
      <c r="YQ30" s="15"/>
      <c r="YR30" s="15"/>
      <c r="YS30" s="15"/>
      <c r="YT30" s="15"/>
      <c r="YU30" s="15"/>
      <c r="YV30" s="15"/>
      <c r="YW30" s="15"/>
      <c r="YX30" s="15"/>
      <c r="YY30" s="15"/>
      <c r="YZ30" s="15"/>
      <c r="ZA30" s="15"/>
      <c r="ZB30" s="15"/>
      <c r="ZC30" s="15"/>
      <c r="ZD30" s="15"/>
      <c r="ZE30" s="15"/>
      <c r="ZF30" s="15"/>
      <c r="ZG30" s="15"/>
      <c r="ZH30" s="15"/>
      <c r="ZI30" s="15"/>
      <c r="ZJ30" s="15"/>
      <c r="ZK30" s="15"/>
      <c r="ZL30" s="15"/>
      <c r="ZM30" s="15"/>
      <c r="ZN30" s="15"/>
      <c r="ZO30" s="15"/>
      <c r="ZP30" s="15"/>
      <c r="ZQ30" s="15"/>
      <c r="ZR30" s="15"/>
      <c r="ZS30" s="15"/>
      <c r="ZT30" s="15"/>
      <c r="ZU30" s="15"/>
      <c r="ZV30" s="15"/>
      <c r="ZW30" s="15"/>
      <c r="ZX30" s="15"/>
      <c r="ZY30" s="15"/>
      <c r="ZZ30" s="15"/>
      <c r="AAA30" s="15"/>
      <c r="AAB30" s="15"/>
      <c r="AAC30" s="15"/>
      <c r="AAD30" s="15"/>
      <c r="AAE30" s="15"/>
      <c r="AAF30" s="15"/>
      <c r="AAG30" s="15"/>
      <c r="AAH30" s="15"/>
      <c r="AAI30" s="15"/>
      <c r="AAJ30" s="15"/>
      <c r="AAK30" s="15"/>
      <c r="AAL30" s="15"/>
      <c r="AAM30" s="15"/>
      <c r="AAN30" s="15"/>
      <c r="AAO30" s="15"/>
      <c r="AAP30" s="15"/>
      <c r="AAQ30" s="15"/>
      <c r="AAR30" s="15"/>
      <c r="AAS30" s="15"/>
      <c r="AAT30" s="15"/>
      <c r="AAU30" s="15"/>
      <c r="AAV30" s="15"/>
      <c r="AAW30" s="15"/>
      <c r="AAX30" s="15"/>
      <c r="AAY30" s="15"/>
      <c r="AAZ30" s="15"/>
      <c r="ABA30" s="15"/>
      <c r="ABB30" s="15"/>
      <c r="ABC30" s="15"/>
      <c r="ABD30" s="15"/>
      <c r="ABE30" s="15"/>
      <c r="ABF30" s="15"/>
      <c r="ABG30" s="15"/>
      <c r="ABH30" s="15"/>
      <c r="ABI30" s="15"/>
      <c r="ABJ30" s="15"/>
      <c r="ABK30" s="15"/>
      <c r="ABL30" s="15"/>
      <c r="ABM30" s="15"/>
      <c r="ABN30" s="15"/>
      <c r="ABO30" s="15"/>
      <c r="ABP30" s="15"/>
      <c r="ABQ30" s="15"/>
      <c r="ABR30" s="15"/>
      <c r="ABS30" s="15"/>
      <c r="ABT30" s="15"/>
      <c r="ABU30" s="15"/>
      <c r="ABV30" s="15"/>
      <c r="ABW30" s="15"/>
      <c r="ABX30" s="15"/>
      <c r="ABY30" s="15"/>
      <c r="ABZ30" s="15"/>
      <c r="ACA30" s="15"/>
      <c r="ACB30" s="15"/>
      <c r="ACC30" s="15"/>
      <c r="ACD30" s="15"/>
      <c r="ACE30" s="15"/>
      <c r="ACF30" s="15"/>
      <c r="ACG30" s="15"/>
      <c r="ACH30" s="15"/>
      <c r="ACI30" s="15"/>
      <c r="ACJ30" s="15"/>
      <c r="ACK30" s="15"/>
      <c r="ACL30" s="15"/>
      <c r="ACM30" s="15"/>
      <c r="ACN30" s="15"/>
      <c r="ACO30" s="15"/>
      <c r="ACP30" s="15"/>
      <c r="ACQ30" s="15"/>
      <c r="ACR30" s="15"/>
      <c r="ACS30" s="15"/>
      <c r="ACT30" s="15"/>
      <c r="ACU30" s="15"/>
      <c r="ACV30" s="15"/>
      <c r="ACW30" s="15"/>
      <c r="ACX30" s="15"/>
      <c r="ACY30" s="15"/>
      <c r="ACZ30" s="15"/>
      <c r="ADA30" s="15"/>
      <c r="ADB30" s="15"/>
      <c r="ADC30" s="15"/>
      <c r="ADD30" s="15"/>
      <c r="ADE30" s="15"/>
      <c r="ADF30" s="15"/>
      <c r="ADG30" s="15"/>
      <c r="ADH30" s="15"/>
      <c r="ADI30" s="15"/>
      <c r="ADJ30" s="15"/>
      <c r="ADK30" s="15"/>
      <c r="ADL30" s="15"/>
      <c r="ADM30" s="15"/>
      <c r="ADN30" s="15"/>
      <c r="ADO30" s="15"/>
      <c r="ADP30" s="15"/>
      <c r="ADQ30" s="15"/>
      <c r="ADR30" s="15"/>
      <c r="ADS30" s="15"/>
      <c r="ADT30" s="15"/>
      <c r="ADU30" s="15"/>
      <c r="ADV30" s="15"/>
      <c r="ADW30" s="15"/>
      <c r="ADX30" s="15"/>
      <c r="ADY30" s="15"/>
      <c r="ADZ30" s="15"/>
      <c r="AEA30" s="15"/>
      <c r="AEB30" s="15"/>
      <c r="AEC30" s="15"/>
      <c r="AED30" s="15"/>
      <c r="AEE30" s="15"/>
      <c r="AEF30" s="15"/>
      <c r="AEG30" s="15"/>
      <c r="AEH30" s="15"/>
      <c r="AEI30" s="15"/>
      <c r="AEJ30" s="15"/>
      <c r="AEK30" s="15"/>
      <c r="AEL30" s="15"/>
      <c r="AEM30" s="15"/>
      <c r="AEN30" s="15"/>
      <c r="AEO30" s="15"/>
      <c r="AEP30" s="15"/>
      <c r="AEQ30" s="15"/>
      <c r="AER30" s="15"/>
      <c r="AES30" s="15"/>
      <c r="AET30" s="15"/>
      <c r="AEU30" s="15"/>
      <c r="AEV30" s="15"/>
      <c r="AEW30" s="15"/>
      <c r="AEX30" s="15"/>
      <c r="AEY30" s="15"/>
      <c r="AEZ30" s="15"/>
      <c r="AFA30" s="15"/>
      <c r="AFB30" s="15"/>
      <c r="AFC30" s="15"/>
      <c r="AFD30" s="15"/>
      <c r="AFE30" s="15"/>
      <c r="AFF30" s="15"/>
      <c r="AFG30" s="15"/>
      <c r="AFH30" s="15"/>
      <c r="AFI30" s="15"/>
      <c r="AFJ30" s="15"/>
      <c r="AFK30" s="15"/>
      <c r="AFL30" s="15"/>
      <c r="AFM30" s="15"/>
      <c r="AFN30" s="15"/>
      <c r="AFO30" s="15"/>
      <c r="AFP30" s="15"/>
      <c r="AFQ30" s="15"/>
      <c r="AFR30" s="15"/>
      <c r="AFS30" s="15"/>
      <c r="AFT30" s="15"/>
      <c r="AFU30" s="15"/>
      <c r="AFV30" s="15"/>
      <c r="AFW30" s="15"/>
      <c r="AFX30" s="15"/>
      <c r="AFY30" s="15"/>
      <c r="AFZ30" s="15"/>
      <c r="AGA30" s="15"/>
      <c r="AGB30" s="15"/>
      <c r="AGC30" s="15"/>
      <c r="AGD30" s="15"/>
      <c r="AGE30" s="15"/>
      <c r="AGF30" s="15"/>
      <c r="AGG30" s="15"/>
      <c r="AGH30" s="15"/>
      <c r="AGI30" s="15"/>
      <c r="AGJ30" s="15"/>
      <c r="AGK30" s="15"/>
      <c r="AGL30" s="15"/>
      <c r="AGM30" s="15"/>
      <c r="AGN30" s="15"/>
      <c r="AGO30" s="15"/>
      <c r="AGP30" s="15"/>
      <c r="AGQ30" s="15"/>
      <c r="AGR30" s="15"/>
      <c r="AGS30" s="15"/>
      <c r="AGT30" s="15"/>
      <c r="AGU30" s="15"/>
      <c r="AGV30" s="15"/>
      <c r="AGW30" s="15"/>
      <c r="AGX30" s="15"/>
      <c r="AGY30" s="15"/>
      <c r="AGZ30" s="15"/>
      <c r="AHA30" s="15"/>
      <c r="AHB30" s="15"/>
      <c r="AHC30" s="15"/>
      <c r="AHD30" s="15"/>
      <c r="AHE30" s="15"/>
      <c r="AHF30" s="15"/>
      <c r="AHG30" s="15"/>
      <c r="AHH30" s="15"/>
      <c r="AHI30" s="15"/>
      <c r="AHJ30" s="15"/>
      <c r="AHK30" s="15"/>
      <c r="AHL30" s="15"/>
      <c r="AHM30" s="15"/>
      <c r="AHN30" s="15"/>
      <c r="AHO30" s="15"/>
      <c r="AHP30" s="15"/>
      <c r="AHQ30" s="15"/>
      <c r="AHR30" s="15"/>
      <c r="AHS30" s="15"/>
      <c r="AHT30" s="15"/>
      <c r="AHU30" s="15"/>
      <c r="AHV30" s="15"/>
      <c r="AHW30" s="15"/>
      <c r="AHX30" s="15"/>
      <c r="AHY30" s="15"/>
      <c r="AHZ30" s="15"/>
      <c r="AIA30" s="15"/>
      <c r="AIB30" s="15"/>
      <c r="AIC30" s="15"/>
      <c r="AID30" s="15"/>
      <c r="AIE30" s="15"/>
      <c r="AIF30" s="15"/>
      <c r="AIG30" s="15"/>
      <c r="AIH30" s="15"/>
      <c r="AII30" s="15"/>
      <c r="AIJ30" s="15"/>
      <c r="AIK30" s="15"/>
      <c r="AIL30" s="15"/>
      <c r="AIM30" s="15"/>
      <c r="AIN30" s="15"/>
      <c r="AIO30" s="15"/>
      <c r="AIP30" s="15"/>
      <c r="AIQ30" s="15"/>
      <c r="AIR30" s="15"/>
      <c r="AIS30" s="15"/>
      <c r="AIT30" s="15"/>
      <c r="AIU30" s="15"/>
      <c r="AIV30" s="15"/>
      <c r="AIW30" s="15"/>
      <c r="AIX30" s="15"/>
      <c r="AIY30" s="15"/>
      <c r="AIZ30" s="15"/>
      <c r="AJA30" s="15"/>
      <c r="AJB30" s="15"/>
      <c r="AJC30" s="15"/>
      <c r="AJD30" s="15"/>
      <c r="AJE30" s="15"/>
      <c r="AJF30" s="15"/>
      <c r="AJG30" s="15"/>
      <c r="AJH30" s="15"/>
      <c r="AJI30" s="15"/>
      <c r="AJJ30" s="15"/>
      <c r="AJK30" s="15"/>
      <c r="AJL30" s="15"/>
      <c r="AJM30" s="15"/>
      <c r="AJN30" s="15"/>
      <c r="AJO30" s="15"/>
      <c r="AJP30" s="15"/>
      <c r="AJQ30" s="15"/>
      <c r="AJR30" s="15"/>
      <c r="AJS30" s="15"/>
      <c r="AJT30" s="15"/>
      <c r="AJU30" s="15"/>
      <c r="AJV30" s="15"/>
      <c r="AJW30" s="15"/>
      <c r="AJX30" s="15"/>
      <c r="AJY30" s="15"/>
      <c r="AJZ30" s="15"/>
      <c r="AKA30" s="15"/>
      <c r="AKB30" s="15"/>
      <c r="AKC30" s="15"/>
      <c r="AKD30" s="15"/>
      <c r="AKE30" s="15"/>
      <c r="AKF30" s="15"/>
      <c r="AKG30" s="15"/>
      <c r="AKH30" s="15"/>
      <c r="AKI30" s="15"/>
      <c r="AKJ30" s="15"/>
      <c r="AKK30" s="15"/>
      <c r="AKL30" s="15"/>
      <c r="AKM30" s="15"/>
      <c r="AKN30" s="15"/>
      <c r="AKO30" s="15"/>
      <c r="AKP30" s="15"/>
      <c r="AKQ30" s="15"/>
      <c r="AKR30" s="15"/>
      <c r="AKS30" s="15"/>
      <c r="AKT30" s="15"/>
      <c r="AKU30" s="15"/>
      <c r="AKV30" s="15"/>
      <c r="AKW30" s="15"/>
      <c r="AKX30" s="15"/>
      <c r="AKY30" s="15"/>
      <c r="AKZ30" s="15"/>
      <c r="ALA30" s="15"/>
      <c r="ALB30" s="15"/>
      <c r="ALC30" s="15"/>
      <c r="ALD30" s="15"/>
      <c r="ALE30" s="15"/>
      <c r="ALF30" s="15"/>
      <c r="ALG30" s="15"/>
      <c r="ALH30" s="15"/>
      <c r="ALI30" s="15"/>
      <c r="ALJ30" s="15"/>
      <c r="ALK30" s="15"/>
      <c r="ALL30" s="15"/>
      <c r="ALM30" s="15"/>
      <c r="ALN30" s="15"/>
      <c r="ALO30" s="15"/>
      <c r="ALP30" s="15"/>
      <c r="ALQ30" s="15"/>
      <c r="ALR30" s="15"/>
      <c r="ALS30" s="15"/>
      <c r="ALT30" s="15"/>
      <c r="ALU30" s="15"/>
      <c r="ALV30" s="15"/>
      <c r="ALW30" s="15"/>
      <c r="ALX30" s="15"/>
      <c r="ALY30" s="15"/>
      <c r="ALZ30" s="15"/>
      <c r="AMA30" s="15"/>
      <c r="AMB30" s="15"/>
      <c r="AMC30" s="15"/>
      <c r="AMD30" s="15"/>
      <c r="AME30" s="15"/>
      <c r="AMF30" s="15"/>
      <c r="AMG30" s="15"/>
      <c r="AMH30" s="15"/>
      <c r="AMI30" s="15"/>
      <c r="AMJ30" s="15"/>
      <c r="AMK30" s="15"/>
    </row>
    <row r="31" spans="1:1025" s="13" customFormat="1" x14ac:dyDescent="0.25">
      <c r="A31" s="13" t="s">
        <v>45</v>
      </c>
      <c r="B31" s="13">
        <v>2017</v>
      </c>
      <c r="C31" s="14">
        <v>7412000000</v>
      </c>
      <c r="D31" s="14"/>
      <c r="E31" s="14">
        <v>50097000000</v>
      </c>
      <c r="F31" s="14">
        <v>50608000000</v>
      </c>
      <c r="G31" s="14">
        <f t="shared" si="11"/>
        <v>100705000000</v>
      </c>
      <c r="H31" s="14">
        <v>59515000000</v>
      </c>
      <c r="I31" s="14">
        <f t="shared" si="12"/>
        <v>41190000000</v>
      </c>
      <c r="J31" s="14">
        <v>2533600000000</v>
      </c>
      <c r="K31" s="14">
        <v>2533600000000</v>
      </c>
      <c r="L31" s="14"/>
      <c r="M31" s="14" t="s">
        <v>43</v>
      </c>
      <c r="N31" s="14" t="s">
        <v>44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5"/>
      <c r="KR31" s="15"/>
      <c r="KS31" s="15"/>
      <c r="KT31" s="15"/>
      <c r="KU31" s="15"/>
      <c r="KV31" s="15"/>
      <c r="KW31" s="15"/>
      <c r="KX31" s="15"/>
      <c r="KY31" s="15"/>
      <c r="KZ31" s="15"/>
      <c r="LA31" s="15"/>
      <c r="LB31" s="15"/>
      <c r="LC31" s="15"/>
      <c r="LD31" s="15"/>
      <c r="LE31" s="15"/>
      <c r="LF31" s="15"/>
      <c r="LG31" s="15"/>
      <c r="LH31" s="15"/>
      <c r="LI31" s="15"/>
      <c r="LJ31" s="15"/>
      <c r="LK31" s="15"/>
      <c r="LL31" s="15"/>
      <c r="LM31" s="15"/>
      <c r="LN31" s="15"/>
      <c r="LO31" s="15"/>
      <c r="LP31" s="15"/>
      <c r="LQ31" s="15"/>
      <c r="LR31" s="15"/>
      <c r="LS31" s="15"/>
      <c r="LT31" s="15"/>
      <c r="LU31" s="15"/>
      <c r="LV31" s="15"/>
      <c r="LW31" s="15"/>
      <c r="LX31" s="15"/>
      <c r="LY31" s="15"/>
      <c r="LZ31" s="15"/>
      <c r="MA31" s="15"/>
      <c r="MB31" s="15"/>
      <c r="MC31" s="15"/>
      <c r="MD31" s="15"/>
      <c r="ME31" s="15"/>
      <c r="MF31" s="15"/>
      <c r="MG31" s="15"/>
      <c r="MH31" s="15"/>
      <c r="MI31" s="15"/>
      <c r="MJ31" s="15"/>
      <c r="MK31" s="15"/>
      <c r="ML31" s="15"/>
      <c r="MM31" s="15"/>
      <c r="MN31" s="15"/>
      <c r="MO31" s="15"/>
      <c r="MP31" s="15"/>
      <c r="MQ31" s="15"/>
      <c r="MR31" s="15"/>
      <c r="MS31" s="15"/>
      <c r="MT31" s="15"/>
      <c r="MU31" s="15"/>
      <c r="MV31" s="15"/>
      <c r="MW31" s="15"/>
      <c r="MX31" s="15"/>
      <c r="MY31" s="15"/>
      <c r="MZ31" s="15"/>
      <c r="NA31" s="15"/>
      <c r="NB31" s="15"/>
      <c r="NC31" s="15"/>
      <c r="ND31" s="15"/>
      <c r="NE31" s="15"/>
      <c r="NF31" s="15"/>
      <c r="NG31" s="15"/>
      <c r="NH31" s="15"/>
      <c r="NI31" s="15"/>
      <c r="NJ31" s="15"/>
      <c r="NK31" s="15"/>
      <c r="NL31" s="15"/>
      <c r="NM31" s="15"/>
      <c r="NN31" s="15"/>
      <c r="NO31" s="15"/>
      <c r="NP31" s="15"/>
      <c r="NQ31" s="15"/>
      <c r="NR31" s="15"/>
      <c r="NS31" s="15"/>
      <c r="NT31" s="15"/>
      <c r="NU31" s="15"/>
      <c r="NV31" s="15"/>
      <c r="NW31" s="15"/>
      <c r="NX31" s="15"/>
      <c r="NY31" s="15"/>
      <c r="NZ31" s="15"/>
      <c r="OA31" s="15"/>
      <c r="OB31" s="15"/>
      <c r="OC31" s="15"/>
      <c r="OD31" s="15"/>
      <c r="OE31" s="15"/>
      <c r="OF31" s="15"/>
      <c r="OG31" s="15"/>
      <c r="OH31" s="15"/>
      <c r="OI31" s="15"/>
      <c r="OJ31" s="15"/>
      <c r="OK31" s="15"/>
      <c r="OL31" s="15"/>
      <c r="OM31" s="15"/>
      <c r="ON31" s="15"/>
      <c r="OO31" s="15"/>
      <c r="OP31" s="15"/>
      <c r="OQ31" s="15"/>
      <c r="OR31" s="15"/>
      <c r="OS31" s="15"/>
      <c r="OT31" s="15"/>
      <c r="OU31" s="15"/>
      <c r="OV31" s="15"/>
      <c r="OW31" s="15"/>
      <c r="OX31" s="15"/>
      <c r="OY31" s="15"/>
      <c r="OZ31" s="15"/>
      <c r="PA31" s="15"/>
      <c r="PB31" s="15"/>
      <c r="PC31" s="15"/>
      <c r="PD31" s="15"/>
      <c r="PE31" s="15"/>
      <c r="PF31" s="15"/>
      <c r="PG31" s="15"/>
      <c r="PH31" s="15"/>
      <c r="PI31" s="15"/>
      <c r="PJ31" s="15"/>
      <c r="PK31" s="15"/>
      <c r="PL31" s="15"/>
      <c r="PM31" s="15"/>
      <c r="PN31" s="15"/>
      <c r="PO31" s="15"/>
      <c r="PP31" s="15"/>
      <c r="PQ31" s="15"/>
      <c r="PR31" s="15"/>
      <c r="PS31" s="15"/>
      <c r="PT31" s="15"/>
      <c r="PU31" s="15"/>
      <c r="PV31" s="15"/>
      <c r="PW31" s="15"/>
      <c r="PX31" s="15"/>
      <c r="PY31" s="15"/>
      <c r="PZ31" s="15"/>
      <c r="QA31" s="15"/>
      <c r="QB31" s="15"/>
      <c r="QC31" s="15"/>
      <c r="QD31" s="15"/>
      <c r="QE31" s="15"/>
      <c r="QF31" s="15"/>
      <c r="QG31" s="15"/>
      <c r="QH31" s="15"/>
      <c r="QI31" s="15"/>
      <c r="QJ31" s="15"/>
      <c r="QK31" s="15"/>
      <c r="QL31" s="15"/>
      <c r="QM31" s="15"/>
      <c r="QN31" s="15"/>
      <c r="QO31" s="15"/>
      <c r="QP31" s="15"/>
      <c r="QQ31" s="15"/>
      <c r="QR31" s="15"/>
      <c r="QS31" s="15"/>
      <c r="QT31" s="15"/>
      <c r="QU31" s="15"/>
      <c r="QV31" s="15"/>
      <c r="QW31" s="15"/>
      <c r="QX31" s="15"/>
      <c r="QY31" s="15"/>
      <c r="QZ31" s="15"/>
      <c r="RA31" s="15"/>
      <c r="RB31" s="15"/>
      <c r="RC31" s="15"/>
      <c r="RD31" s="15"/>
      <c r="RE31" s="15"/>
      <c r="RF31" s="15"/>
      <c r="RG31" s="15"/>
      <c r="RH31" s="15"/>
      <c r="RI31" s="15"/>
      <c r="RJ31" s="15"/>
      <c r="RK31" s="15"/>
      <c r="RL31" s="15"/>
      <c r="RM31" s="15"/>
      <c r="RN31" s="15"/>
      <c r="RO31" s="15"/>
      <c r="RP31" s="15"/>
      <c r="RQ31" s="15"/>
      <c r="RR31" s="15"/>
      <c r="RS31" s="15"/>
      <c r="RT31" s="15"/>
      <c r="RU31" s="15"/>
      <c r="RV31" s="15"/>
      <c r="RW31" s="15"/>
      <c r="RX31" s="15"/>
      <c r="RY31" s="15"/>
      <c r="RZ31" s="15"/>
      <c r="SA31" s="15"/>
      <c r="SB31" s="15"/>
      <c r="SC31" s="15"/>
      <c r="SD31" s="15"/>
      <c r="SE31" s="15"/>
      <c r="SF31" s="15"/>
      <c r="SG31" s="15"/>
      <c r="SH31" s="15"/>
      <c r="SI31" s="15"/>
      <c r="SJ31" s="15"/>
      <c r="SK31" s="15"/>
      <c r="SL31" s="15"/>
      <c r="SM31" s="15"/>
      <c r="SN31" s="15"/>
      <c r="SO31" s="15"/>
      <c r="SP31" s="15"/>
      <c r="SQ31" s="15"/>
      <c r="SR31" s="15"/>
      <c r="SS31" s="15"/>
      <c r="ST31" s="15"/>
      <c r="SU31" s="15"/>
      <c r="SV31" s="15"/>
      <c r="SW31" s="15"/>
      <c r="SX31" s="15"/>
      <c r="SY31" s="15"/>
      <c r="SZ31" s="15"/>
      <c r="TA31" s="15"/>
      <c r="TB31" s="15"/>
      <c r="TC31" s="15"/>
      <c r="TD31" s="15"/>
      <c r="TE31" s="15"/>
      <c r="TF31" s="15"/>
      <c r="TG31" s="15"/>
      <c r="TH31" s="15"/>
      <c r="TI31" s="15"/>
      <c r="TJ31" s="15"/>
      <c r="TK31" s="15"/>
      <c r="TL31" s="15"/>
      <c r="TM31" s="15"/>
      <c r="TN31" s="15"/>
      <c r="TO31" s="15"/>
      <c r="TP31" s="15"/>
      <c r="TQ31" s="15"/>
      <c r="TR31" s="15"/>
      <c r="TS31" s="15"/>
      <c r="TT31" s="15"/>
      <c r="TU31" s="15"/>
      <c r="TV31" s="15"/>
      <c r="TW31" s="15"/>
      <c r="TX31" s="15"/>
      <c r="TY31" s="15"/>
      <c r="TZ31" s="15"/>
      <c r="UA31" s="15"/>
      <c r="UB31" s="15"/>
      <c r="UC31" s="15"/>
      <c r="UD31" s="15"/>
      <c r="UE31" s="15"/>
      <c r="UF31" s="15"/>
      <c r="UG31" s="15"/>
      <c r="UH31" s="15"/>
      <c r="UI31" s="15"/>
      <c r="UJ31" s="15"/>
      <c r="UK31" s="15"/>
      <c r="UL31" s="15"/>
      <c r="UM31" s="15"/>
      <c r="UN31" s="15"/>
      <c r="UO31" s="15"/>
      <c r="UP31" s="15"/>
      <c r="UQ31" s="15"/>
      <c r="UR31" s="15"/>
      <c r="US31" s="15"/>
      <c r="UT31" s="15"/>
      <c r="UU31" s="15"/>
      <c r="UV31" s="15"/>
      <c r="UW31" s="15"/>
      <c r="UX31" s="15"/>
      <c r="UY31" s="15"/>
      <c r="UZ31" s="15"/>
      <c r="VA31" s="15"/>
      <c r="VB31" s="15"/>
      <c r="VC31" s="15"/>
      <c r="VD31" s="15"/>
      <c r="VE31" s="15"/>
      <c r="VF31" s="15"/>
      <c r="VG31" s="15"/>
      <c r="VH31" s="15"/>
      <c r="VI31" s="15"/>
      <c r="VJ31" s="15"/>
      <c r="VK31" s="15"/>
      <c r="VL31" s="15"/>
      <c r="VM31" s="15"/>
      <c r="VN31" s="15"/>
      <c r="VO31" s="15"/>
      <c r="VP31" s="15"/>
      <c r="VQ31" s="15"/>
      <c r="VR31" s="15"/>
      <c r="VS31" s="15"/>
      <c r="VT31" s="15"/>
      <c r="VU31" s="15"/>
      <c r="VV31" s="15"/>
      <c r="VW31" s="15"/>
      <c r="VX31" s="15"/>
      <c r="VY31" s="15"/>
      <c r="VZ31" s="15"/>
      <c r="WA31" s="15"/>
      <c r="WB31" s="15"/>
      <c r="WC31" s="15"/>
      <c r="WD31" s="15"/>
      <c r="WE31" s="15"/>
      <c r="WF31" s="15"/>
      <c r="WG31" s="15"/>
      <c r="WH31" s="15"/>
      <c r="WI31" s="15"/>
      <c r="WJ31" s="15"/>
      <c r="WK31" s="15"/>
      <c r="WL31" s="15"/>
      <c r="WM31" s="15"/>
      <c r="WN31" s="15"/>
      <c r="WO31" s="15"/>
      <c r="WP31" s="15"/>
      <c r="WQ31" s="15"/>
      <c r="WR31" s="15"/>
      <c r="WS31" s="15"/>
      <c r="WT31" s="15"/>
      <c r="WU31" s="15"/>
      <c r="WV31" s="15"/>
      <c r="WW31" s="15"/>
      <c r="WX31" s="15"/>
      <c r="WY31" s="15"/>
      <c r="WZ31" s="15"/>
      <c r="XA31" s="15"/>
      <c r="XB31" s="15"/>
      <c r="XC31" s="15"/>
      <c r="XD31" s="15"/>
      <c r="XE31" s="15"/>
      <c r="XF31" s="15"/>
      <c r="XG31" s="15"/>
      <c r="XH31" s="15"/>
      <c r="XI31" s="15"/>
      <c r="XJ31" s="15"/>
      <c r="XK31" s="15"/>
      <c r="XL31" s="15"/>
      <c r="XM31" s="15"/>
      <c r="XN31" s="15"/>
      <c r="XO31" s="15"/>
      <c r="XP31" s="15"/>
      <c r="XQ31" s="15"/>
      <c r="XR31" s="15"/>
      <c r="XS31" s="15"/>
      <c r="XT31" s="15"/>
      <c r="XU31" s="15"/>
      <c r="XV31" s="15"/>
      <c r="XW31" s="15"/>
      <c r="XX31" s="15"/>
      <c r="XY31" s="15"/>
      <c r="XZ31" s="15"/>
      <c r="YA31" s="15"/>
      <c r="YB31" s="15"/>
      <c r="YC31" s="15"/>
      <c r="YD31" s="15"/>
      <c r="YE31" s="15"/>
      <c r="YF31" s="15"/>
      <c r="YG31" s="15"/>
      <c r="YH31" s="15"/>
      <c r="YI31" s="15"/>
      <c r="YJ31" s="15"/>
      <c r="YK31" s="15"/>
      <c r="YL31" s="15"/>
      <c r="YM31" s="15"/>
      <c r="YN31" s="15"/>
      <c r="YO31" s="15"/>
      <c r="YP31" s="15"/>
      <c r="YQ31" s="15"/>
      <c r="YR31" s="15"/>
      <c r="YS31" s="15"/>
      <c r="YT31" s="15"/>
      <c r="YU31" s="15"/>
      <c r="YV31" s="15"/>
      <c r="YW31" s="15"/>
      <c r="YX31" s="15"/>
      <c r="YY31" s="15"/>
      <c r="YZ31" s="15"/>
      <c r="ZA31" s="15"/>
      <c r="ZB31" s="15"/>
      <c r="ZC31" s="15"/>
      <c r="ZD31" s="15"/>
      <c r="ZE31" s="15"/>
      <c r="ZF31" s="15"/>
      <c r="ZG31" s="15"/>
      <c r="ZH31" s="15"/>
      <c r="ZI31" s="15"/>
      <c r="ZJ31" s="15"/>
      <c r="ZK31" s="15"/>
      <c r="ZL31" s="15"/>
      <c r="ZM31" s="15"/>
      <c r="ZN31" s="15"/>
      <c r="ZO31" s="15"/>
      <c r="ZP31" s="15"/>
      <c r="ZQ31" s="15"/>
      <c r="ZR31" s="15"/>
      <c r="ZS31" s="15"/>
      <c r="ZT31" s="15"/>
      <c r="ZU31" s="15"/>
      <c r="ZV31" s="15"/>
      <c r="ZW31" s="15"/>
      <c r="ZX31" s="15"/>
      <c r="ZY31" s="15"/>
      <c r="ZZ31" s="15"/>
      <c r="AAA31" s="15"/>
      <c r="AAB31" s="15"/>
      <c r="AAC31" s="15"/>
      <c r="AAD31" s="15"/>
      <c r="AAE31" s="15"/>
      <c r="AAF31" s="15"/>
      <c r="AAG31" s="15"/>
      <c r="AAH31" s="15"/>
      <c r="AAI31" s="15"/>
      <c r="AAJ31" s="15"/>
      <c r="AAK31" s="15"/>
      <c r="AAL31" s="15"/>
      <c r="AAM31" s="15"/>
      <c r="AAN31" s="15"/>
      <c r="AAO31" s="15"/>
      <c r="AAP31" s="15"/>
      <c r="AAQ31" s="15"/>
      <c r="AAR31" s="15"/>
      <c r="AAS31" s="15"/>
      <c r="AAT31" s="15"/>
      <c r="AAU31" s="15"/>
      <c r="AAV31" s="15"/>
      <c r="AAW31" s="15"/>
      <c r="AAX31" s="15"/>
      <c r="AAY31" s="15"/>
      <c r="AAZ31" s="15"/>
      <c r="ABA31" s="15"/>
      <c r="ABB31" s="15"/>
      <c r="ABC31" s="15"/>
      <c r="ABD31" s="15"/>
      <c r="ABE31" s="15"/>
      <c r="ABF31" s="15"/>
      <c r="ABG31" s="15"/>
      <c r="ABH31" s="15"/>
      <c r="ABI31" s="15"/>
      <c r="ABJ31" s="15"/>
      <c r="ABK31" s="15"/>
      <c r="ABL31" s="15"/>
      <c r="ABM31" s="15"/>
      <c r="ABN31" s="15"/>
      <c r="ABO31" s="15"/>
      <c r="ABP31" s="15"/>
      <c r="ABQ31" s="15"/>
      <c r="ABR31" s="15"/>
      <c r="ABS31" s="15"/>
      <c r="ABT31" s="15"/>
      <c r="ABU31" s="15"/>
      <c r="ABV31" s="15"/>
      <c r="ABW31" s="15"/>
      <c r="ABX31" s="15"/>
      <c r="ABY31" s="15"/>
      <c r="ABZ31" s="15"/>
      <c r="ACA31" s="15"/>
      <c r="ACB31" s="15"/>
      <c r="ACC31" s="15"/>
      <c r="ACD31" s="15"/>
      <c r="ACE31" s="15"/>
      <c r="ACF31" s="15"/>
      <c r="ACG31" s="15"/>
      <c r="ACH31" s="15"/>
      <c r="ACI31" s="15"/>
      <c r="ACJ31" s="15"/>
      <c r="ACK31" s="15"/>
      <c r="ACL31" s="15"/>
      <c r="ACM31" s="15"/>
      <c r="ACN31" s="15"/>
      <c r="ACO31" s="15"/>
      <c r="ACP31" s="15"/>
      <c r="ACQ31" s="15"/>
      <c r="ACR31" s="15"/>
      <c r="ACS31" s="15"/>
      <c r="ACT31" s="15"/>
      <c r="ACU31" s="15"/>
      <c r="ACV31" s="15"/>
      <c r="ACW31" s="15"/>
      <c r="ACX31" s="15"/>
      <c r="ACY31" s="15"/>
      <c r="ACZ31" s="15"/>
      <c r="ADA31" s="15"/>
      <c r="ADB31" s="15"/>
      <c r="ADC31" s="15"/>
      <c r="ADD31" s="15"/>
      <c r="ADE31" s="15"/>
      <c r="ADF31" s="15"/>
      <c r="ADG31" s="15"/>
      <c r="ADH31" s="15"/>
      <c r="ADI31" s="15"/>
      <c r="ADJ31" s="15"/>
      <c r="ADK31" s="15"/>
      <c r="ADL31" s="15"/>
      <c r="ADM31" s="15"/>
      <c r="ADN31" s="15"/>
      <c r="ADO31" s="15"/>
      <c r="ADP31" s="15"/>
      <c r="ADQ31" s="15"/>
      <c r="ADR31" s="15"/>
      <c r="ADS31" s="15"/>
      <c r="ADT31" s="15"/>
      <c r="ADU31" s="15"/>
      <c r="ADV31" s="15"/>
      <c r="ADW31" s="15"/>
      <c r="ADX31" s="15"/>
      <c r="ADY31" s="15"/>
      <c r="ADZ31" s="15"/>
      <c r="AEA31" s="15"/>
      <c r="AEB31" s="15"/>
      <c r="AEC31" s="15"/>
      <c r="AED31" s="15"/>
      <c r="AEE31" s="15"/>
      <c r="AEF31" s="15"/>
      <c r="AEG31" s="15"/>
      <c r="AEH31" s="15"/>
      <c r="AEI31" s="15"/>
      <c r="AEJ31" s="15"/>
      <c r="AEK31" s="15"/>
      <c r="AEL31" s="15"/>
      <c r="AEM31" s="15"/>
      <c r="AEN31" s="15"/>
      <c r="AEO31" s="15"/>
      <c r="AEP31" s="15"/>
      <c r="AEQ31" s="15"/>
      <c r="AER31" s="15"/>
      <c r="AES31" s="15"/>
      <c r="AET31" s="15"/>
      <c r="AEU31" s="15"/>
      <c r="AEV31" s="15"/>
      <c r="AEW31" s="15"/>
      <c r="AEX31" s="15"/>
      <c r="AEY31" s="15"/>
      <c r="AEZ31" s="15"/>
      <c r="AFA31" s="15"/>
      <c r="AFB31" s="15"/>
      <c r="AFC31" s="15"/>
      <c r="AFD31" s="15"/>
      <c r="AFE31" s="15"/>
      <c r="AFF31" s="15"/>
      <c r="AFG31" s="15"/>
      <c r="AFH31" s="15"/>
      <c r="AFI31" s="15"/>
      <c r="AFJ31" s="15"/>
      <c r="AFK31" s="15"/>
      <c r="AFL31" s="15"/>
      <c r="AFM31" s="15"/>
      <c r="AFN31" s="15"/>
      <c r="AFO31" s="15"/>
      <c r="AFP31" s="15"/>
      <c r="AFQ31" s="15"/>
      <c r="AFR31" s="15"/>
      <c r="AFS31" s="15"/>
      <c r="AFT31" s="15"/>
      <c r="AFU31" s="15"/>
      <c r="AFV31" s="15"/>
      <c r="AFW31" s="15"/>
      <c r="AFX31" s="15"/>
      <c r="AFY31" s="15"/>
      <c r="AFZ31" s="15"/>
      <c r="AGA31" s="15"/>
      <c r="AGB31" s="15"/>
      <c r="AGC31" s="15"/>
      <c r="AGD31" s="15"/>
      <c r="AGE31" s="15"/>
      <c r="AGF31" s="15"/>
      <c r="AGG31" s="15"/>
      <c r="AGH31" s="15"/>
      <c r="AGI31" s="15"/>
      <c r="AGJ31" s="15"/>
      <c r="AGK31" s="15"/>
      <c r="AGL31" s="15"/>
      <c r="AGM31" s="15"/>
      <c r="AGN31" s="15"/>
      <c r="AGO31" s="15"/>
      <c r="AGP31" s="15"/>
      <c r="AGQ31" s="15"/>
      <c r="AGR31" s="15"/>
      <c r="AGS31" s="15"/>
      <c r="AGT31" s="15"/>
      <c r="AGU31" s="15"/>
      <c r="AGV31" s="15"/>
      <c r="AGW31" s="15"/>
      <c r="AGX31" s="15"/>
      <c r="AGY31" s="15"/>
      <c r="AGZ31" s="15"/>
      <c r="AHA31" s="15"/>
      <c r="AHB31" s="15"/>
      <c r="AHC31" s="15"/>
      <c r="AHD31" s="15"/>
      <c r="AHE31" s="15"/>
      <c r="AHF31" s="15"/>
      <c r="AHG31" s="15"/>
      <c r="AHH31" s="15"/>
      <c r="AHI31" s="15"/>
      <c r="AHJ31" s="15"/>
      <c r="AHK31" s="15"/>
      <c r="AHL31" s="15"/>
      <c r="AHM31" s="15"/>
      <c r="AHN31" s="15"/>
      <c r="AHO31" s="15"/>
      <c r="AHP31" s="15"/>
      <c r="AHQ31" s="15"/>
      <c r="AHR31" s="15"/>
      <c r="AHS31" s="15"/>
      <c r="AHT31" s="15"/>
      <c r="AHU31" s="15"/>
      <c r="AHV31" s="15"/>
      <c r="AHW31" s="15"/>
      <c r="AHX31" s="15"/>
      <c r="AHY31" s="15"/>
      <c r="AHZ31" s="15"/>
      <c r="AIA31" s="15"/>
      <c r="AIB31" s="15"/>
      <c r="AIC31" s="15"/>
      <c r="AID31" s="15"/>
      <c r="AIE31" s="15"/>
      <c r="AIF31" s="15"/>
      <c r="AIG31" s="15"/>
      <c r="AIH31" s="15"/>
      <c r="AII31" s="15"/>
      <c r="AIJ31" s="15"/>
      <c r="AIK31" s="15"/>
      <c r="AIL31" s="15"/>
      <c r="AIM31" s="15"/>
      <c r="AIN31" s="15"/>
      <c r="AIO31" s="15"/>
      <c r="AIP31" s="15"/>
      <c r="AIQ31" s="15"/>
      <c r="AIR31" s="15"/>
      <c r="AIS31" s="15"/>
      <c r="AIT31" s="15"/>
      <c r="AIU31" s="15"/>
      <c r="AIV31" s="15"/>
      <c r="AIW31" s="15"/>
      <c r="AIX31" s="15"/>
      <c r="AIY31" s="15"/>
      <c r="AIZ31" s="15"/>
      <c r="AJA31" s="15"/>
      <c r="AJB31" s="15"/>
      <c r="AJC31" s="15"/>
      <c r="AJD31" s="15"/>
      <c r="AJE31" s="15"/>
      <c r="AJF31" s="15"/>
      <c r="AJG31" s="15"/>
      <c r="AJH31" s="15"/>
      <c r="AJI31" s="15"/>
      <c r="AJJ31" s="15"/>
      <c r="AJK31" s="15"/>
      <c r="AJL31" s="15"/>
      <c r="AJM31" s="15"/>
      <c r="AJN31" s="15"/>
      <c r="AJO31" s="15"/>
      <c r="AJP31" s="15"/>
      <c r="AJQ31" s="15"/>
      <c r="AJR31" s="15"/>
      <c r="AJS31" s="15"/>
      <c r="AJT31" s="15"/>
      <c r="AJU31" s="15"/>
      <c r="AJV31" s="15"/>
      <c r="AJW31" s="15"/>
      <c r="AJX31" s="15"/>
      <c r="AJY31" s="15"/>
      <c r="AJZ31" s="15"/>
      <c r="AKA31" s="15"/>
      <c r="AKB31" s="15"/>
      <c r="AKC31" s="15"/>
      <c r="AKD31" s="15"/>
      <c r="AKE31" s="15"/>
      <c r="AKF31" s="15"/>
      <c r="AKG31" s="15"/>
      <c r="AKH31" s="15"/>
      <c r="AKI31" s="15"/>
      <c r="AKJ31" s="15"/>
      <c r="AKK31" s="15"/>
      <c r="AKL31" s="15"/>
      <c r="AKM31" s="15"/>
      <c r="AKN31" s="15"/>
      <c r="AKO31" s="15"/>
      <c r="AKP31" s="15"/>
      <c r="AKQ31" s="15"/>
      <c r="AKR31" s="15"/>
      <c r="AKS31" s="15"/>
      <c r="AKT31" s="15"/>
      <c r="AKU31" s="15"/>
      <c r="AKV31" s="15"/>
      <c r="AKW31" s="15"/>
      <c r="AKX31" s="15"/>
      <c r="AKY31" s="15"/>
      <c r="AKZ31" s="15"/>
      <c r="ALA31" s="15"/>
      <c r="ALB31" s="15"/>
      <c r="ALC31" s="15"/>
      <c r="ALD31" s="15"/>
      <c r="ALE31" s="15"/>
      <c r="ALF31" s="15"/>
      <c r="ALG31" s="15"/>
      <c r="ALH31" s="15"/>
      <c r="ALI31" s="15"/>
      <c r="ALJ31" s="15"/>
      <c r="ALK31" s="15"/>
      <c r="ALL31" s="15"/>
      <c r="ALM31" s="15"/>
      <c r="ALN31" s="15"/>
      <c r="ALO31" s="15"/>
      <c r="ALP31" s="15"/>
      <c r="ALQ31" s="15"/>
      <c r="ALR31" s="15"/>
      <c r="ALS31" s="15"/>
      <c r="ALT31" s="15"/>
      <c r="ALU31" s="15"/>
      <c r="ALV31" s="15"/>
      <c r="ALW31" s="15"/>
      <c r="ALX31" s="15"/>
      <c r="ALY31" s="15"/>
      <c r="ALZ31" s="15"/>
      <c r="AMA31" s="15"/>
      <c r="AMB31" s="15"/>
      <c r="AMC31" s="15"/>
      <c r="AMD31" s="15"/>
      <c r="AME31" s="15"/>
      <c r="AMF31" s="15"/>
      <c r="AMG31" s="15"/>
      <c r="AMH31" s="15"/>
      <c r="AMI31" s="15"/>
      <c r="AMJ31" s="15"/>
      <c r="AMK31" s="15"/>
    </row>
    <row r="32" spans="1:1025" x14ac:dyDescent="0.25">
      <c r="A32" t="s">
        <v>46</v>
      </c>
      <c r="B32">
        <v>2017</v>
      </c>
      <c r="C32" s="12">
        <f>1947</f>
        <v>1947</v>
      </c>
      <c r="D32" s="12"/>
      <c r="E32" s="12">
        <f>26904*0.74</f>
        <v>19908.96</v>
      </c>
      <c r="F32" s="12">
        <f>23529*0.74</f>
        <v>17411.46</v>
      </c>
      <c r="G32" s="12">
        <f t="shared" si="11"/>
        <v>37320.42</v>
      </c>
      <c r="H32" s="12">
        <f>11469*0.74</f>
        <v>8487.06</v>
      </c>
      <c r="I32" s="12">
        <f>21794*0.74</f>
        <v>16127.56</v>
      </c>
      <c r="J32" s="12">
        <f>1212853*0.74</f>
        <v>897511.22</v>
      </c>
      <c r="K32" s="12">
        <f>1138425*0.74</f>
        <v>842434.5</v>
      </c>
      <c r="L32" s="12"/>
      <c r="M32" s="12">
        <f>J32-K32</f>
        <v>55076.719999999972</v>
      </c>
      <c r="N32" s="12">
        <f>C32/G32</f>
        <v>5.2169830886147586E-2</v>
      </c>
    </row>
    <row r="33" spans="1:14" x14ac:dyDescent="0.25">
      <c r="A33" t="s">
        <v>46</v>
      </c>
      <c r="B33">
        <v>2018</v>
      </c>
      <c r="C33" s="12">
        <f>668</f>
        <v>668</v>
      </c>
      <c r="D33" s="12"/>
      <c r="E33" s="12">
        <f>17952*0.74</f>
        <v>13284.48</v>
      </c>
      <c r="F33" s="12">
        <f>24385*0.74</f>
        <v>18044.900000000001</v>
      </c>
      <c r="G33" s="12">
        <f t="shared" si="11"/>
        <v>31329.38</v>
      </c>
      <c r="H33" s="12">
        <f>0.74*12431</f>
        <v>9198.94</v>
      </c>
      <c r="I33" s="12">
        <f>22833*0.74</f>
        <v>16896.419999999998</v>
      </c>
      <c r="J33" s="12">
        <f>1334734*0.74</f>
        <v>987703.16</v>
      </c>
      <c r="K33" s="12">
        <f>1254779*0.74</f>
        <v>928536.46</v>
      </c>
      <c r="L33" s="12"/>
      <c r="M33" s="12">
        <f t="shared" ref="M33:M38" si="13">J33+K33</f>
        <v>1916239.62</v>
      </c>
      <c r="N33" s="12">
        <f>K33-M33</f>
        <v>-987703.16000000015</v>
      </c>
    </row>
    <row r="34" spans="1:14" x14ac:dyDescent="0.25">
      <c r="A34" t="s">
        <v>46</v>
      </c>
      <c r="B34">
        <v>2019</v>
      </c>
      <c r="C34" s="12">
        <f>1698</f>
        <v>1698</v>
      </c>
      <c r="D34" s="12"/>
      <c r="E34" s="12">
        <f>19749* 0.74</f>
        <v>14614.26</v>
      </c>
      <c r="F34" s="12">
        <f>26253*0.74</f>
        <v>19427.22</v>
      </c>
      <c r="G34" s="12">
        <f t="shared" si="11"/>
        <v>34041.480000000003</v>
      </c>
      <c r="H34" s="12">
        <f>0.74*12871</f>
        <v>9524.5399999999991</v>
      </c>
      <c r="I34" s="12">
        <f>0.74*24139</f>
        <v>17862.86</v>
      </c>
      <c r="J34" s="12">
        <f>1428935*0.74</f>
        <v>1057411.8999999999</v>
      </c>
      <c r="K34" s="12">
        <f>1345310*0.74</f>
        <v>995529.4</v>
      </c>
      <c r="L34" s="12"/>
      <c r="M34" s="12">
        <f t="shared" si="13"/>
        <v>2052941.2999999998</v>
      </c>
      <c r="N34" s="12">
        <f>K34-M34</f>
        <v>-1057411.8999999999</v>
      </c>
    </row>
    <row r="35" spans="1:14" x14ac:dyDescent="0.25">
      <c r="A35" t="s">
        <v>46</v>
      </c>
      <c r="B35">
        <v>2020</v>
      </c>
      <c r="C35" s="12">
        <f>1757</f>
        <v>1757</v>
      </c>
      <c r="D35" s="12"/>
      <c r="E35" s="12">
        <f>20835*0.74</f>
        <v>15417.9</v>
      </c>
      <c r="F35" s="12">
        <f>26346*0.74</f>
        <v>19496.04</v>
      </c>
      <c r="G35" s="12">
        <f t="shared" si="11"/>
        <v>34913.94</v>
      </c>
      <c r="H35" s="12">
        <f>11437*0.74</f>
        <v>8463.3799999999992</v>
      </c>
      <c r="I35" s="12">
        <f>24758*0.74</f>
        <v>18320.919999999998</v>
      </c>
      <c r="J35" s="12">
        <f>1624548*0.74</f>
        <v>1202165.52</v>
      </c>
      <c r="K35" s="12">
        <f>1537781*0.74</f>
        <v>1137957.94</v>
      </c>
      <c r="L35" s="12"/>
      <c r="M35" s="12">
        <f t="shared" si="13"/>
        <v>2340123.46</v>
      </c>
      <c r="N35" s="12">
        <f>K35-M35</f>
        <v>-1202165.52</v>
      </c>
    </row>
    <row r="36" spans="1:14" x14ac:dyDescent="0.25">
      <c r="A36" t="s">
        <v>46</v>
      </c>
      <c r="B36">
        <v>2021</v>
      </c>
      <c r="C36" s="12">
        <v>2559</v>
      </c>
      <c r="D36" s="12"/>
      <c r="E36" s="12">
        <f>20002*0.74</f>
        <v>14801.48</v>
      </c>
      <c r="F36" s="12">
        <f>29691*0.74</f>
        <v>21971.34</v>
      </c>
      <c r="G36" s="12">
        <f t="shared" si="11"/>
        <v>36772.82</v>
      </c>
      <c r="H36" s="12">
        <f>16050*0.74</f>
        <v>11877</v>
      </c>
      <c r="I36" s="12">
        <f>25924*0.74</f>
        <v>19183.759999999998</v>
      </c>
      <c r="J36" s="12">
        <f>1706323*0.74</f>
        <v>1262679.02</v>
      </c>
      <c r="K36" s="12">
        <f>1607561*0.74</f>
        <v>1189595.1399999999</v>
      </c>
      <c r="L36" s="12"/>
      <c r="M36" s="12">
        <f t="shared" si="13"/>
        <v>2452274.16</v>
      </c>
      <c r="N36" s="12">
        <f>K36-M36</f>
        <v>-1262679.0200000003</v>
      </c>
    </row>
    <row r="37" spans="1:14" x14ac:dyDescent="0.25">
      <c r="A37" t="s">
        <v>47</v>
      </c>
      <c r="B37">
        <v>2017</v>
      </c>
      <c r="C37" s="12" t="s">
        <v>44</v>
      </c>
      <c r="D37" s="12"/>
      <c r="E37" s="12">
        <f>12378</f>
        <v>12378</v>
      </c>
      <c r="F37" s="12">
        <f>14070</f>
        <v>14070</v>
      </c>
      <c r="G37" s="12">
        <f t="shared" si="11"/>
        <v>26448</v>
      </c>
      <c r="H37" s="12">
        <v>498</v>
      </c>
      <c r="I37" s="12"/>
      <c r="J37" s="12">
        <f>1474732</f>
        <v>1474732</v>
      </c>
      <c r="K37" s="12">
        <f>1406633</f>
        <v>1406633</v>
      </c>
      <c r="L37" s="12"/>
      <c r="M37" s="12">
        <f t="shared" si="13"/>
        <v>2881365</v>
      </c>
      <c r="N37" s="12" t="s">
        <v>44</v>
      </c>
    </row>
    <row r="38" spans="1:14" x14ac:dyDescent="0.25">
      <c r="A38" t="s">
        <v>47</v>
      </c>
      <c r="B38">
        <v>2018</v>
      </c>
      <c r="C38" s="12" t="s">
        <v>44</v>
      </c>
      <c r="D38" s="12"/>
      <c r="E38" s="12">
        <f>13192</f>
        <v>13192</v>
      </c>
      <c r="F38" s="12">
        <f>12124</f>
        <v>12124</v>
      </c>
      <c r="G38" s="12">
        <f t="shared" si="11"/>
        <v>25316</v>
      </c>
      <c r="H38" s="12">
        <v>-735</v>
      </c>
      <c r="I38" s="12">
        <f>23461</f>
        <v>23461</v>
      </c>
      <c r="J38" s="12">
        <f>1348137</f>
        <v>1348137</v>
      </c>
      <c r="K38" s="12">
        <f>1279400</f>
        <v>1279400</v>
      </c>
      <c r="L38" s="12"/>
      <c r="M38" s="12">
        <f t="shared" si="13"/>
        <v>2627537</v>
      </c>
      <c r="N38" s="12" t="s">
        <v>44</v>
      </c>
    </row>
    <row r="39" spans="1:14" x14ac:dyDescent="0.25">
      <c r="A39" t="s">
        <v>47</v>
      </c>
      <c r="B39">
        <v>2019</v>
      </c>
      <c r="C39" s="12" t="s">
        <v>44</v>
      </c>
      <c r="D39" s="12"/>
      <c r="E39" s="12">
        <f>13749</f>
        <v>13749</v>
      </c>
      <c r="F39" s="12">
        <v>9416</v>
      </c>
      <c r="G39" s="12">
        <f t="shared" si="11"/>
        <v>23165</v>
      </c>
      <c r="H39" s="12">
        <f>-5521</f>
        <v>-5521</v>
      </c>
      <c r="I39" s="12">
        <f>25076</f>
        <v>25076</v>
      </c>
      <c r="J39" s="12">
        <f>777081</f>
        <v>777081</v>
      </c>
      <c r="K39" s="12">
        <f>1297674</f>
        <v>1297674</v>
      </c>
      <c r="L39" s="12"/>
      <c r="M39" s="12">
        <f>J39-K39</f>
        <v>-520593</v>
      </c>
      <c r="N39" s="12" t="s">
        <v>44</v>
      </c>
    </row>
    <row r="40" spans="1:14" x14ac:dyDescent="0.25">
      <c r="A40" t="s">
        <v>47</v>
      </c>
      <c r="B40">
        <v>2020</v>
      </c>
      <c r="C40" s="12" t="s">
        <v>44</v>
      </c>
      <c r="D40" s="12"/>
      <c r="E40" s="12">
        <f>11526</f>
        <v>11526</v>
      </c>
      <c r="F40" s="12">
        <v>12503</v>
      </c>
      <c r="G40" s="12">
        <f t="shared" si="11"/>
        <v>24029</v>
      </c>
      <c r="H40" s="12">
        <f>624</f>
        <v>624</v>
      </c>
      <c r="I40" s="12">
        <f>21216</f>
        <v>21216</v>
      </c>
      <c r="J40" s="12">
        <f>993292</f>
        <v>993292</v>
      </c>
      <c r="K40" s="12">
        <f>1263063</f>
        <v>1263063</v>
      </c>
      <c r="L40" s="12"/>
      <c r="M40" s="12">
        <f>J40-K40</f>
        <v>-269771</v>
      </c>
      <c r="N40" s="12" t="s">
        <v>44</v>
      </c>
    </row>
    <row r="41" spans="1:14" x14ac:dyDescent="0.25">
      <c r="A41" t="s">
        <v>47</v>
      </c>
      <c r="B41">
        <v>2021</v>
      </c>
      <c r="C41" s="12" t="s">
        <v>44</v>
      </c>
      <c r="D41" s="12"/>
      <c r="E41" s="12">
        <f>11155</f>
        <v>11155</v>
      </c>
      <c r="F41" s="12">
        <f>14255</f>
        <v>14255</v>
      </c>
      <c r="G41" s="12">
        <f t="shared" si="11"/>
        <v>25410</v>
      </c>
      <c r="H41" s="12">
        <f>2510</f>
        <v>2510</v>
      </c>
      <c r="I41" s="12">
        <f>21505</f>
        <v>21505</v>
      </c>
      <c r="J41" s="12">
        <f>1020109</f>
        <v>1020109</v>
      </c>
      <c r="K41" s="12">
        <f>1255962</f>
        <v>1255962</v>
      </c>
      <c r="L41" s="12"/>
      <c r="M41" s="12">
        <f>J41-K41</f>
        <v>-235853</v>
      </c>
      <c r="N41" s="12" t="s">
        <v>44</v>
      </c>
    </row>
    <row r="42" spans="1:14" x14ac:dyDescent="0.25">
      <c r="A42" t="s">
        <v>36</v>
      </c>
      <c r="B42">
        <v>2021</v>
      </c>
      <c r="C42" s="12">
        <v>8887</v>
      </c>
      <c r="D42" s="12"/>
      <c r="E42" s="12">
        <v>42934</v>
      </c>
      <c r="F42" s="12">
        <v>46179</v>
      </c>
      <c r="G42" s="12">
        <f t="shared" si="11"/>
        <v>89113</v>
      </c>
      <c r="H42" s="12">
        <v>31978</v>
      </c>
      <c r="I42" s="12">
        <v>59731</v>
      </c>
      <c r="J42" s="12">
        <v>3169495</v>
      </c>
      <c r="K42" s="12">
        <v>2899429</v>
      </c>
      <c r="L42" s="12"/>
      <c r="M42" s="12">
        <f>J42-K42</f>
        <v>270066</v>
      </c>
      <c r="N42" s="12">
        <f>C42/G42</f>
        <v>9.9727312513325783E-2</v>
      </c>
    </row>
    <row r="43" spans="1:14" x14ac:dyDescent="0.25">
      <c r="A43" t="s">
        <v>36</v>
      </c>
      <c r="B43">
        <v>2020</v>
      </c>
      <c r="C43" s="12">
        <v>7180</v>
      </c>
      <c r="D43" s="12"/>
      <c r="E43" s="12">
        <v>43360</v>
      </c>
      <c r="F43" s="12">
        <v>42168</v>
      </c>
      <c r="G43" s="12">
        <v>85528</v>
      </c>
      <c r="H43" s="12">
        <v>17894</v>
      </c>
      <c r="I43" s="12">
        <v>55213</v>
      </c>
      <c r="J43" s="12">
        <v>2819627</v>
      </c>
      <c r="K43" s="12">
        <v>2546703</v>
      </c>
      <c r="L43" s="12"/>
      <c r="M43" s="12">
        <f t="shared" ref="M43:M53" si="14">J43+K43</f>
        <v>5366330</v>
      </c>
      <c r="N43" s="12">
        <f>K43-M43</f>
        <v>-2819627</v>
      </c>
    </row>
    <row r="44" spans="1:14" x14ac:dyDescent="0.25">
      <c r="A44" t="s">
        <v>36</v>
      </c>
      <c r="B44">
        <v>2019</v>
      </c>
      <c r="C44" s="12">
        <v>5642</v>
      </c>
      <c r="D44" s="12"/>
      <c r="E44" s="12">
        <v>48891</v>
      </c>
      <c r="F44" s="12">
        <v>42353</v>
      </c>
      <c r="G44" s="12">
        <v>91244</v>
      </c>
      <c r="H44" s="12">
        <v>27430</v>
      </c>
      <c r="I44" s="12">
        <v>54900</v>
      </c>
      <c r="J44" s="12">
        <v>2434079</v>
      </c>
      <c r="K44" s="12">
        <v>2169269</v>
      </c>
      <c r="L44" s="12"/>
      <c r="M44" s="12">
        <f t="shared" si="14"/>
        <v>4603348</v>
      </c>
      <c r="N44" s="12">
        <f>K44-M44</f>
        <v>-2434079</v>
      </c>
    </row>
    <row r="45" spans="1:14" x14ac:dyDescent="0.25">
      <c r="A45" t="s">
        <v>36</v>
      </c>
      <c r="B45">
        <v>2018</v>
      </c>
      <c r="C45" s="12">
        <v>5327</v>
      </c>
      <c r="D45" s="12"/>
      <c r="E45" s="12">
        <v>48162</v>
      </c>
      <c r="F45" s="12">
        <v>42858</v>
      </c>
      <c r="G45" s="12">
        <v>91020</v>
      </c>
      <c r="H45" s="12">
        <v>28147</v>
      </c>
      <c r="I45" s="12">
        <v>53154</v>
      </c>
      <c r="J45" s="12">
        <v>2325246</v>
      </c>
      <c r="K45" s="12">
        <v>2060498</v>
      </c>
      <c r="L45" s="12"/>
      <c r="M45" s="12">
        <f t="shared" si="14"/>
        <v>4385744</v>
      </c>
      <c r="N45" s="12">
        <f>K45-M45</f>
        <v>-2325246</v>
      </c>
    </row>
    <row r="46" spans="1:14" x14ac:dyDescent="0.25">
      <c r="A46" t="s">
        <v>36</v>
      </c>
      <c r="B46">
        <v>2017</v>
      </c>
      <c r="C46" s="12">
        <v>6011</v>
      </c>
      <c r="D46" s="12"/>
      <c r="E46" s="12">
        <v>45239</v>
      </c>
      <c r="F46" s="12">
        <v>41887</v>
      </c>
      <c r="G46" s="12">
        <v>87126</v>
      </c>
      <c r="H46" s="12">
        <v>18232</v>
      </c>
      <c r="I46" s="12">
        <v>54517</v>
      </c>
      <c r="J46" s="12">
        <v>2268633</v>
      </c>
      <c r="K46" s="12">
        <v>1997344</v>
      </c>
      <c r="L46" s="12"/>
      <c r="M46" s="12">
        <f t="shared" si="14"/>
        <v>4265977</v>
      </c>
      <c r="N46" s="12">
        <f>K46-M46</f>
        <v>-2268633</v>
      </c>
    </row>
    <row r="47" spans="1:14" x14ac:dyDescent="0.25">
      <c r="A47" t="s">
        <v>48</v>
      </c>
      <c r="B47">
        <v>2021</v>
      </c>
      <c r="C47" s="12">
        <v>10994</v>
      </c>
      <c r="D47" s="12"/>
      <c r="E47" s="12">
        <v>9411</v>
      </c>
      <c r="F47" s="12" t="s">
        <v>44</v>
      </c>
      <c r="G47" s="12">
        <v>59755</v>
      </c>
      <c r="H47" s="12">
        <v>15034</v>
      </c>
      <c r="I47" s="12">
        <v>40083</v>
      </c>
      <c r="J47" s="12">
        <v>1188140</v>
      </c>
      <c r="K47" s="12">
        <v>1081542</v>
      </c>
      <c r="L47" s="12"/>
      <c r="M47" s="12">
        <f t="shared" si="14"/>
        <v>2269682</v>
      </c>
      <c r="N47" s="12" t="s">
        <v>44</v>
      </c>
    </row>
    <row r="48" spans="1:14" x14ac:dyDescent="0.25">
      <c r="A48" t="s">
        <v>48</v>
      </c>
      <c r="B48">
        <v>2020</v>
      </c>
      <c r="C48" s="12">
        <v>7674</v>
      </c>
      <c r="D48" s="12"/>
      <c r="E48" s="12">
        <v>10162</v>
      </c>
      <c r="F48" s="12" t="s">
        <v>44</v>
      </c>
      <c r="G48" s="12">
        <v>48757</v>
      </c>
      <c r="H48" s="12">
        <v>10996</v>
      </c>
      <c r="I48" s="12">
        <v>33578</v>
      </c>
      <c r="J48" s="12">
        <v>1115862</v>
      </c>
      <c r="K48" s="12">
        <v>1012713</v>
      </c>
      <c r="L48" s="12"/>
      <c r="M48" s="12">
        <f t="shared" si="14"/>
        <v>2128575</v>
      </c>
      <c r="N48" s="12" t="s">
        <v>44</v>
      </c>
    </row>
    <row r="49" spans="1:14" x14ac:dyDescent="0.25">
      <c r="A49" t="s">
        <v>48</v>
      </c>
      <c r="B49">
        <v>2019</v>
      </c>
      <c r="C49" s="1" t="s">
        <v>44</v>
      </c>
      <c r="E49" s="1" t="s">
        <v>44</v>
      </c>
      <c r="F49" s="1" t="s">
        <v>44</v>
      </c>
      <c r="G49" s="1">
        <v>41538</v>
      </c>
      <c r="H49" s="1">
        <v>9042</v>
      </c>
      <c r="I49" s="1">
        <v>30076</v>
      </c>
      <c r="J49" s="1">
        <v>895429</v>
      </c>
      <c r="K49" s="1">
        <v>812732</v>
      </c>
      <c r="M49" s="1">
        <f t="shared" si="14"/>
        <v>1708161</v>
      </c>
      <c r="N49" s="1" t="s">
        <v>44</v>
      </c>
    </row>
    <row r="50" spans="1:14" x14ac:dyDescent="0.25">
      <c r="A50" t="s">
        <v>48</v>
      </c>
      <c r="B50">
        <v>2018</v>
      </c>
      <c r="C50" s="1" t="s">
        <v>44</v>
      </c>
      <c r="E50" s="1">
        <v>13892</v>
      </c>
      <c r="F50" s="1" t="s">
        <v>44</v>
      </c>
      <c r="G50" s="1">
        <v>40107</v>
      </c>
      <c r="H50" s="1">
        <v>8222</v>
      </c>
      <c r="I50" s="1" t="s">
        <v>44</v>
      </c>
      <c r="J50" s="1">
        <v>853531</v>
      </c>
      <c r="K50" s="1">
        <v>772125</v>
      </c>
      <c r="M50" s="1">
        <f t="shared" si="14"/>
        <v>1625656</v>
      </c>
      <c r="N50" s="1" t="s">
        <v>44</v>
      </c>
    </row>
    <row r="51" spans="1:14" x14ac:dyDescent="0.25">
      <c r="A51" t="s">
        <v>48</v>
      </c>
      <c r="B51">
        <v>2017</v>
      </c>
      <c r="C51" s="1" t="s">
        <v>44</v>
      </c>
      <c r="E51" s="1" t="s">
        <v>44</v>
      </c>
      <c r="F51" s="1" t="s">
        <v>44</v>
      </c>
      <c r="G51" s="1">
        <v>37945</v>
      </c>
      <c r="H51" s="1">
        <v>5588</v>
      </c>
      <c r="I51" s="1" t="s">
        <v>44</v>
      </c>
      <c r="J51" s="1">
        <v>851733</v>
      </c>
      <c r="K51" s="1">
        <v>737772</v>
      </c>
      <c r="M51" s="1">
        <f t="shared" si="14"/>
        <v>1589505</v>
      </c>
      <c r="N51" s="1" t="s">
        <v>44</v>
      </c>
    </row>
    <row r="52" spans="1:14" x14ac:dyDescent="0.25">
      <c r="A52"/>
      <c r="B52"/>
      <c r="M52" s="1">
        <f t="shared" si="14"/>
        <v>0</v>
      </c>
      <c r="N52" s="1" t="s">
        <v>44</v>
      </c>
    </row>
    <row r="53" spans="1:14" x14ac:dyDescent="0.25">
      <c r="M53" s="6">
        <f t="shared" si="14"/>
        <v>0</v>
      </c>
      <c r="N53" s="1" t="s">
        <v>44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Syllabus</vt:lpstr>
      <vt:lpstr>BAML_Data</vt:lpstr>
      <vt:lpstr>Source</vt:lpstr>
      <vt:lpstr>BAML_Data_(2)</vt:lpstr>
      <vt:lpstr>BAML_Data_(3)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Hofmann</dc:creator>
  <cp:lastModifiedBy>Ray Hofmann</cp:lastModifiedBy>
  <cp:revision>8</cp:revision>
  <dcterms:created xsi:type="dcterms:W3CDTF">2023-02-10T01:07:55Z</dcterms:created>
  <dcterms:modified xsi:type="dcterms:W3CDTF">2023-02-14T00:57:13Z</dcterms:modified>
</cp:coreProperties>
</file>