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anilhas de Calibração\Multímetros Digitais\Keysight\34410A\"/>
    </mc:Choice>
  </mc:AlternateContent>
  <bookViews>
    <workbookView xWindow="480" yWindow="45" windowWidth="22995" windowHeight="1003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W111" i="1" l="1"/>
  <c r="X102" i="1" l="1"/>
  <c r="AC102" i="1" s="1"/>
  <c r="AA102" i="1" s="1"/>
  <c r="W102" i="1"/>
  <c r="L102" i="1"/>
  <c r="K102" i="1"/>
  <c r="J102" i="1"/>
  <c r="I102" i="1"/>
  <c r="H102" i="1"/>
  <c r="AC101" i="1"/>
  <c r="AA101" i="1" s="1"/>
  <c r="X101" i="1"/>
  <c r="Y101" i="1" s="1"/>
  <c r="W101" i="1"/>
  <c r="L101" i="1"/>
  <c r="K101" i="1"/>
  <c r="J101" i="1"/>
  <c r="I101" i="1"/>
  <c r="H101" i="1"/>
  <c r="X97" i="1"/>
  <c r="Y97" i="1" s="1"/>
  <c r="Z97" i="1" s="1"/>
  <c r="AC97" i="1" s="1"/>
  <c r="AA97" i="1" s="1"/>
  <c r="AB97" i="1" s="1"/>
  <c r="AD97" i="1" s="1"/>
  <c r="W97" i="1"/>
  <c r="L97" i="1"/>
  <c r="K97" i="1"/>
  <c r="M97" i="1" s="1"/>
  <c r="J97" i="1"/>
  <c r="I97" i="1"/>
  <c r="H97" i="1"/>
  <c r="X96" i="1"/>
  <c r="AC96" i="1" s="1"/>
  <c r="AA96" i="1" s="1"/>
  <c r="W96" i="1"/>
  <c r="L96" i="1"/>
  <c r="K96" i="1"/>
  <c r="M96" i="1" s="1"/>
  <c r="J96" i="1"/>
  <c r="I96" i="1"/>
  <c r="H96" i="1"/>
  <c r="X95" i="1"/>
  <c r="AC95" i="1" s="1"/>
  <c r="AA95" i="1" s="1"/>
  <c r="W95" i="1"/>
  <c r="L95" i="1"/>
  <c r="K95" i="1"/>
  <c r="M95" i="1" s="1"/>
  <c r="N95" i="1" s="1"/>
  <c r="J95" i="1"/>
  <c r="I95" i="1"/>
  <c r="H95" i="1"/>
  <c r="X94" i="1"/>
  <c r="Y94" i="1" s="1"/>
  <c r="W94" i="1"/>
  <c r="L94" i="1"/>
  <c r="K94" i="1"/>
  <c r="M94" i="1" s="1"/>
  <c r="N94" i="1" s="1"/>
  <c r="J94" i="1"/>
  <c r="I94" i="1"/>
  <c r="H94" i="1"/>
  <c r="X93" i="1"/>
  <c r="AC93" i="1" s="1"/>
  <c r="AA93" i="1" s="1"/>
  <c r="W93" i="1"/>
  <c r="L93" i="1"/>
  <c r="K93" i="1"/>
  <c r="J93" i="1"/>
  <c r="I93" i="1"/>
  <c r="H93" i="1"/>
  <c r="X92" i="1"/>
  <c r="Y92" i="1" s="1"/>
  <c r="W92" i="1"/>
  <c r="L92" i="1"/>
  <c r="K92" i="1"/>
  <c r="M92" i="1" s="1"/>
  <c r="J92" i="1"/>
  <c r="I92" i="1"/>
  <c r="H92" i="1"/>
  <c r="X91" i="1"/>
  <c r="AC91" i="1" s="1"/>
  <c r="AA91" i="1" s="1"/>
  <c r="W91" i="1"/>
  <c r="L91" i="1"/>
  <c r="K91" i="1"/>
  <c r="M91" i="1" s="1"/>
  <c r="N91" i="1" s="1"/>
  <c r="J91" i="1"/>
  <c r="I91" i="1"/>
  <c r="H91" i="1"/>
  <c r="Y90" i="1"/>
  <c r="Z90" i="1" s="1"/>
  <c r="AC90" i="1" s="1"/>
  <c r="AA90" i="1" s="1"/>
  <c r="AB90" i="1" s="1"/>
  <c r="X90" i="1"/>
  <c r="W90" i="1"/>
  <c r="L90" i="1"/>
  <c r="K90" i="1"/>
  <c r="M90" i="1" s="1"/>
  <c r="N90" i="1" s="1"/>
  <c r="J90" i="1"/>
  <c r="I90" i="1"/>
  <c r="H90" i="1"/>
  <c r="X89" i="1"/>
  <c r="AC89" i="1" s="1"/>
  <c r="AA89" i="1" s="1"/>
  <c r="W89" i="1"/>
  <c r="L89" i="1"/>
  <c r="K89" i="1"/>
  <c r="J89" i="1"/>
  <c r="I89" i="1"/>
  <c r="H89" i="1"/>
  <c r="X85" i="1"/>
  <c r="Y85" i="1" s="1"/>
  <c r="W85" i="1"/>
  <c r="L85" i="1"/>
  <c r="K85" i="1"/>
  <c r="M85" i="1" s="1"/>
  <c r="J85" i="1"/>
  <c r="I85" i="1"/>
  <c r="H85" i="1"/>
  <c r="AC84" i="1"/>
  <c r="AA84" i="1" s="1"/>
  <c r="X84" i="1"/>
  <c r="Y84" i="1" s="1"/>
  <c r="W84" i="1"/>
  <c r="L84" i="1"/>
  <c r="K84" i="1"/>
  <c r="M84" i="1" s="1"/>
  <c r="N84" i="1" s="1"/>
  <c r="Q84" i="1" s="1"/>
  <c r="O84" i="1" s="1"/>
  <c r="J84" i="1"/>
  <c r="I84" i="1"/>
  <c r="H84" i="1"/>
  <c r="AC80" i="1"/>
  <c r="AA80" i="1" s="1"/>
  <c r="Y80" i="1"/>
  <c r="Z80" i="1" s="1"/>
  <c r="X80" i="1"/>
  <c r="W80" i="1"/>
  <c r="L80" i="1"/>
  <c r="K80" i="1"/>
  <c r="J80" i="1"/>
  <c r="I80" i="1"/>
  <c r="H80" i="1"/>
  <c r="AA79" i="1"/>
  <c r="X79" i="1"/>
  <c r="Y79" i="1" s="1"/>
  <c r="W79" i="1"/>
  <c r="AC79" i="1" s="1"/>
  <c r="L79" i="1"/>
  <c r="K79" i="1"/>
  <c r="J79" i="1"/>
  <c r="I79" i="1"/>
  <c r="H79" i="1"/>
  <c r="Y75" i="1"/>
  <c r="X75" i="1"/>
  <c r="W75" i="1"/>
  <c r="L75" i="1"/>
  <c r="K75" i="1"/>
  <c r="M75" i="1" s="1"/>
  <c r="N75" i="1" s="1"/>
  <c r="J75" i="1"/>
  <c r="I75" i="1"/>
  <c r="H75" i="1"/>
  <c r="X74" i="1"/>
  <c r="Y74" i="1" s="1"/>
  <c r="W74" i="1"/>
  <c r="AC74" i="1" s="1"/>
  <c r="AA74" i="1" s="1"/>
  <c r="L74" i="1"/>
  <c r="K74" i="1"/>
  <c r="M74" i="1" s="1"/>
  <c r="J74" i="1"/>
  <c r="I74" i="1"/>
  <c r="H74" i="1"/>
  <c r="AA73" i="1"/>
  <c r="Y73" i="1"/>
  <c r="X73" i="1"/>
  <c r="W73" i="1"/>
  <c r="AC73" i="1" s="1"/>
  <c r="L73" i="1"/>
  <c r="K73" i="1"/>
  <c r="J73" i="1"/>
  <c r="I73" i="1"/>
  <c r="H73" i="1"/>
  <c r="X72" i="1"/>
  <c r="Y72" i="1" s="1"/>
  <c r="W72" i="1"/>
  <c r="AC72" i="1" s="1"/>
  <c r="AA72" i="1" s="1"/>
  <c r="L72" i="1"/>
  <c r="K72" i="1"/>
  <c r="M72" i="1" s="1"/>
  <c r="J72" i="1"/>
  <c r="I72" i="1"/>
  <c r="H72" i="1"/>
  <c r="Y71" i="1"/>
  <c r="X71" i="1"/>
  <c r="W71" i="1"/>
  <c r="L71" i="1"/>
  <c r="Z71" i="1" s="1"/>
  <c r="K71" i="1"/>
  <c r="M71" i="1" s="1"/>
  <c r="J71" i="1"/>
  <c r="I71" i="1"/>
  <c r="H71" i="1"/>
  <c r="X70" i="1"/>
  <c r="Y70" i="1" s="1"/>
  <c r="Z70" i="1" s="1"/>
  <c r="W70" i="1"/>
  <c r="AC70" i="1" s="1"/>
  <c r="AA70" i="1" s="1"/>
  <c r="L70" i="1"/>
  <c r="K70" i="1"/>
  <c r="M70" i="1" s="1"/>
  <c r="N70" i="1" s="1"/>
  <c r="J70" i="1"/>
  <c r="I70" i="1"/>
  <c r="H70" i="1"/>
  <c r="X66" i="1"/>
  <c r="Y66" i="1" s="1"/>
  <c r="W66" i="1"/>
  <c r="L66" i="1"/>
  <c r="K66" i="1"/>
  <c r="M66" i="1" s="1"/>
  <c r="J66" i="1"/>
  <c r="I66" i="1"/>
  <c r="H66" i="1"/>
  <c r="X65" i="1"/>
  <c r="Y65" i="1" s="1"/>
  <c r="W65" i="1"/>
  <c r="L65" i="1"/>
  <c r="K65" i="1"/>
  <c r="M65" i="1" s="1"/>
  <c r="J65" i="1"/>
  <c r="I65" i="1"/>
  <c r="H65" i="1"/>
  <c r="X64" i="1"/>
  <c r="Y64" i="1" s="1"/>
  <c r="W64" i="1"/>
  <c r="L64" i="1"/>
  <c r="K64" i="1"/>
  <c r="M64" i="1" s="1"/>
  <c r="J64" i="1"/>
  <c r="I64" i="1"/>
  <c r="H64" i="1"/>
  <c r="AC63" i="1"/>
  <c r="AA63" i="1" s="1"/>
  <c r="Y63" i="1"/>
  <c r="X63" i="1"/>
  <c r="W63" i="1"/>
  <c r="L63" i="1"/>
  <c r="Z63" i="1" s="1"/>
  <c r="K63" i="1"/>
  <c r="J63" i="1"/>
  <c r="I63" i="1"/>
  <c r="H63" i="1"/>
  <c r="X62" i="1"/>
  <c r="Y62" i="1" s="1"/>
  <c r="W62" i="1"/>
  <c r="AC62" i="1" s="1"/>
  <c r="AA62" i="1" s="1"/>
  <c r="L62" i="1"/>
  <c r="K62" i="1"/>
  <c r="M62" i="1" s="1"/>
  <c r="J62" i="1"/>
  <c r="I62" i="1"/>
  <c r="H62" i="1"/>
  <c r="X61" i="1"/>
  <c r="Y61" i="1" s="1"/>
  <c r="W61" i="1"/>
  <c r="L61" i="1"/>
  <c r="K61" i="1"/>
  <c r="M61" i="1" s="1"/>
  <c r="N61" i="1" s="1"/>
  <c r="J61" i="1"/>
  <c r="I61" i="1"/>
  <c r="H61" i="1"/>
  <c r="X60" i="1"/>
  <c r="Y60" i="1" s="1"/>
  <c r="Z60" i="1" s="1"/>
  <c r="W60" i="1"/>
  <c r="AC60" i="1" s="1"/>
  <c r="AA60" i="1" s="1"/>
  <c r="L60" i="1"/>
  <c r="K60" i="1"/>
  <c r="M60" i="1" s="1"/>
  <c r="J60" i="1"/>
  <c r="I60" i="1"/>
  <c r="H60" i="1"/>
  <c r="X59" i="1"/>
  <c r="Y59" i="1" s="1"/>
  <c r="W59" i="1"/>
  <c r="AC59" i="1" s="1"/>
  <c r="AA59" i="1" s="1"/>
  <c r="L59" i="1"/>
  <c r="K59" i="1"/>
  <c r="J59" i="1"/>
  <c r="I59" i="1"/>
  <c r="H59" i="1"/>
  <c r="X55" i="1"/>
  <c r="Y55" i="1" s="1"/>
  <c r="W55" i="1"/>
  <c r="L55" i="1"/>
  <c r="K55" i="1"/>
  <c r="M55" i="1" s="1"/>
  <c r="J55" i="1"/>
  <c r="I55" i="1"/>
  <c r="H55" i="1"/>
  <c r="X51" i="1"/>
  <c r="Y51" i="1" s="1"/>
  <c r="W51" i="1"/>
  <c r="M51" i="1"/>
  <c r="L51" i="1"/>
  <c r="K51" i="1"/>
  <c r="J51" i="1"/>
  <c r="I51" i="1"/>
  <c r="H51" i="1"/>
  <c r="X50" i="1"/>
  <c r="AC50" i="1" s="1"/>
  <c r="AA50" i="1" s="1"/>
  <c r="W50" i="1"/>
  <c r="L50" i="1"/>
  <c r="K50" i="1"/>
  <c r="M50" i="1" s="1"/>
  <c r="N50" i="1" s="1"/>
  <c r="J50" i="1"/>
  <c r="I50" i="1"/>
  <c r="H50" i="1"/>
  <c r="AC49" i="1"/>
  <c r="AA49" i="1" s="1"/>
  <c r="Y49" i="1"/>
  <c r="X49" i="1"/>
  <c r="W49" i="1"/>
  <c r="L49" i="1"/>
  <c r="K49" i="1"/>
  <c r="J49" i="1"/>
  <c r="I49" i="1"/>
  <c r="H49" i="1"/>
  <c r="X48" i="1"/>
  <c r="W48" i="1"/>
  <c r="L48" i="1"/>
  <c r="K48" i="1"/>
  <c r="M48" i="1" s="1"/>
  <c r="J48" i="1"/>
  <c r="I48" i="1"/>
  <c r="H48" i="1"/>
  <c r="X47" i="1"/>
  <c r="AC47" i="1" s="1"/>
  <c r="AA47" i="1" s="1"/>
  <c r="W47" i="1"/>
  <c r="L47" i="1"/>
  <c r="K47" i="1"/>
  <c r="M47" i="1" s="1"/>
  <c r="N47" i="1" s="1"/>
  <c r="J47" i="1"/>
  <c r="I47" i="1"/>
  <c r="H47" i="1"/>
  <c r="X46" i="1"/>
  <c r="Y46" i="1" s="1"/>
  <c r="W46" i="1"/>
  <c r="L46" i="1"/>
  <c r="K46" i="1"/>
  <c r="M46" i="1" s="1"/>
  <c r="J46" i="1"/>
  <c r="I46" i="1"/>
  <c r="H46" i="1"/>
  <c r="X42" i="1"/>
  <c r="AC42" i="1" s="1"/>
  <c r="AA42" i="1" s="1"/>
  <c r="W42" i="1"/>
  <c r="L42" i="1"/>
  <c r="K42" i="1"/>
  <c r="M42" i="1" s="1"/>
  <c r="J42" i="1"/>
  <c r="I42" i="1"/>
  <c r="H42" i="1"/>
  <c r="X41" i="1"/>
  <c r="AC41" i="1" s="1"/>
  <c r="AA41" i="1" s="1"/>
  <c r="W41" i="1"/>
  <c r="L41" i="1"/>
  <c r="K41" i="1"/>
  <c r="M41" i="1" s="1"/>
  <c r="N41" i="1" s="1"/>
  <c r="J41" i="1"/>
  <c r="I41" i="1"/>
  <c r="H41" i="1"/>
  <c r="AC40" i="1"/>
  <c r="AA40" i="1" s="1"/>
  <c r="Y40" i="1"/>
  <c r="Z40" i="1" s="1"/>
  <c r="X40" i="1"/>
  <c r="W40" i="1"/>
  <c r="L40" i="1"/>
  <c r="K40" i="1"/>
  <c r="J40" i="1"/>
  <c r="I40" i="1"/>
  <c r="H40" i="1"/>
  <c r="X39" i="1"/>
  <c r="AC39" i="1" s="1"/>
  <c r="AA39" i="1" s="1"/>
  <c r="W39" i="1"/>
  <c r="L39" i="1"/>
  <c r="K39" i="1"/>
  <c r="J39" i="1"/>
  <c r="I39" i="1"/>
  <c r="H39" i="1"/>
  <c r="X38" i="1"/>
  <c r="AC38" i="1" s="1"/>
  <c r="AA38" i="1" s="1"/>
  <c r="W38" i="1"/>
  <c r="L38" i="1"/>
  <c r="K38" i="1"/>
  <c r="M38" i="1" s="1"/>
  <c r="J38" i="1"/>
  <c r="I38" i="1"/>
  <c r="H38" i="1"/>
  <c r="X37" i="1"/>
  <c r="W37" i="1"/>
  <c r="L37" i="1"/>
  <c r="K37" i="1"/>
  <c r="M37" i="1" s="1"/>
  <c r="N37" i="1" s="1"/>
  <c r="J37" i="1"/>
  <c r="I37" i="1"/>
  <c r="H37" i="1"/>
  <c r="AC36" i="1"/>
  <c r="AA36" i="1" s="1"/>
  <c r="Y36" i="1"/>
  <c r="Z36" i="1" s="1"/>
  <c r="X36" i="1"/>
  <c r="W36" i="1"/>
  <c r="L36" i="1"/>
  <c r="K36" i="1"/>
  <c r="J36" i="1"/>
  <c r="I36" i="1"/>
  <c r="H36" i="1"/>
  <c r="Z32" i="1"/>
  <c r="AC32" i="1" s="1"/>
  <c r="AA32" i="1" s="1"/>
  <c r="AB32" i="1" s="1"/>
  <c r="AD32" i="1" s="1"/>
  <c r="AE32" i="1" s="1"/>
  <c r="X32" i="1"/>
  <c r="Y32" i="1" s="1"/>
  <c r="W32" i="1"/>
  <c r="L32" i="1"/>
  <c r="K32" i="1"/>
  <c r="M32" i="1" s="1"/>
  <c r="J32" i="1"/>
  <c r="I32" i="1"/>
  <c r="H32" i="1"/>
  <c r="X31" i="1"/>
  <c r="Y31" i="1" s="1"/>
  <c r="W31" i="1"/>
  <c r="L31" i="1"/>
  <c r="K31" i="1"/>
  <c r="M31" i="1" s="1"/>
  <c r="J31" i="1"/>
  <c r="I31" i="1"/>
  <c r="H31" i="1"/>
  <c r="X30" i="1"/>
  <c r="W30" i="1"/>
  <c r="M30" i="1"/>
  <c r="L30" i="1"/>
  <c r="K30" i="1"/>
  <c r="J30" i="1"/>
  <c r="I30" i="1"/>
  <c r="H30" i="1"/>
  <c r="X29" i="1"/>
  <c r="Y29" i="1" s="1"/>
  <c r="Z29" i="1" s="1"/>
  <c r="W29" i="1"/>
  <c r="L29" i="1"/>
  <c r="K29" i="1"/>
  <c r="J29" i="1"/>
  <c r="I29" i="1"/>
  <c r="H29" i="1"/>
  <c r="X28" i="1"/>
  <c r="AC28" i="1" s="1"/>
  <c r="AA28" i="1" s="1"/>
  <c r="W28" i="1"/>
  <c r="L28" i="1"/>
  <c r="K28" i="1"/>
  <c r="J28" i="1"/>
  <c r="I28" i="1"/>
  <c r="H28" i="1"/>
  <c r="X27" i="1"/>
  <c r="AC27" i="1" s="1"/>
  <c r="AA27" i="1" s="1"/>
  <c r="W27" i="1"/>
  <c r="L27" i="1"/>
  <c r="K27" i="1"/>
  <c r="M27" i="1" s="1"/>
  <c r="J27" i="1"/>
  <c r="I27" i="1"/>
  <c r="H27" i="1"/>
  <c r="X26" i="1"/>
  <c r="W26" i="1"/>
  <c r="L26" i="1"/>
  <c r="K26" i="1"/>
  <c r="M26" i="1" s="1"/>
  <c r="J26" i="1"/>
  <c r="I26" i="1"/>
  <c r="H26" i="1"/>
  <c r="X22" i="1"/>
  <c r="Y22" i="1" s="1"/>
  <c r="Z22" i="1" s="1"/>
  <c r="AC22" i="1" s="1"/>
  <c r="AA22" i="1" s="1"/>
  <c r="AB22" i="1" s="1"/>
  <c r="AD22" i="1" s="1"/>
  <c r="AE22" i="1" s="1"/>
  <c r="W22" i="1"/>
  <c r="L22" i="1"/>
  <c r="K22" i="1"/>
  <c r="M22" i="1" s="1"/>
  <c r="N22" i="1" s="1"/>
  <c r="J22" i="1"/>
  <c r="I22" i="1"/>
  <c r="H22" i="1"/>
  <c r="X21" i="1"/>
  <c r="AC21" i="1" s="1"/>
  <c r="AA21" i="1" s="1"/>
  <c r="W21" i="1"/>
  <c r="L21" i="1"/>
  <c r="K21" i="1"/>
  <c r="J21" i="1"/>
  <c r="I21" i="1"/>
  <c r="H21" i="1"/>
  <c r="X20" i="1"/>
  <c r="W20" i="1"/>
  <c r="L20" i="1"/>
  <c r="K20" i="1"/>
  <c r="M20" i="1" s="1"/>
  <c r="J20" i="1"/>
  <c r="I20" i="1"/>
  <c r="H20" i="1"/>
  <c r="X19" i="1"/>
  <c r="Y19" i="1" s="1"/>
  <c r="Z19" i="1" s="1"/>
  <c r="W19" i="1"/>
  <c r="L19" i="1"/>
  <c r="K19" i="1"/>
  <c r="M19" i="1" s="1"/>
  <c r="N19" i="1" s="1"/>
  <c r="J19" i="1"/>
  <c r="I19" i="1"/>
  <c r="H19" i="1"/>
  <c r="AC18" i="1"/>
  <c r="AA18" i="1" s="1"/>
  <c r="X18" i="1"/>
  <c r="Y18" i="1" s="1"/>
  <c r="W18" i="1"/>
  <c r="L18" i="1"/>
  <c r="Z18" i="1" s="1"/>
  <c r="K18" i="1"/>
  <c r="J18" i="1"/>
  <c r="I18" i="1"/>
  <c r="H18" i="1"/>
  <c r="X17" i="1"/>
  <c r="AC17" i="1" s="1"/>
  <c r="AA17" i="1" s="1"/>
  <c r="W17" i="1"/>
  <c r="L17" i="1"/>
  <c r="K17" i="1"/>
  <c r="J17" i="1"/>
  <c r="I17" i="1"/>
  <c r="H17" i="1"/>
  <c r="X16" i="1"/>
  <c r="Y16" i="1" s="1"/>
  <c r="W16" i="1"/>
  <c r="L16" i="1"/>
  <c r="K16" i="1"/>
  <c r="M16" i="1" s="1"/>
  <c r="J16" i="1"/>
  <c r="I16" i="1"/>
  <c r="H16" i="1"/>
  <c r="X15" i="1"/>
  <c r="Y15" i="1" s="1"/>
  <c r="W15" i="1"/>
  <c r="L15" i="1"/>
  <c r="K15" i="1"/>
  <c r="M15" i="1" s="1"/>
  <c r="N15" i="1" s="1"/>
  <c r="J15" i="1"/>
  <c r="I15" i="1"/>
  <c r="H15" i="1"/>
  <c r="D10" i="1"/>
  <c r="N64" i="1" l="1"/>
  <c r="Q64" i="1" s="1"/>
  <c r="O64" i="1" s="1"/>
  <c r="Z59" i="1"/>
  <c r="N74" i="1"/>
  <c r="N30" i="1"/>
  <c r="Q30" i="1" s="1"/>
  <c r="O30" i="1" s="1"/>
  <c r="P30" i="1" s="1"/>
  <c r="R30" i="1" s="1"/>
  <c r="S30" i="1" s="1"/>
  <c r="N48" i="1"/>
  <c r="Q48" i="1" s="1"/>
  <c r="O48" i="1" s="1"/>
  <c r="Z74" i="1"/>
  <c r="AC29" i="1"/>
  <c r="AA29" i="1" s="1"/>
  <c r="N51" i="1"/>
  <c r="Q51" i="1" s="1"/>
  <c r="O51" i="1" s="1"/>
  <c r="P51" i="1" s="1"/>
  <c r="R51" i="1" s="1"/>
  <c r="S51" i="1" s="1"/>
  <c r="AB59" i="1"/>
  <c r="AD59" i="1" s="1"/>
  <c r="AE59" i="1" s="1"/>
  <c r="N62" i="1"/>
  <c r="Q62" i="1" s="1"/>
  <c r="O62" i="1" s="1"/>
  <c r="Z79" i="1"/>
  <c r="AD90" i="1"/>
  <c r="AE90" i="1" s="1"/>
  <c r="Z94" i="1"/>
  <c r="AC94" i="1" s="1"/>
  <c r="AA94" i="1" s="1"/>
  <c r="AB94" i="1" s="1"/>
  <c r="AD94" i="1" s="1"/>
  <c r="AE94" i="1" s="1"/>
  <c r="N97" i="1"/>
  <c r="AC19" i="1"/>
  <c r="AA19" i="1" s="1"/>
  <c r="N26" i="1"/>
  <c r="Q26" i="1" s="1"/>
  <c r="O26" i="1" s="1"/>
  <c r="AB36" i="1"/>
  <c r="AD36" i="1" s="1"/>
  <c r="AE36" i="1" s="1"/>
  <c r="AB40" i="1"/>
  <c r="AD40" i="1" s="1"/>
  <c r="AE40" i="1" s="1"/>
  <c r="Z49" i="1"/>
  <c r="AB50" i="1"/>
  <c r="AD50" i="1" s="1"/>
  <c r="AB60" i="1"/>
  <c r="AD60" i="1" s="1"/>
  <c r="AE60" i="1" s="1"/>
  <c r="Z66" i="1"/>
  <c r="AC66" i="1" s="1"/>
  <c r="AA66" i="1" s="1"/>
  <c r="AB66" i="1" s="1"/>
  <c r="Z85" i="1"/>
  <c r="Z15" i="1"/>
  <c r="AC15" i="1" s="1"/>
  <c r="AA15" i="1" s="1"/>
  <c r="AB15" i="1" s="1"/>
  <c r="AD15" i="1" s="1"/>
  <c r="N38" i="1"/>
  <c r="Q38" i="1" s="1"/>
  <c r="O38" i="1" s="1"/>
  <c r="P38" i="1" s="1"/>
  <c r="R38" i="1" s="1"/>
  <c r="S38" i="1" s="1"/>
  <c r="N42" i="1"/>
  <c r="Y50" i="1"/>
  <c r="Z50" i="1" s="1"/>
  <c r="N60" i="1"/>
  <c r="Q60" i="1" s="1"/>
  <c r="O60" i="1" s="1"/>
  <c r="P60" i="1" s="1"/>
  <c r="R60" i="1" s="1"/>
  <c r="S60" i="1" s="1"/>
  <c r="N66" i="1"/>
  <c r="Z84" i="1"/>
  <c r="AB84" i="1" s="1"/>
  <c r="AD84" i="1" s="1"/>
  <c r="AE84" i="1" s="1"/>
  <c r="Z101" i="1"/>
  <c r="Q15" i="1"/>
  <c r="O15" i="1" s="1"/>
  <c r="P15" i="1" s="1"/>
  <c r="R15" i="1" s="1"/>
  <c r="S15" i="1" s="1"/>
  <c r="AB19" i="1"/>
  <c r="AD19" i="1" s="1"/>
  <c r="Q19" i="1"/>
  <c r="O19" i="1" s="1"/>
  <c r="P19" i="1" s="1"/>
  <c r="R19" i="1" s="1"/>
  <c r="S19" i="1" s="1"/>
  <c r="AB18" i="1"/>
  <c r="AD18" i="1" s="1"/>
  <c r="AE18" i="1" s="1"/>
  <c r="Z20" i="1"/>
  <c r="N20" i="1"/>
  <c r="AC20" i="1"/>
  <c r="AA20" i="1" s="1"/>
  <c r="Y20" i="1"/>
  <c r="AC30" i="1"/>
  <c r="AA30" i="1" s="1"/>
  <c r="AB30" i="1" s="1"/>
  <c r="AD30" i="1" s="1"/>
  <c r="AE30" i="1" s="1"/>
  <c r="Y30" i="1"/>
  <c r="Z30" i="1" s="1"/>
  <c r="M18" i="1"/>
  <c r="N18" i="1" s="1"/>
  <c r="Q18" i="1" s="1"/>
  <c r="O18" i="1" s="1"/>
  <c r="AC26" i="1"/>
  <c r="AA26" i="1" s="1"/>
  <c r="Y26" i="1"/>
  <c r="Z26" i="1" s="1"/>
  <c r="M28" i="1"/>
  <c r="N28" i="1" s="1"/>
  <c r="Q28" i="1" s="1"/>
  <c r="O28" i="1" s="1"/>
  <c r="N32" i="1"/>
  <c r="Q37" i="1"/>
  <c r="O37" i="1" s="1"/>
  <c r="P37" i="1" s="1"/>
  <c r="R37" i="1" s="1"/>
  <c r="S37" i="1" s="1"/>
  <c r="Q42" i="1"/>
  <c r="O42" i="1" s="1"/>
  <c r="P42" i="1" s="1"/>
  <c r="R42" i="1" s="1"/>
  <c r="S42" i="1" s="1"/>
  <c r="Z46" i="1"/>
  <c r="Q47" i="1"/>
  <c r="O47" i="1" s="1"/>
  <c r="P47" i="1" s="1"/>
  <c r="R47" i="1" s="1"/>
  <c r="S47" i="1" s="1"/>
  <c r="AB70" i="1"/>
  <c r="AD70" i="1" s="1"/>
  <c r="N31" i="1"/>
  <c r="Z31" i="1"/>
  <c r="AC31" i="1" s="1"/>
  <c r="AA31" i="1" s="1"/>
  <c r="AB31" i="1" s="1"/>
  <c r="AD31" i="1" s="1"/>
  <c r="AE31" i="1" s="1"/>
  <c r="Q41" i="1"/>
  <c r="O41" i="1" s="1"/>
  <c r="P41" i="1" s="1"/>
  <c r="R41" i="1" s="1"/>
  <c r="S41" i="1" s="1"/>
  <c r="AD66" i="1"/>
  <c r="AE66" i="1" s="1"/>
  <c r="Z16" i="1"/>
  <c r="AC16" i="1" s="1"/>
  <c r="AA16" i="1" s="1"/>
  <c r="AB16" i="1" s="1"/>
  <c r="AD16" i="1" s="1"/>
  <c r="AE16" i="1" s="1"/>
  <c r="N16" i="1"/>
  <c r="M21" i="1"/>
  <c r="N21" i="1" s="1"/>
  <c r="Q21" i="1" s="1"/>
  <c r="O21" i="1" s="1"/>
  <c r="Q22" i="1"/>
  <c r="O22" i="1" s="1"/>
  <c r="P22" i="1" s="1"/>
  <c r="R22" i="1" s="1"/>
  <c r="S22" i="1" s="1"/>
  <c r="N27" i="1"/>
  <c r="AB29" i="1"/>
  <c r="AD29" i="1" s="1"/>
  <c r="AE29" i="1" s="1"/>
  <c r="AC37" i="1"/>
  <c r="AA37" i="1" s="1"/>
  <c r="Y37" i="1"/>
  <c r="Z37" i="1" s="1"/>
  <c r="Q61" i="1"/>
  <c r="O61" i="1" s="1"/>
  <c r="P61" i="1" s="1"/>
  <c r="R61" i="1" s="1"/>
  <c r="S61" i="1" s="1"/>
  <c r="AB63" i="1"/>
  <c r="AD63" i="1" s="1"/>
  <c r="AE15" i="1"/>
  <c r="AE19" i="1"/>
  <c r="M17" i="1"/>
  <c r="N17" i="1" s="1"/>
  <c r="AB49" i="1"/>
  <c r="AD49" i="1" s="1"/>
  <c r="AE49" i="1" s="1"/>
  <c r="Q50" i="1"/>
  <c r="O50" i="1" s="1"/>
  <c r="P50" i="1" s="1"/>
  <c r="R50" i="1" s="1"/>
  <c r="S50" i="1" s="1"/>
  <c r="Y17" i="1"/>
  <c r="Z17" i="1" s="1"/>
  <c r="AB17" i="1" s="1"/>
  <c r="AD17" i="1" s="1"/>
  <c r="AE17" i="1" s="1"/>
  <c r="Y21" i="1"/>
  <c r="Z21" i="1" s="1"/>
  <c r="AB21" i="1" s="1"/>
  <c r="AD21" i="1" s="1"/>
  <c r="AE21" i="1" s="1"/>
  <c r="Y28" i="1"/>
  <c r="Z28" i="1" s="1"/>
  <c r="AB28" i="1" s="1"/>
  <c r="AD28" i="1" s="1"/>
  <c r="AE28" i="1" s="1"/>
  <c r="M29" i="1"/>
  <c r="N29" i="1" s="1"/>
  <c r="M36" i="1"/>
  <c r="N36" i="1" s="1"/>
  <c r="Y39" i="1"/>
  <c r="Z39" i="1" s="1"/>
  <c r="AB39" i="1" s="1"/>
  <c r="AD39" i="1" s="1"/>
  <c r="AE39" i="1" s="1"/>
  <c r="M40" i="1"/>
  <c r="N40" i="1" s="1"/>
  <c r="N46" i="1"/>
  <c r="Y47" i="1"/>
  <c r="Z47" i="1" s="1"/>
  <c r="AB47" i="1" s="1"/>
  <c r="AD47" i="1" s="1"/>
  <c r="AE47" i="1" s="1"/>
  <c r="AC48" i="1"/>
  <c r="AA48" i="1" s="1"/>
  <c r="Y48" i="1"/>
  <c r="Z48" i="1" s="1"/>
  <c r="Z61" i="1"/>
  <c r="P62" i="1"/>
  <c r="R62" i="1" s="1"/>
  <c r="S62" i="1" s="1"/>
  <c r="N71" i="1"/>
  <c r="Z75" i="1"/>
  <c r="AC75" i="1"/>
  <c r="AA75" i="1" s="1"/>
  <c r="AB75" i="1" s="1"/>
  <c r="AD75" i="1" s="1"/>
  <c r="AE75" i="1" s="1"/>
  <c r="M79" i="1"/>
  <c r="N79" i="1" s="1"/>
  <c r="M49" i="1"/>
  <c r="N49" i="1" s="1"/>
  <c r="AE50" i="1"/>
  <c r="AC51" i="1"/>
  <c r="AA51" i="1" s="1"/>
  <c r="Z62" i="1"/>
  <c r="AB62" i="1" s="1"/>
  <c r="AD62" i="1" s="1"/>
  <c r="AE62" i="1" s="1"/>
  <c r="M63" i="1"/>
  <c r="N63" i="1" s="1"/>
  <c r="Q66" i="1"/>
  <c r="O66" i="1" s="1"/>
  <c r="AB89" i="1"/>
  <c r="AD89" i="1" s="1"/>
  <c r="AE89" i="1" s="1"/>
  <c r="Q90" i="1"/>
  <c r="O90" i="1" s="1"/>
  <c r="P90" i="1" s="1"/>
  <c r="R90" i="1" s="1"/>
  <c r="S90" i="1" s="1"/>
  <c r="Y41" i="1"/>
  <c r="Z41" i="1" s="1"/>
  <c r="AB41" i="1" s="1"/>
  <c r="AD41" i="1" s="1"/>
  <c r="AE41" i="1" s="1"/>
  <c r="AC46" i="1"/>
  <c r="AA46" i="1" s="1"/>
  <c r="AB46" i="1" s="1"/>
  <c r="AD46" i="1" s="1"/>
  <c r="Z51" i="1"/>
  <c r="AC71" i="1"/>
  <c r="AA71" i="1" s="1"/>
  <c r="AB71" i="1" s="1"/>
  <c r="AD71" i="1" s="1"/>
  <c r="AE71" i="1" s="1"/>
  <c r="Q74" i="1"/>
  <c r="O74" i="1" s="1"/>
  <c r="P74" i="1" s="1"/>
  <c r="R74" i="1" s="1"/>
  <c r="S74" i="1" s="1"/>
  <c r="AB79" i="1"/>
  <c r="AB80" i="1"/>
  <c r="AD80" i="1" s="1"/>
  <c r="AE80" i="1" s="1"/>
  <c r="Y27" i="1"/>
  <c r="Z27" i="1" s="1"/>
  <c r="AB27" i="1" s="1"/>
  <c r="AD27" i="1" s="1"/>
  <c r="AE27" i="1" s="1"/>
  <c r="Y38" i="1"/>
  <c r="Z38" i="1" s="1"/>
  <c r="AB38" i="1" s="1"/>
  <c r="AD38" i="1" s="1"/>
  <c r="AE38" i="1" s="1"/>
  <c r="M39" i="1"/>
  <c r="N39" i="1" s="1"/>
  <c r="Y42" i="1"/>
  <c r="Z42" i="1" s="1"/>
  <c r="AB42" i="1" s="1"/>
  <c r="AD42" i="1" s="1"/>
  <c r="AE42" i="1" s="1"/>
  <c r="AE46" i="1"/>
  <c r="N55" i="1"/>
  <c r="Z55" i="1"/>
  <c r="AC55" i="1" s="1"/>
  <c r="AA55" i="1" s="1"/>
  <c r="AB55" i="1" s="1"/>
  <c r="AD55" i="1" s="1"/>
  <c r="AE55" i="1" s="1"/>
  <c r="M59" i="1"/>
  <c r="N59" i="1" s="1"/>
  <c r="AC61" i="1"/>
  <c r="AA61" i="1" s="1"/>
  <c r="Z64" i="1"/>
  <c r="AC64" i="1" s="1"/>
  <c r="AA64" i="1" s="1"/>
  <c r="AB64" i="1" s="1"/>
  <c r="AD64" i="1" s="1"/>
  <c r="AE64" i="1" s="1"/>
  <c r="Q70" i="1"/>
  <c r="O70" i="1" s="1"/>
  <c r="P70" i="1" s="1"/>
  <c r="R70" i="1" s="1"/>
  <c r="S70" i="1" s="1"/>
  <c r="Z73" i="1"/>
  <c r="AB73" i="1" s="1"/>
  <c r="AD73" i="1" s="1"/>
  <c r="AE73" i="1" s="1"/>
  <c r="AB74" i="1"/>
  <c r="AD74" i="1" s="1"/>
  <c r="AE74" i="1" s="1"/>
  <c r="Q75" i="1"/>
  <c r="O75" i="1" s="1"/>
  <c r="P75" i="1" s="1"/>
  <c r="R75" i="1" s="1"/>
  <c r="S75" i="1" s="1"/>
  <c r="M80" i="1"/>
  <c r="N80" i="1" s="1"/>
  <c r="Q80" i="1" s="1"/>
  <c r="O80" i="1" s="1"/>
  <c r="AE63" i="1"/>
  <c r="N65" i="1"/>
  <c r="Z65" i="1"/>
  <c r="AC65" i="1" s="1"/>
  <c r="AA65" i="1" s="1"/>
  <c r="AB65" i="1" s="1"/>
  <c r="AD65" i="1" s="1"/>
  <c r="AE65" i="1" s="1"/>
  <c r="AE70" i="1"/>
  <c r="AD79" i="1"/>
  <c r="AE79" i="1" s="1"/>
  <c r="Q94" i="1"/>
  <c r="O94" i="1" s="1"/>
  <c r="P94" i="1"/>
  <c r="R94" i="1" s="1"/>
  <c r="S94" i="1" s="1"/>
  <c r="AB95" i="1"/>
  <c r="AD95" i="1" s="1"/>
  <c r="AE95" i="1" s="1"/>
  <c r="AB101" i="1"/>
  <c r="Q97" i="1"/>
  <c r="O97" i="1" s="1"/>
  <c r="P97" i="1"/>
  <c r="R97" i="1" s="1"/>
  <c r="S97" i="1" s="1"/>
  <c r="AD101" i="1"/>
  <c r="AE101" i="1" s="1"/>
  <c r="N72" i="1"/>
  <c r="Z72" i="1"/>
  <c r="AB72" i="1" s="1"/>
  <c r="AD72" i="1" s="1"/>
  <c r="AE72" i="1" s="1"/>
  <c r="M73" i="1"/>
  <c r="N73" i="1" s="1"/>
  <c r="Z92" i="1"/>
  <c r="AC92" i="1" s="1"/>
  <c r="AA92" i="1" s="1"/>
  <c r="AB92" i="1" s="1"/>
  <c r="AD92" i="1" s="1"/>
  <c r="AE92" i="1" s="1"/>
  <c r="Q95" i="1"/>
  <c r="O95" i="1" s="1"/>
  <c r="P95" i="1" s="1"/>
  <c r="R95" i="1" s="1"/>
  <c r="S95" i="1" s="1"/>
  <c r="AE97" i="1"/>
  <c r="P84" i="1"/>
  <c r="R84" i="1" s="1"/>
  <c r="S84" i="1" s="1"/>
  <c r="Q91" i="1"/>
  <c r="O91" i="1" s="1"/>
  <c r="P91" i="1" s="1"/>
  <c r="R91" i="1" s="1"/>
  <c r="S91" i="1" s="1"/>
  <c r="M102" i="1"/>
  <c r="N102" i="1" s="1"/>
  <c r="Y91" i="1"/>
  <c r="Z91" i="1" s="1"/>
  <c r="AB91" i="1" s="1"/>
  <c r="AD91" i="1" s="1"/>
  <c r="AE91" i="1" s="1"/>
  <c r="Y95" i="1"/>
  <c r="Z95" i="1" s="1"/>
  <c r="Y102" i="1"/>
  <c r="Z102" i="1" s="1"/>
  <c r="AB102" i="1" s="1"/>
  <c r="AD102" i="1" s="1"/>
  <c r="AE102" i="1" s="1"/>
  <c r="N85" i="1"/>
  <c r="AC85" i="1"/>
  <c r="AA85" i="1" s="1"/>
  <c r="AB85" i="1" s="1"/>
  <c r="AD85" i="1" s="1"/>
  <c r="AE85" i="1" s="1"/>
  <c r="M89" i="1"/>
  <c r="N89" i="1" s="1"/>
  <c r="Q89" i="1" s="1"/>
  <c r="O89" i="1" s="1"/>
  <c r="N92" i="1"/>
  <c r="M93" i="1"/>
  <c r="N93" i="1" s="1"/>
  <c r="N96" i="1"/>
  <c r="Y96" i="1"/>
  <c r="Z96" i="1" s="1"/>
  <c r="AB96" i="1" s="1"/>
  <c r="AD96" i="1" s="1"/>
  <c r="AE96" i="1" s="1"/>
  <c r="Y89" i="1"/>
  <c r="Z89" i="1" s="1"/>
  <c r="Y93" i="1"/>
  <c r="Z93" i="1" s="1"/>
  <c r="AB93" i="1" s="1"/>
  <c r="AD93" i="1" s="1"/>
  <c r="AE93" i="1" s="1"/>
  <c r="M101" i="1"/>
  <c r="N101" i="1" s="1"/>
  <c r="P66" i="1" l="1"/>
  <c r="R66" i="1" s="1"/>
  <c r="S66" i="1" s="1"/>
  <c r="P48" i="1"/>
  <c r="R48" i="1" s="1"/>
  <c r="S48" i="1" s="1"/>
  <c r="AB20" i="1"/>
  <c r="AD20" i="1" s="1"/>
  <c r="AE20" i="1" s="1"/>
  <c r="AB61" i="1"/>
  <c r="AD61" i="1" s="1"/>
  <c r="AE61" i="1" s="1"/>
  <c r="P64" i="1"/>
  <c r="R64" i="1" s="1"/>
  <c r="S64" i="1" s="1"/>
  <c r="P26" i="1"/>
  <c r="R26" i="1" s="1"/>
  <c r="S26" i="1" s="1"/>
  <c r="Q73" i="1"/>
  <c r="O73" i="1" s="1"/>
  <c r="P73" i="1" s="1"/>
  <c r="R73" i="1" s="1"/>
  <c r="S73" i="1" s="1"/>
  <c r="Q79" i="1"/>
  <c r="O79" i="1" s="1"/>
  <c r="P79" i="1" s="1"/>
  <c r="R79" i="1" s="1"/>
  <c r="S79" i="1" s="1"/>
  <c r="Q63" i="1"/>
  <c r="O63" i="1" s="1"/>
  <c r="P63" i="1" s="1"/>
  <c r="R63" i="1" s="1"/>
  <c r="S63" i="1" s="1"/>
  <c r="Q39" i="1"/>
  <c r="O39" i="1" s="1"/>
  <c r="P39" i="1" s="1"/>
  <c r="R39" i="1" s="1"/>
  <c r="S39" i="1" s="1"/>
  <c r="Q17" i="1"/>
  <c r="O17" i="1" s="1"/>
  <c r="P17" i="1" s="1"/>
  <c r="R17" i="1" s="1"/>
  <c r="S17" i="1" s="1"/>
  <c r="Q93" i="1"/>
  <c r="O93" i="1" s="1"/>
  <c r="P93" i="1" s="1"/>
  <c r="R93" i="1" s="1"/>
  <c r="S93" i="1" s="1"/>
  <c r="Q101" i="1"/>
  <c r="O101" i="1" s="1"/>
  <c r="P101" i="1" s="1"/>
  <c r="R101" i="1" s="1"/>
  <c r="S101" i="1" s="1"/>
  <c r="Q59" i="1"/>
  <c r="O59" i="1" s="1"/>
  <c r="P59" i="1" s="1"/>
  <c r="R59" i="1" s="1"/>
  <c r="S59" i="1" s="1"/>
  <c r="Q72" i="1"/>
  <c r="O72" i="1" s="1"/>
  <c r="P72" i="1" s="1"/>
  <c r="R72" i="1" s="1"/>
  <c r="S72" i="1" s="1"/>
  <c r="AB51" i="1"/>
  <c r="AD51" i="1" s="1"/>
  <c r="AE51" i="1" s="1"/>
  <c r="Q36" i="1"/>
  <c r="O36" i="1" s="1"/>
  <c r="P36" i="1" s="1"/>
  <c r="R36" i="1" s="1"/>
  <c r="S36" i="1" s="1"/>
  <c r="Q27" i="1"/>
  <c r="O27" i="1" s="1"/>
  <c r="P27" i="1" s="1"/>
  <c r="R27" i="1" s="1"/>
  <c r="S27" i="1" s="1"/>
  <c r="Q16" i="1"/>
  <c r="O16" i="1" s="1"/>
  <c r="P16" i="1" s="1"/>
  <c r="R16" i="1" s="1"/>
  <c r="S16" i="1" s="1"/>
  <c r="P28" i="1"/>
  <c r="R28" i="1" s="1"/>
  <c r="S28" i="1" s="1"/>
  <c r="P18" i="1"/>
  <c r="R18" i="1" s="1"/>
  <c r="S18" i="1" s="1"/>
  <c r="Q65" i="1"/>
  <c r="O65" i="1" s="1"/>
  <c r="P65" i="1" s="1"/>
  <c r="R65" i="1" s="1"/>
  <c r="S65" i="1" s="1"/>
  <c r="Q29" i="1"/>
  <c r="O29" i="1" s="1"/>
  <c r="P29" i="1" s="1"/>
  <c r="R29" i="1" s="1"/>
  <c r="S29" i="1" s="1"/>
  <c r="Q31" i="1"/>
  <c r="O31" i="1" s="1"/>
  <c r="P31" i="1" s="1"/>
  <c r="R31" i="1" s="1"/>
  <c r="S31" i="1" s="1"/>
  <c r="P80" i="1"/>
  <c r="R80" i="1" s="1"/>
  <c r="S80" i="1" s="1"/>
  <c r="Q55" i="1"/>
  <c r="O55" i="1" s="1"/>
  <c r="P55" i="1"/>
  <c r="R55" i="1" s="1"/>
  <c r="S55" i="1" s="1"/>
  <c r="Q71" i="1"/>
  <c r="O71" i="1" s="1"/>
  <c r="P71" i="1" s="1"/>
  <c r="R71" i="1" s="1"/>
  <c r="S71" i="1" s="1"/>
  <c r="AB48" i="1"/>
  <c r="AD48" i="1" s="1"/>
  <c r="AE48" i="1" s="1"/>
  <c r="Q32" i="1"/>
  <c r="O32" i="1" s="1"/>
  <c r="P32" i="1" s="1"/>
  <c r="R32" i="1" s="1"/>
  <c r="S32" i="1" s="1"/>
  <c r="Q20" i="1"/>
  <c r="O20" i="1" s="1"/>
  <c r="P20" i="1" s="1"/>
  <c r="R20" i="1" s="1"/>
  <c r="S20" i="1" s="1"/>
  <c r="Q92" i="1"/>
  <c r="O92" i="1" s="1"/>
  <c r="P92" i="1"/>
  <c r="R92" i="1" s="1"/>
  <c r="S92" i="1" s="1"/>
  <c r="Q85" i="1"/>
  <c r="O85" i="1" s="1"/>
  <c r="P85" i="1" s="1"/>
  <c r="R85" i="1" s="1"/>
  <c r="S85" i="1" s="1"/>
  <c r="Q102" i="1"/>
  <c r="O102" i="1" s="1"/>
  <c r="P102" i="1" s="1"/>
  <c r="R102" i="1" s="1"/>
  <c r="S102" i="1" s="1"/>
  <c r="Q96" i="1"/>
  <c r="O96" i="1" s="1"/>
  <c r="P96" i="1"/>
  <c r="R96" i="1" s="1"/>
  <c r="S96" i="1" s="1"/>
  <c r="P89" i="1"/>
  <c r="R89" i="1" s="1"/>
  <c r="S89" i="1" s="1"/>
  <c r="Q46" i="1"/>
  <c r="O46" i="1" s="1"/>
  <c r="P46" i="1" s="1"/>
  <c r="R46" i="1" s="1"/>
  <c r="S46" i="1" s="1"/>
  <c r="Q49" i="1"/>
  <c r="O49" i="1" s="1"/>
  <c r="P49" i="1" s="1"/>
  <c r="R49" i="1" s="1"/>
  <c r="S49" i="1" s="1"/>
  <c r="Q40" i="1"/>
  <c r="O40" i="1" s="1"/>
  <c r="P40" i="1" s="1"/>
  <c r="R40" i="1" s="1"/>
  <c r="S40" i="1" s="1"/>
  <c r="AB37" i="1"/>
  <c r="AD37" i="1" s="1"/>
  <c r="AE37" i="1" s="1"/>
  <c r="AB26" i="1"/>
  <c r="AD26" i="1" s="1"/>
  <c r="AE26" i="1" s="1"/>
  <c r="P21" i="1"/>
  <c r="R21" i="1" s="1"/>
  <c r="S21" i="1" s="1"/>
</calcChain>
</file>

<file path=xl/sharedStrings.xml><?xml version="1.0" encoding="utf-8"?>
<sst xmlns="http://schemas.openxmlformats.org/spreadsheetml/2006/main" count="426" uniqueCount="78">
  <si>
    <t xml:space="preserve">P L A N I L H A   D E   C A L I B R A Ç Ã O </t>
  </si>
  <si>
    <t>DATA</t>
  </si>
  <si>
    <t>NÚMERO</t>
  </si>
  <si>
    <t>FOLHA</t>
  </si>
  <si>
    <t>CONDIÇÕES AMBIENTAIS</t>
  </si>
  <si>
    <t>INSTRUMENTO</t>
  </si>
  <si>
    <t>Mult. Digital</t>
  </si>
  <si>
    <t>FABRICANTE</t>
  </si>
  <si>
    <t>AGILENT</t>
  </si>
  <si>
    <t>PATRIMÔNIO</t>
  </si>
  <si>
    <t>TEMPERATURA</t>
  </si>
  <si>
    <t>CÓDIGO DE ESTOQUE</t>
  </si>
  <si>
    <t>8CQ387095</t>
  </si>
  <si>
    <t>MODELO</t>
  </si>
  <si>
    <t>34410A</t>
  </si>
  <si>
    <t>U.R</t>
  </si>
  <si>
    <t>INSTRUMENTOS UTILIZADOS</t>
  </si>
  <si>
    <t>PROCEDIMENTOS UTILIZADOS</t>
  </si>
  <si>
    <t>RESULTADOS OBTIDOS SE NECESSÁRIO AJUSTE OU REPARO</t>
  </si>
  <si>
    <t>FLUKE 5700A</t>
  </si>
  <si>
    <t>PO - 000425</t>
  </si>
  <si>
    <t>ESC. TENSÃO DC</t>
  </si>
  <si>
    <t>VALOR APLICADO TENSÃO DC</t>
  </si>
  <si>
    <t>MÉDIA DAS LEIT.</t>
  </si>
  <si>
    <t>LIMITE INF.</t>
  </si>
  <si>
    <t>LIMITE SUP.</t>
  </si>
  <si>
    <t>INC. DA MÉDIA</t>
  </si>
  <si>
    <t>INC. DO IP</t>
  </si>
  <si>
    <t>INC. DO IC</t>
  </si>
  <si>
    <t>INC. COMBINADA</t>
  </si>
  <si>
    <t>T DE STUDENT</t>
  </si>
  <si>
    <t>INC. EXPANDIDA</t>
  </si>
  <si>
    <t>GRAUS DE LIBERDADE</t>
  </si>
  <si>
    <t>AUX. CALC INC.</t>
  </si>
  <si>
    <t>RESULTADO</t>
  </si>
  <si>
    <t xml:space="preserve">Medidas Obtidas                 ( Tensão DC ) </t>
  </si>
  <si>
    <t>Med 1</t>
  </si>
  <si>
    <t>Med 2</t>
  </si>
  <si>
    <t>Med 3</t>
  </si>
  <si>
    <t>mV</t>
  </si>
  <si>
    <t>V</t>
  </si>
  <si>
    <t>ESC. TENSÃO AC</t>
  </si>
  <si>
    <t>VALOR APLICADO TENSÃO AC</t>
  </si>
  <si>
    <t xml:space="preserve">Medidas Obtidas                 ( Tensão AC 1 KHz ) </t>
  </si>
  <si>
    <t xml:space="preserve">Medidas Obtidas                 ( Tensão AC 50KHz ) </t>
  </si>
  <si>
    <t xml:space="preserve">Medidas Obtidas                 ( Tensão AC 300KHz ) </t>
  </si>
  <si>
    <t xml:space="preserve">Medidas Obtidas - Slow 3 Hz           ( Tensão AC 10Hz ) </t>
  </si>
  <si>
    <t xml:space="preserve">Medidas Obtidas                 ( Tensão AC 10KHz ) </t>
  </si>
  <si>
    <t>ESC. CORRENTE DC</t>
  </si>
  <si>
    <t>VALOR APLICADO</t>
  </si>
  <si>
    <t xml:space="preserve">Medidas Obtidas                ( Corrente DC ) </t>
  </si>
  <si>
    <t>uA</t>
  </si>
  <si>
    <t>mA</t>
  </si>
  <si>
    <t>A</t>
  </si>
  <si>
    <t>ESC. CORRENTE AC</t>
  </si>
  <si>
    <t xml:space="preserve">Medidas Obtidas                ( Corrente AC 1kHz ) </t>
  </si>
  <si>
    <t>ESCALA</t>
  </si>
  <si>
    <t xml:space="preserve">Medidas Obtidas - 4W                      ( Resistência ) </t>
  </si>
  <si>
    <t xml:space="preserve">Medidas Obtidas                ( Resistência ) </t>
  </si>
  <si>
    <t>W</t>
  </si>
  <si>
    <t>KW</t>
  </si>
  <si>
    <t>MW</t>
  </si>
  <si>
    <t xml:space="preserve">Medidas Obtidas - 2W                      ( Resistência ) </t>
  </si>
  <si>
    <r>
      <rPr>
        <sz val="11"/>
        <color theme="1"/>
        <rFont val="Calibri"/>
        <family val="2"/>
        <scheme val="minor"/>
      </rPr>
      <t>G</t>
    </r>
    <r>
      <rPr>
        <sz val="10"/>
        <rFont val="Symbol"/>
        <family val="1"/>
        <charset val="2"/>
      </rPr>
      <t>W</t>
    </r>
  </si>
  <si>
    <t>OBSERVAÇÃO</t>
  </si>
  <si>
    <t>CONCLUSÃO</t>
  </si>
  <si>
    <t>MANUTENÇÃO REALIZADA</t>
  </si>
  <si>
    <t>EXECUÇÃO/APROVAÇÃO</t>
  </si>
  <si>
    <t>CONFERIDO POR</t>
  </si>
  <si>
    <t>PRÓXIMA CALIBRAÇÃO</t>
  </si>
  <si>
    <t xml:space="preserve">Medidas Obtidas  (Tensão DC ) </t>
  </si>
  <si>
    <t xml:space="preserve">Medidas Obtidas( Tensão AC 1 kHz ) </t>
  </si>
  <si>
    <t xml:space="preserve">Medidas Obtidas ( Tensão AC 50KHz ) </t>
  </si>
  <si>
    <t xml:space="preserve">Medidas Obtidas (Tensão AC 300KHz ) </t>
  </si>
  <si>
    <t xml:space="preserve">Medidas Obtidas ( Corrente DC ) </t>
  </si>
  <si>
    <t xml:space="preserve">Medidas Obtidas ( Corrente AC 1kHz ) </t>
  </si>
  <si>
    <t xml:space="preserve">Medidas Obtidas ( Corrente AC 5kHz ) </t>
  </si>
  <si>
    <t xml:space="preserve">Medidas Obtidas ( Corrente AC 10kHz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</si>
</sst>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0.000"/>
    <numFmt numFmtId="165" formatCode="dd/mmm/yyyy"/>
    <numFmt numFmtId="166" formatCode="000000"/>
    <numFmt numFmtId="167" formatCode="&quot;( &quot;0.0&quot; +- 4,0 )ºC&quot;"/>
    <numFmt numFmtId="168" formatCode="&quot;( &quot;0.0&quot; +- 15,0 )&quot;%"/>
    <numFmt numFmtId="169" formatCode="0.000\V"/>
    <numFmt numFmtId="170" formatCode="0.0000"/>
    <numFmt numFmtId="171" formatCode="0.0E+00"/>
    <numFmt numFmtId="172" formatCode="\A;&quot;reprov&quot;"/>
    <numFmt numFmtId="173" formatCode="0.000000"/>
    <numFmt numFmtId="174" formatCode="0.00000"/>
    <numFmt numFmtId="175" formatCode="0.0\V"/>
    <numFmt numFmtId="17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9"/>
      <name val="Arial"/>
      <family val="2"/>
    </font>
    <font>
      <sz val="10"/>
      <name val="Symbol"/>
      <family val="1"/>
      <charset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</fills>
  <borders count="1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23"/>
      </top>
      <bottom style="hair">
        <color indexed="23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23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23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23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hair">
        <color indexed="23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medium">
        <color indexed="64"/>
      </right>
      <top style="hair">
        <color indexed="23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0">
    <xf numFmtId="0" fontId="0" fillId="0" borderId="0" xfId="0"/>
    <xf numFmtId="0" fontId="0" fillId="0" borderId="5" xfId="0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2" fontId="0" fillId="0" borderId="6" xfId="0" applyNumberFormat="1" applyBorder="1" applyProtection="1"/>
    <xf numFmtId="2" fontId="0" fillId="0" borderId="6" xfId="0" applyNumberForma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164" fontId="0" fillId="0" borderId="6" xfId="0" applyNumberFormat="1" applyBorder="1" applyAlignment="1" applyProtection="1">
      <alignment horizontal="center"/>
    </xf>
    <xf numFmtId="0" fontId="0" fillId="0" borderId="6" xfId="0" applyNumberFormat="1" applyBorder="1" applyProtection="1"/>
    <xf numFmtId="0" fontId="0" fillId="0" borderId="7" xfId="0" applyBorder="1" applyProtection="1"/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Protection="1"/>
    <xf numFmtId="0" fontId="6" fillId="0" borderId="0" xfId="0" applyFont="1" applyBorder="1" applyProtection="1"/>
    <xf numFmtId="164" fontId="6" fillId="0" borderId="0" xfId="0" applyNumberFormat="1" applyFont="1" applyBorder="1" applyProtection="1"/>
    <xf numFmtId="0" fontId="0" fillId="0" borderId="0" xfId="0" applyBorder="1" applyProtection="1"/>
    <xf numFmtId="2" fontId="0" fillId="0" borderId="0" xfId="0" applyNumberFormat="1" applyBorder="1" applyProtection="1"/>
    <xf numFmtId="2" fontId="4" fillId="0" borderId="0" xfId="0" applyNumberFormat="1" applyFont="1" applyBorder="1" applyAlignment="1" applyProtection="1">
      <alignment horizontal="left"/>
    </xf>
    <xf numFmtId="2" fontId="0" fillId="0" borderId="0" xfId="0" applyNumberFormat="1" applyBorder="1" applyAlignment="1" applyProtection="1">
      <alignment horizontal="left"/>
    </xf>
    <xf numFmtId="0" fontId="0" fillId="0" borderId="0" xfId="0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vertical="center"/>
    </xf>
    <xf numFmtId="0" fontId="4" fillId="0" borderId="0" xfId="0" applyNumberFormat="1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 wrapText="1"/>
    </xf>
    <xf numFmtId="2" fontId="6" fillId="0" borderId="0" xfId="0" applyNumberFormat="1" applyFont="1" applyBorder="1" applyAlignment="1" applyProtection="1">
      <alignment horizontal="left"/>
    </xf>
    <xf numFmtId="10" fontId="0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 wrapText="1"/>
    </xf>
    <xf numFmtId="164" fontId="3" fillId="0" borderId="0" xfId="0" applyNumberFormat="1" applyFont="1" applyBorder="1" applyAlignment="1" applyProtection="1">
      <alignment horizontal="left"/>
    </xf>
    <xf numFmtId="2" fontId="6" fillId="0" borderId="0" xfId="0" applyNumberFormat="1" applyFont="1" applyBorder="1" applyAlignment="1" applyProtection="1">
      <alignment horizontal="center"/>
    </xf>
    <xf numFmtId="10" fontId="0" fillId="0" borderId="0" xfId="0" applyNumberFormat="1" applyFont="1" applyBorder="1" applyAlignment="1" applyProtection="1">
      <alignment horizontal="center"/>
      <protection locked="0"/>
    </xf>
    <xf numFmtId="10" fontId="0" fillId="0" borderId="10" xfId="0" applyNumberFormat="1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/>
    <xf numFmtId="0" fontId="0" fillId="0" borderId="0" xfId="0" applyBorder="1" applyAlignment="1" applyProtection="1"/>
    <xf numFmtId="0" fontId="6" fillId="0" borderId="14" xfId="0" applyFont="1" applyBorder="1" applyAlignment="1" applyProtection="1"/>
    <xf numFmtId="0" fontId="0" fillId="0" borderId="13" xfId="0" applyBorder="1" applyProtection="1"/>
    <xf numFmtId="0" fontId="0" fillId="0" borderId="4" xfId="0" applyBorder="1" applyProtection="1"/>
    <xf numFmtId="164" fontId="3" fillId="0" borderId="13" xfId="0" applyNumberFormat="1" applyFont="1" applyBorder="1" applyAlignment="1" applyProtection="1">
      <alignment horizontal="left"/>
    </xf>
    <xf numFmtId="2" fontId="6" fillId="0" borderId="13" xfId="0" applyNumberFormat="1" applyFont="1" applyBorder="1" applyAlignment="1" applyProtection="1">
      <alignment horizontal="center"/>
    </xf>
    <xf numFmtId="10" fontId="0" fillId="0" borderId="14" xfId="0" applyNumberFormat="1" applyFont="1" applyBorder="1" applyAlignment="1" applyProtection="1">
      <alignment horizontal="center"/>
      <protection locked="0"/>
    </xf>
    <xf numFmtId="0" fontId="0" fillId="0" borderId="9" xfId="0" applyBorder="1" applyProtection="1"/>
    <xf numFmtId="164" fontId="0" fillId="0" borderId="0" xfId="0" applyNumberFormat="1" applyBorder="1" applyProtection="1"/>
    <xf numFmtId="0" fontId="0" fillId="0" borderId="0" xfId="0" applyBorder="1" applyAlignment="1" applyProtection="1">
      <protection locked="0"/>
    </xf>
    <xf numFmtId="2" fontId="0" fillId="0" borderId="0" xfId="0" applyNumberFormat="1" applyBorder="1" applyAlignment="1" applyProtection="1">
      <protection locked="0"/>
    </xf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2" fontId="0" fillId="0" borderId="0" xfId="0" applyNumberFormat="1" applyBorder="1" applyProtection="1">
      <protection locked="0"/>
    </xf>
    <xf numFmtId="2" fontId="6" fillId="0" borderId="14" xfId="0" applyNumberFormat="1" applyFont="1" applyBorder="1" applyAlignment="1" applyProtection="1">
      <alignment horizontal="center"/>
    </xf>
    <xf numFmtId="2" fontId="6" fillId="0" borderId="18" xfId="0" applyNumberFormat="1" applyFont="1" applyBorder="1" applyAlignment="1" applyProtection="1">
      <alignment horizontal="center"/>
    </xf>
    <xf numFmtId="1" fontId="0" fillId="0" borderId="15" xfId="0" applyNumberFormat="1" applyBorder="1" applyAlignment="1" applyProtection="1">
      <alignment horizontal="center"/>
    </xf>
    <xf numFmtId="171" fontId="0" fillId="2" borderId="25" xfId="0" applyNumberFormat="1" applyFill="1" applyBorder="1" applyAlignment="1" applyProtection="1">
      <alignment horizontal="center"/>
    </xf>
    <xf numFmtId="171" fontId="0" fillId="3" borderId="26" xfId="0" applyNumberFormat="1" applyFill="1" applyBorder="1" applyAlignment="1" applyProtection="1">
      <alignment horizontal="center"/>
    </xf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2" fontId="0" fillId="3" borderId="27" xfId="0" applyNumberFormat="1" applyFill="1" applyBorder="1" applyAlignment="1" applyProtection="1">
      <alignment horizontal="center"/>
    </xf>
    <xf numFmtId="171" fontId="0" fillId="3" borderId="28" xfId="0" applyNumberFormat="1" applyFill="1" applyBorder="1" applyAlignment="1" applyProtection="1">
      <alignment horizontal="center"/>
    </xf>
    <xf numFmtId="171" fontId="0" fillId="0" borderId="29" xfId="0" applyNumberFormat="1" applyFill="1" applyBorder="1" applyAlignment="1" applyProtection="1">
      <alignment horizontal="center"/>
    </xf>
    <xf numFmtId="164" fontId="0" fillId="0" borderId="29" xfId="0" applyNumberFormat="1" applyFill="1" applyBorder="1" applyAlignment="1" applyProtection="1">
      <alignment horizontal="center"/>
    </xf>
    <xf numFmtId="11" fontId="0" fillId="3" borderId="28" xfId="2" applyNumberFormat="1" applyFont="1" applyFill="1" applyBorder="1" applyAlignment="1" applyProtection="1">
      <alignment horizontal="center"/>
    </xf>
    <xf numFmtId="171" fontId="0" fillId="3" borderId="30" xfId="2" applyNumberFormat="1" applyFont="1" applyFill="1" applyBorder="1" applyAlignment="1" applyProtection="1">
      <alignment horizontal="center"/>
    </xf>
    <xf numFmtId="172" fontId="8" fillId="3" borderId="31" xfId="0" applyNumberFormat="1" applyFont="1" applyFill="1" applyBorder="1" applyAlignment="1" applyProtection="1">
      <alignment horizontal="center"/>
    </xf>
    <xf numFmtId="1" fontId="0" fillId="0" borderId="17" xfId="0" applyNumberForma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9" fontId="0" fillId="0" borderId="11" xfId="0" applyNumberFormat="1" applyFont="1" applyBorder="1" applyAlignment="1" applyProtection="1">
      <alignment horizontal="center"/>
    </xf>
    <xf numFmtId="173" fontId="0" fillId="0" borderId="32" xfId="0" applyNumberFormat="1" applyBorder="1" applyAlignment="1" applyProtection="1">
      <alignment horizontal="center"/>
      <protection locked="0"/>
    </xf>
    <xf numFmtId="171" fontId="0" fillId="2" borderId="33" xfId="0" applyNumberFormat="1" applyFill="1" applyBorder="1" applyAlignment="1" applyProtection="1">
      <alignment horizontal="center"/>
    </xf>
    <xf numFmtId="171" fontId="0" fillId="3" borderId="34" xfId="0" applyNumberFormat="1" applyFill="1" applyBorder="1" applyAlignment="1" applyProtection="1">
      <alignment horizontal="center"/>
    </xf>
    <xf numFmtId="171" fontId="0" fillId="0" borderId="34" xfId="0" applyNumberFormat="1" applyFill="1" applyBorder="1" applyAlignment="1" applyProtection="1">
      <alignment horizontal="center"/>
    </xf>
    <xf numFmtId="164" fontId="0" fillId="0" borderId="34" xfId="0" applyNumberFormat="1" applyFill="1" applyBorder="1" applyAlignment="1" applyProtection="1">
      <alignment horizontal="center"/>
    </xf>
    <xf numFmtId="11" fontId="0" fillId="3" borderId="34" xfId="0" applyNumberFormat="1" applyFill="1" applyBorder="1" applyAlignment="1" applyProtection="1">
      <alignment horizontal="center"/>
    </xf>
    <xf numFmtId="171" fontId="0" fillId="3" borderId="34" xfId="2" applyNumberFormat="1" applyFont="1" applyFill="1" applyBorder="1" applyAlignment="1" applyProtection="1">
      <alignment horizontal="center"/>
    </xf>
    <xf numFmtId="172" fontId="8" fillId="3" borderId="35" xfId="0" applyNumberFormat="1" applyFont="1" applyFill="1" applyBorder="1" applyAlignment="1" applyProtection="1">
      <alignment horizontal="center"/>
    </xf>
    <xf numFmtId="174" fontId="0" fillId="0" borderId="32" xfId="0" applyNumberFormat="1" applyBorder="1" applyAlignment="1" applyProtection="1">
      <alignment horizontal="center"/>
      <protection locked="0"/>
    </xf>
    <xf numFmtId="2" fontId="0" fillId="3" borderId="36" xfId="0" applyNumberFormat="1" applyFill="1" applyBorder="1" applyAlignment="1" applyProtection="1">
      <alignment horizontal="center"/>
    </xf>
    <xf numFmtId="171" fontId="0" fillId="3" borderId="37" xfId="0" applyNumberFormat="1" applyFill="1" applyBorder="1" applyAlignment="1" applyProtection="1">
      <alignment horizontal="center"/>
    </xf>
    <xf numFmtId="171" fontId="0" fillId="0" borderId="37" xfId="0" applyNumberFormat="1" applyFill="1" applyBorder="1" applyAlignment="1" applyProtection="1">
      <alignment horizontal="center"/>
    </xf>
    <xf numFmtId="164" fontId="0" fillId="0" borderId="37" xfId="0" applyNumberFormat="1" applyFill="1" applyBorder="1" applyAlignment="1" applyProtection="1">
      <alignment horizontal="center"/>
    </xf>
    <xf numFmtId="11" fontId="0" fillId="3" borderId="37" xfId="2" applyNumberFormat="1" applyFont="1" applyFill="1" applyBorder="1" applyAlignment="1" applyProtection="1">
      <alignment horizontal="center"/>
    </xf>
    <xf numFmtId="171" fontId="0" fillId="3" borderId="38" xfId="2" applyNumberFormat="1" applyFont="1" applyFill="1" applyBorder="1" applyAlignment="1" applyProtection="1">
      <alignment horizontal="center"/>
    </xf>
    <xf numFmtId="172" fontId="8" fillId="3" borderId="39" xfId="0" applyNumberFormat="1" applyFont="1" applyFill="1" applyBorder="1" applyAlignment="1" applyProtection="1">
      <alignment horizontal="center"/>
    </xf>
    <xf numFmtId="174" fontId="0" fillId="0" borderId="17" xfId="0" applyNumberFormat="1" applyBorder="1" applyAlignment="1" applyProtection="1">
      <alignment horizontal="center"/>
    </xf>
    <xf numFmtId="164" fontId="0" fillId="0" borderId="32" xfId="0" applyNumberFormat="1" applyBorder="1" applyAlignment="1" applyProtection="1">
      <alignment horizontal="center"/>
      <protection locked="0"/>
    </xf>
    <xf numFmtId="170" fontId="0" fillId="0" borderId="17" xfId="0" applyNumberFormat="1" applyBorder="1" applyAlignment="1" applyProtection="1">
      <alignment horizontal="center"/>
    </xf>
    <xf numFmtId="2" fontId="0" fillId="0" borderId="9" xfId="0" applyNumberFormat="1" applyBorder="1" applyAlignment="1" applyProtection="1">
      <alignment horizontal="center"/>
    </xf>
    <xf numFmtId="175" fontId="0" fillId="0" borderId="11" xfId="0" applyNumberFormat="1" applyFont="1" applyBorder="1" applyAlignment="1" applyProtection="1">
      <alignment horizontal="center"/>
    </xf>
    <xf numFmtId="170" fontId="0" fillId="0" borderId="32" xfId="0" applyNumberFormat="1" applyBorder="1" applyAlignment="1" applyProtection="1">
      <alignment horizontal="center"/>
      <protection locked="0"/>
    </xf>
    <xf numFmtId="1" fontId="0" fillId="0" borderId="18" xfId="0" applyNumberFormat="1" applyBorder="1" applyAlignment="1" applyProtection="1">
      <alignment horizontal="center"/>
    </xf>
    <xf numFmtId="176" fontId="0" fillId="0" borderId="12" xfId="0" applyNumberFormat="1" applyBorder="1" applyAlignment="1" applyProtection="1">
      <alignment horizontal="center"/>
    </xf>
    <xf numFmtId="164" fontId="0" fillId="0" borderId="13" xfId="0" applyNumberFormat="1" applyBorder="1" applyAlignment="1" applyProtection="1">
      <alignment horizontal="center"/>
    </xf>
    <xf numFmtId="164" fontId="0" fillId="0" borderId="40" xfId="0" applyNumberFormat="1" applyBorder="1" applyAlignment="1" applyProtection="1">
      <alignment horizontal="center"/>
      <protection locked="0"/>
    </xf>
    <xf numFmtId="164" fontId="0" fillId="0" borderId="18" xfId="0" applyNumberFormat="1" applyBorder="1" applyAlignment="1" applyProtection="1">
      <alignment horizontal="center"/>
    </xf>
    <xf numFmtId="171" fontId="0" fillId="2" borderId="41" xfId="0" applyNumberFormat="1" applyFill="1" applyBorder="1" applyAlignment="1" applyProtection="1">
      <alignment horizontal="center"/>
    </xf>
    <xf numFmtId="171" fontId="0" fillId="3" borderId="42" xfId="0" applyNumberFormat="1" applyFill="1" applyBorder="1" applyAlignment="1" applyProtection="1">
      <alignment horizontal="center"/>
    </xf>
    <xf numFmtId="171" fontId="0" fillId="0" borderId="42" xfId="0" applyNumberFormat="1" applyFill="1" applyBorder="1" applyAlignment="1" applyProtection="1">
      <alignment horizontal="center"/>
    </xf>
    <xf numFmtId="164" fontId="0" fillId="0" borderId="42" xfId="0" applyNumberFormat="1" applyFill="1" applyBorder="1" applyAlignment="1" applyProtection="1">
      <alignment horizontal="center"/>
    </xf>
    <xf numFmtId="11" fontId="0" fillId="3" borderId="42" xfId="0" applyNumberFormat="1" applyFill="1" applyBorder="1" applyAlignment="1" applyProtection="1">
      <alignment horizontal="center"/>
    </xf>
    <xf numFmtId="171" fontId="0" fillId="3" borderId="42" xfId="2" applyNumberFormat="1" applyFont="1" applyFill="1" applyBorder="1" applyAlignment="1" applyProtection="1">
      <alignment horizontal="center"/>
    </xf>
    <xf numFmtId="172" fontId="8" fillId="3" borderId="43" xfId="0" applyNumberFormat="1" applyFont="1" applyFill="1" applyBorder="1" applyAlignment="1" applyProtection="1">
      <alignment horizontal="center"/>
    </xf>
    <xf numFmtId="2" fontId="0" fillId="3" borderId="44" xfId="0" applyNumberFormat="1" applyFill="1" applyBorder="1" applyAlignment="1" applyProtection="1">
      <alignment horizontal="center"/>
    </xf>
    <xf numFmtId="171" fontId="0" fillId="3" borderId="45" xfId="0" applyNumberFormat="1" applyFill="1" applyBorder="1" applyAlignment="1" applyProtection="1">
      <alignment horizontal="center"/>
    </xf>
    <xf numFmtId="171" fontId="0" fillId="0" borderId="45" xfId="0" applyNumberFormat="1" applyFill="1" applyBorder="1" applyAlignment="1" applyProtection="1">
      <alignment horizontal="center"/>
    </xf>
    <xf numFmtId="164" fontId="0" fillId="0" borderId="45" xfId="0" applyNumberFormat="1" applyFill="1" applyBorder="1" applyAlignment="1" applyProtection="1">
      <alignment horizontal="center"/>
    </xf>
    <xf numFmtId="11" fontId="0" fillId="3" borderId="45" xfId="2" applyNumberFormat="1" applyFont="1" applyFill="1" applyBorder="1" applyAlignment="1" applyProtection="1">
      <alignment horizontal="center"/>
    </xf>
    <xf numFmtId="171" fontId="0" fillId="3" borderId="46" xfId="2" applyNumberFormat="1" applyFont="1" applyFill="1" applyBorder="1" applyAlignment="1" applyProtection="1">
      <alignment horizontal="center"/>
    </xf>
    <xf numFmtId="172" fontId="8" fillId="3" borderId="47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 applyProtection="1">
      <alignment horizontal="center"/>
    </xf>
    <xf numFmtId="0" fontId="0" fillId="0" borderId="0" xfId="0" applyProtection="1"/>
    <xf numFmtId="0" fontId="0" fillId="0" borderId="11" xfId="0" applyBorder="1" applyProtection="1"/>
    <xf numFmtId="176" fontId="0" fillId="0" borderId="9" xfId="0" applyNumberFormat="1" applyBorder="1" applyAlignment="1" applyProtection="1">
      <alignment horizontal="center"/>
    </xf>
    <xf numFmtId="170" fontId="0" fillId="0" borderId="17" xfId="0" applyNumberFormat="1" applyFont="1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171" fontId="0" fillId="2" borderId="49" xfId="0" applyNumberFormat="1" applyFill="1" applyBorder="1" applyAlignment="1" applyProtection="1">
      <alignment horizontal="center"/>
    </xf>
    <xf numFmtId="171" fontId="0" fillId="3" borderId="50" xfId="0" applyNumberFormat="1" applyFill="1" applyBorder="1" applyAlignment="1" applyProtection="1">
      <alignment horizontal="center"/>
    </xf>
    <xf numFmtId="171" fontId="0" fillId="0" borderId="50" xfId="0" applyNumberFormat="1" applyFill="1" applyBorder="1" applyAlignment="1" applyProtection="1">
      <alignment horizontal="center"/>
    </xf>
    <xf numFmtId="164" fontId="0" fillId="0" borderId="50" xfId="0" applyNumberFormat="1" applyFill="1" applyBorder="1" applyAlignment="1" applyProtection="1">
      <alignment horizontal="center"/>
    </xf>
    <xf numFmtId="171" fontId="0" fillId="3" borderId="50" xfId="2" applyNumberFormat="1" applyFont="1" applyFill="1" applyBorder="1" applyAlignment="1" applyProtection="1">
      <alignment horizontal="center"/>
    </xf>
    <xf numFmtId="172" fontId="8" fillId="3" borderId="51" xfId="0" applyNumberFormat="1" applyFont="1" applyFill="1" applyBorder="1" applyAlignment="1" applyProtection="1">
      <alignment horizontal="center"/>
    </xf>
    <xf numFmtId="2" fontId="0" fillId="3" borderId="52" xfId="0" applyNumberFormat="1" applyFill="1" applyBorder="1" applyAlignment="1" applyProtection="1">
      <alignment horizontal="center"/>
    </xf>
    <xf numFmtId="171" fontId="0" fillId="3" borderId="53" xfId="0" applyNumberFormat="1" applyFill="1" applyBorder="1" applyAlignment="1" applyProtection="1">
      <alignment horizontal="center"/>
    </xf>
    <xf numFmtId="171" fontId="0" fillId="0" borderId="53" xfId="0" applyNumberFormat="1" applyFill="1" applyBorder="1" applyAlignment="1" applyProtection="1">
      <alignment horizontal="center"/>
    </xf>
    <xf numFmtId="164" fontId="0" fillId="0" borderId="53" xfId="0" applyNumberFormat="1" applyFill="1" applyBorder="1" applyAlignment="1" applyProtection="1">
      <alignment horizontal="center"/>
    </xf>
    <xf numFmtId="11" fontId="0" fillId="3" borderId="53" xfId="2" applyNumberFormat="1" applyFont="1" applyFill="1" applyBorder="1" applyAlignment="1" applyProtection="1">
      <alignment horizontal="center"/>
    </xf>
    <xf numFmtId="171" fontId="0" fillId="3" borderId="54" xfId="2" applyNumberFormat="1" applyFont="1" applyFill="1" applyBorder="1" applyAlignment="1" applyProtection="1">
      <alignment horizontal="center"/>
    </xf>
    <xf numFmtId="172" fontId="8" fillId="3" borderId="55" xfId="0" applyNumberFormat="1" applyFont="1" applyFill="1" applyBorder="1" applyAlignment="1" applyProtection="1">
      <alignment horizontal="center"/>
    </xf>
    <xf numFmtId="174" fontId="0" fillId="0" borderId="11" xfId="0" applyNumberFormat="1" applyBorder="1" applyAlignment="1" applyProtection="1">
      <alignment horizontal="center"/>
    </xf>
    <xf numFmtId="170" fontId="0" fillId="0" borderId="11" xfId="0" applyNumberFormat="1" applyBorder="1" applyAlignment="1" applyProtection="1">
      <alignment horizontal="center"/>
    </xf>
    <xf numFmtId="169" fontId="0" fillId="0" borderId="14" xfId="0" applyNumberFormat="1" applyFont="1" applyBorder="1" applyAlignment="1" applyProtection="1">
      <alignment horizontal="center"/>
    </xf>
    <xf numFmtId="170" fontId="0" fillId="0" borderId="18" xfId="0" applyNumberFormat="1" applyFont="1" applyBorder="1" applyAlignment="1" applyProtection="1">
      <alignment horizontal="center"/>
    </xf>
    <xf numFmtId="164" fontId="0" fillId="0" borderId="14" xfId="0" applyNumberFormat="1" applyBorder="1" applyAlignment="1" applyProtection="1">
      <alignment horizontal="center"/>
    </xf>
    <xf numFmtId="176" fontId="0" fillId="0" borderId="5" xfId="0" applyNumberFormat="1" applyFill="1" applyBorder="1" applyAlignment="1" applyProtection="1">
      <alignment horizontal="center"/>
    </xf>
    <xf numFmtId="176" fontId="0" fillId="0" borderId="6" xfId="0" applyNumberFormat="1" applyFill="1" applyBorder="1" applyAlignment="1" applyProtection="1">
      <alignment horizontal="center"/>
    </xf>
    <xf numFmtId="164" fontId="0" fillId="0" borderId="6" xfId="0" applyNumberFormat="1" applyFill="1" applyBorder="1" applyAlignment="1" applyProtection="1">
      <alignment horizontal="center"/>
    </xf>
    <xf numFmtId="175" fontId="0" fillId="0" borderId="6" xfId="0" applyNumberFormat="1" applyFill="1" applyBorder="1" applyAlignment="1" applyProtection="1">
      <alignment horizontal="center"/>
    </xf>
    <xf numFmtId="164" fontId="0" fillId="0" borderId="6" xfId="0" applyNumberFormat="1" applyFill="1" applyBorder="1" applyAlignment="1" applyProtection="1">
      <alignment horizontal="center"/>
      <protection locked="0"/>
    </xf>
    <xf numFmtId="2" fontId="0" fillId="0" borderId="6" xfId="0" applyNumberFormat="1" applyFont="1" applyFill="1" applyBorder="1" applyAlignment="1" applyProtection="1">
      <alignment horizontal="center"/>
    </xf>
    <xf numFmtId="176" fontId="0" fillId="0" borderId="6" xfId="0" applyNumberFormat="1" applyFont="1" applyFill="1" applyBorder="1" applyAlignment="1" applyProtection="1">
      <alignment horizontal="center"/>
    </xf>
    <xf numFmtId="2" fontId="0" fillId="0" borderId="6" xfId="0" applyNumberFormat="1" applyFill="1" applyBorder="1" applyAlignment="1" applyProtection="1">
      <alignment horizontal="center"/>
    </xf>
    <xf numFmtId="171" fontId="0" fillId="0" borderId="6" xfId="0" applyNumberFormat="1" applyFill="1" applyBorder="1" applyAlignment="1" applyProtection="1">
      <alignment horizontal="center"/>
    </xf>
    <xf numFmtId="10" fontId="0" fillId="0" borderId="6" xfId="2" applyNumberFormat="1" applyFont="1" applyFill="1" applyBorder="1" applyAlignment="1" applyProtection="1">
      <alignment horizontal="center"/>
    </xf>
    <xf numFmtId="172" fontId="8" fillId="0" borderId="6" xfId="0" applyNumberFormat="1" applyFont="1" applyFill="1" applyBorder="1" applyAlignment="1" applyProtection="1">
      <alignment horizontal="center"/>
    </xf>
    <xf numFmtId="172" fontId="8" fillId="0" borderId="8" xfId="0" applyNumberFormat="1" applyFont="1" applyFill="1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  <protection locked="0"/>
    </xf>
    <xf numFmtId="164" fontId="0" fillId="0" borderId="17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</xf>
    <xf numFmtId="176" fontId="0" fillId="0" borderId="0" xfId="0" applyNumberFormat="1" applyBorder="1" applyAlignment="1" applyProtection="1">
      <alignment horizontal="center"/>
    </xf>
    <xf numFmtId="169" fontId="0" fillId="0" borderId="0" xfId="0" applyNumberFormat="1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  <protection locked="0"/>
    </xf>
    <xf numFmtId="170" fontId="0" fillId="0" borderId="0" xfId="0" applyNumberFormat="1" applyFont="1" applyBorder="1" applyAlignment="1" applyProtection="1">
      <alignment horizontal="center"/>
    </xf>
    <xf numFmtId="171" fontId="0" fillId="2" borderId="0" xfId="0" applyNumberFormat="1" applyFill="1" applyBorder="1" applyAlignment="1" applyProtection="1">
      <alignment horizontal="center"/>
    </xf>
    <xf numFmtId="171" fontId="0" fillId="3" borderId="0" xfId="0" applyNumberFormat="1" applyFill="1" applyBorder="1" applyAlignment="1" applyProtection="1">
      <alignment horizontal="center"/>
    </xf>
    <xf numFmtId="171" fontId="0" fillId="0" borderId="0" xfId="0" applyNumberFormat="1" applyFill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center"/>
    </xf>
    <xf numFmtId="171" fontId="0" fillId="3" borderId="0" xfId="2" applyNumberFormat="1" applyFont="1" applyFill="1" applyBorder="1" applyAlignment="1" applyProtection="1">
      <alignment horizontal="center"/>
    </xf>
    <xf numFmtId="172" fontId="8" fillId="3" borderId="0" xfId="0" applyNumberFormat="1" applyFont="1" applyFill="1" applyBorder="1" applyAlignment="1" applyProtection="1">
      <alignment horizontal="center"/>
    </xf>
    <xf numFmtId="2" fontId="0" fillId="3" borderId="0" xfId="0" applyNumberFormat="1" applyFill="1" applyBorder="1" applyAlignment="1" applyProtection="1">
      <alignment horizontal="center"/>
    </xf>
    <xf numFmtId="11" fontId="0" fillId="3" borderId="0" xfId="2" applyNumberFormat="1" applyFont="1" applyFill="1" applyBorder="1" applyAlignment="1" applyProtection="1">
      <alignment horizontal="center"/>
    </xf>
    <xf numFmtId="172" fontId="8" fillId="3" borderId="11" xfId="0" applyNumberFormat="1" applyFont="1" applyFill="1" applyBorder="1" applyAlignment="1" applyProtection="1">
      <alignment horizontal="center"/>
    </xf>
    <xf numFmtId="1" fontId="0" fillId="0" borderId="5" xfId="0" applyNumberFormat="1" applyFill="1" applyBorder="1" applyAlignment="1" applyProtection="1">
      <alignment horizontal="center"/>
    </xf>
    <xf numFmtId="1" fontId="0" fillId="0" borderId="6" xfId="0" applyNumberFormat="1" applyFill="1" applyBorder="1" applyAlignment="1" applyProtection="1">
      <alignment horizontal="center"/>
    </xf>
    <xf numFmtId="169" fontId="0" fillId="0" borderId="6" xfId="0" applyNumberFormat="1" applyFill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74" fontId="0" fillId="0" borderId="14" xfId="0" applyNumberFormat="1" applyBorder="1" applyAlignment="1" applyProtection="1">
      <alignment horizontal="center"/>
      <protection locked="0"/>
    </xf>
    <xf numFmtId="174" fontId="0" fillId="0" borderId="18" xfId="0" applyNumberFormat="1" applyBorder="1" applyAlignment="1" applyProtection="1">
      <alignment horizontal="center"/>
      <protection locked="0"/>
    </xf>
    <xf numFmtId="174" fontId="0" fillId="0" borderId="12" xfId="0" applyNumberFormat="1" applyBorder="1" applyAlignment="1" applyProtection="1">
      <alignment horizontal="center"/>
      <protection locked="0"/>
    </xf>
    <xf numFmtId="170" fontId="0" fillId="0" borderId="18" xfId="0" applyNumberFormat="1" applyBorder="1" applyAlignment="1" applyProtection="1">
      <alignment horizontal="center"/>
    </xf>
    <xf numFmtId="174" fontId="0" fillId="0" borderId="14" xfId="0" applyNumberFormat="1" applyBorder="1" applyAlignment="1" applyProtection="1">
      <alignment horizontal="center"/>
    </xf>
    <xf numFmtId="174" fontId="0" fillId="0" borderId="18" xfId="0" applyNumberFormat="1" applyBorder="1" applyAlignment="1" applyProtection="1">
      <alignment horizontal="center"/>
    </xf>
    <xf numFmtId="171" fontId="0" fillId="2" borderId="1" xfId="0" applyNumberFormat="1" applyFill="1" applyBorder="1" applyAlignment="1" applyProtection="1">
      <alignment horizontal="center"/>
    </xf>
    <xf numFmtId="171" fontId="0" fillId="3" borderId="18" xfId="0" applyNumberFormat="1" applyFill="1" applyBorder="1" applyAlignment="1" applyProtection="1">
      <alignment horizontal="center"/>
    </xf>
    <xf numFmtId="171" fontId="0" fillId="0" borderId="18" xfId="0" applyNumberFormat="1" applyFill="1" applyBorder="1" applyAlignment="1" applyProtection="1">
      <alignment horizontal="center"/>
    </xf>
    <xf numFmtId="164" fontId="0" fillId="0" borderId="18" xfId="0" applyNumberFormat="1" applyFill="1" applyBorder="1" applyAlignment="1" applyProtection="1">
      <alignment horizontal="center"/>
    </xf>
    <xf numFmtId="171" fontId="0" fillId="3" borderId="18" xfId="2" applyNumberFormat="1" applyFont="1" applyFill="1" applyBorder="1" applyAlignment="1" applyProtection="1">
      <alignment horizontal="center"/>
    </xf>
    <xf numFmtId="172" fontId="8" fillId="3" borderId="14" xfId="0" applyNumberFormat="1" applyFont="1" applyFill="1" applyBorder="1" applyAlignment="1" applyProtection="1">
      <alignment horizontal="center"/>
    </xf>
    <xf numFmtId="164" fontId="0" fillId="0" borderId="14" xfId="0" applyNumberFormat="1" applyBorder="1" applyAlignment="1" applyProtection="1">
      <alignment horizontal="center"/>
      <protection locked="0"/>
    </xf>
    <xf numFmtId="164" fontId="0" fillId="0" borderId="18" xfId="0" applyNumberFormat="1" applyBorder="1" applyAlignment="1" applyProtection="1">
      <alignment horizontal="center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2" fontId="0" fillId="3" borderId="63" xfId="0" applyNumberFormat="1" applyFill="1" applyBorder="1" applyAlignment="1" applyProtection="1">
      <alignment horizontal="center"/>
    </xf>
    <xf numFmtId="171" fontId="0" fillId="3" borderId="64" xfId="0" applyNumberFormat="1" applyFill="1" applyBorder="1" applyAlignment="1" applyProtection="1">
      <alignment horizontal="center"/>
    </xf>
    <xf numFmtId="171" fontId="0" fillId="0" borderId="64" xfId="0" applyNumberFormat="1" applyFill="1" applyBorder="1" applyAlignment="1" applyProtection="1">
      <alignment horizontal="center"/>
    </xf>
    <xf numFmtId="164" fontId="0" fillId="0" borderId="64" xfId="0" applyNumberFormat="1" applyFill="1" applyBorder="1" applyAlignment="1" applyProtection="1">
      <alignment horizontal="center"/>
    </xf>
    <xf numFmtId="171" fontId="0" fillId="3" borderId="64" xfId="2" applyNumberFormat="1" applyFont="1" applyFill="1" applyBorder="1" applyAlignment="1" applyProtection="1">
      <alignment horizontal="center"/>
    </xf>
    <xf numFmtId="171" fontId="0" fillId="3" borderId="65" xfId="2" applyNumberFormat="1" applyFont="1" applyFill="1" applyBorder="1" applyAlignment="1" applyProtection="1">
      <alignment horizontal="center"/>
    </xf>
    <xf numFmtId="172" fontId="8" fillId="3" borderId="66" xfId="0" applyNumberFormat="1" applyFont="1" applyFill="1" applyBorder="1" applyAlignment="1" applyProtection="1">
      <alignment horizontal="center"/>
    </xf>
    <xf numFmtId="2" fontId="6" fillId="0" borderId="11" xfId="0" applyNumberFormat="1" applyFont="1" applyBorder="1" applyAlignment="1" applyProtection="1">
      <alignment horizontal="center"/>
    </xf>
    <xf numFmtId="2" fontId="6" fillId="0" borderId="17" xfId="0" applyNumberFormat="1" applyFont="1" applyBorder="1" applyAlignment="1" applyProtection="1">
      <alignment horizontal="center"/>
    </xf>
    <xf numFmtId="176" fontId="0" fillId="0" borderId="5" xfId="0" applyNumberFormat="1" applyFont="1" applyBorder="1" applyAlignment="1" applyProtection="1">
      <alignment horizontal="center" vertical="center" wrapText="1"/>
    </xf>
    <xf numFmtId="164" fontId="0" fillId="0" borderId="6" xfId="0" applyNumberFormat="1" applyFont="1" applyBorder="1" applyAlignment="1" applyProtection="1">
      <alignment horizontal="center" vertical="center" wrapText="1"/>
    </xf>
    <xf numFmtId="175" fontId="0" fillId="0" borderId="8" xfId="0" applyNumberFormat="1" applyBorder="1" applyAlignment="1" applyProtection="1">
      <alignment horizontal="center"/>
    </xf>
    <xf numFmtId="170" fontId="0" fillId="0" borderId="68" xfId="0" applyNumberFormat="1" applyBorder="1" applyAlignment="1" applyProtection="1">
      <alignment horizontal="center"/>
      <protection locked="0"/>
    </xf>
    <xf numFmtId="170" fontId="0" fillId="0" borderId="15" xfId="0" applyNumberFormat="1" applyFont="1" applyBorder="1" applyAlignment="1" applyProtection="1">
      <alignment horizontal="center"/>
    </xf>
    <xf numFmtId="164" fontId="0" fillId="0" borderId="15" xfId="0" applyNumberFormat="1" applyBorder="1" applyAlignment="1" applyProtection="1">
      <alignment horizontal="center"/>
    </xf>
    <xf numFmtId="171" fontId="0" fillId="2" borderId="69" xfId="0" applyNumberFormat="1" applyFill="1" applyBorder="1" applyAlignment="1" applyProtection="1">
      <alignment horizontal="center"/>
    </xf>
    <xf numFmtId="171" fontId="0" fillId="0" borderId="28" xfId="0" applyNumberFormat="1" applyFill="1" applyBorder="1" applyAlignment="1" applyProtection="1">
      <alignment horizontal="center"/>
    </xf>
    <xf numFmtId="164" fontId="0" fillId="0" borderId="28" xfId="0" applyNumberFormat="1" applyFill="1" applyBorder="1" applyAlignment="1" applyProtection="1">
      <alignment horizontal="center"/>
    </xf>
    <xf numFmtId="171" fontId="0" fillId="3" borderId="28" xfId="2" applyNumberFormat="1" applyFont="1" applyFill="1" applyBorder="1" applyAlignment="1" applyProtection="1">
      <alignment horizontal="center"/>
    </xf>
    <xf numFmtId="164" fontId="0" fillId="0" borderId="68" xfId="0" applyNumberFormat="1" applyBorder="1" applyAlignment="1" applyProtection="1">
      <alignment horizontal="center"/>
      <protection locked="0"/>
    </xf>
    <xf numFmtId="1" fontId="0" fillId="0" borderId="70" xfId="0" applyNumberFormat="1" applyBorder="1" applyAlignment="1" applyProtection="1">
      <alignment horizontal="center"/>
    </xf>
    <xf numFmtId="176" fontId="0" fillId="0" borderId="71" xfId="0" applyNumberFormat="1" applyFont="1" applyBorder="1" applyAlignment="1" applyProtection="1">
      <alignment horizontal="center" vertical="center" wrapText="1"/>
    </xf>
    <xf numFmtId="164" fontId="0" fillId="0" borderId="72" xfId="0" applyNumberFormat="1" applyFont="1" applyBorder="1" applyAlignment="1" applyProtection="1">
      <alignment horizontal="center" vertical="center" wrapText="1"/>
    </xf>
    <xf numFmtId="175" fontId="0" fillId="0" borderId="73" xfId="0" applyNumberFormat="1" applyFont="1" applyBorder="1" applyAlignment="1" applyProtection="1">
      <alignment horizontal="center"/>
    </xf>
    <xf numFmtId="173" fontId="0" fillId="0" borderId="74" xfId="0" applyNumberFormat="1" applyBorder="1" applyAlignment="1" applyProtection="1">
      <alignment horizontal="center"/>
      <protection locked="0"/>
    </xf>
    <xf numFmtId="170" fontId="0" fillId="0" borderId="70" xfId="0" applyNumberFormat="1" applyFont="1" applyBorder="1" applyAlignment="1" applyProtection="1">
      <alignment horizontal="center"/>
    </xf>
    <xf numFmtId="164" fontId="0" fillId="0" borderId="70" xfId="0" applyNumberFormat="1" applyBorder="1" applyAlignment="1" applyProtection="1">
      <alignment horizontal="center"/>
    </xf>
    <xf numFmtId="171" fontId="0" fillId="2" borderId="75" xfId="0" applyNumberFormat="1" applyFill="1" applyBorder="1" applyAlignment="1" applyProtection="1">
      <alignment horizontal="center"/>
    </xf>
    <xf numFmtId="171" fontId="0" fillId="3" borderId="76" xfId="0" applyNumberFormat="1" applyFill="1" applyBorder="1" applyAlignment="1" applyProtection="1">
      <alignment horizontal="center"/>
    </xf>
    <xf numFmtId="171" fontId="0" fillId="0" borderId="76" xfId="0" applyNumberFormat="1" applyFill="1" applyBorder="1" applyAlignment="1" applyProtection="1">
      <alignment horizontal="center"/>
    </xf>
    <xf numFmtId="164" fontId="0" fillId="0" borderId="76" xfId="0" applyNumberFormat="1" applyFill="1" applyBorder="1" applyAlignment="1" applyProtection="1">
      <alignment horizontal="center"/>
    </xf>
    <xf numFmtId="171" fontId="0" fillId="3" borderId="76" xfId="2" applyNumberFormat="1" applyFont="1" applyFill="1" applyBorder="1" applyAlignment="1" applyProtection="1">
      <alignment horizontal="center"/>
    </xf>
    <xf numFmtId="172" fontId="8" fillId="3" borderId="77" xfId="0" applyNumberFormat="1" applyFont="1" applyFill="1" applyBorder="1" applyAlignment="1" applyProtection="1">
      <alignment horizontal="center"/>
    </xf>
    <xf numFmtId="164" fontId="0" fillId="0" borderId="74" xfId="0" applyNumberFormat="1" applyBorder="1" applyAlignment="1" applyProtection="1">
      <alignment horizontal="center"/>
      <protection locked="0"/>
    </xf>
    <xf numFmtId="2" fontId="0" fillId="3" borderId="78" xfId="0" applyNumberFormat="1" applyFill="1" applyBorder="1" applyAlignment="1" applyProtection="1">
      <alignment horizontal="center"/>
    </xf>
    <xf numFmtId="11" fontId="0" fillId="3" borderId="76" xfId="2" applyNumberFormat="1" applyFont="1" applyFill="1" applyBorder="1" applyAlignment="1" applyProtection="1">
      <alignment horizontal="center"/>
    </xf>
    <xf numFmtId="171" fontId="0" fillId="3" borderId="79" xfId="2" applyNumberFormat="1" applyFont="1" applyFill="1" applyBorder="1" applyAlignment="1" applyProtection="1">
      <alignment horizontal="center"/>
    </xf>
    <xf numFmtId="174" fontId="0" fillId="0" borderId="74" xfId="0" applyNumberFormat="1" applyBorder="1" applyAlignment="1" applyProtection="1">
      <alignment horizontal="center"/>
      <protection locked="0"/>
    </xf>
    <xf numFmtId="176" fontId="0" fillId="0" borderId="9" xfId="0" applyNumberFormat="1" applyFont="1" applyBorder="1" applyAlignment="1" applyProtection="1">
      <alignment horizontal="center" vertical="center" wrapText="1"/>
    </xf>
    <xf numFmtId="164" fontId="0" fillId="0" borderId="0" xfId="0" applyNumberFormat="1" applyFont="1" applyBorder="1" applyAlignment="1" applyProtection="1">
      <alignment horizontal="center" vertical="center" wrapText="1"/>
    </xf>
    <xf numFmtId="171" fontId="0" fillId="3" borderId="37" xfId="2" applyNumberFormat="1" applyFont="1" applyFill="1" applyBorder="1" applyAlignment="1" applyProtection="1">
      <alignment horizontal="center"/>
    </xf>
    <xf numFmtId="2" fontId="0" fillId="0" borderId="9" xfId="0" applyNumberFormat="1" applyFont="1" applyBorder="1" applyAlignment="1" applyProtection="1">
      <alignment horizontal="center" vertical="center" wrapText="1"/>
    </xf>
    <xf numFmtId="175" fontId="0" fillId="0" borderId="11" xfId="0" applyNumberFormat="1" applyBorder="1" applyAlignment="1" applyProtection="1">
      <alignment horizontal="center"/>
    </xf>
    <xf numFmtId="176" fontId="0" fillId="0" borderId="3" xfId="0" applyNumberFormat="1" applyFill="1" applyBorder="1" applyAlignment="1" applyProtection="1">
      <alignment horizontal="center"/>
    </xf>
    <xf numFmtId="176" fontId="0" fillId="0" borderId="4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  <protection locked="0"/>
    </xf>
    <xf numFmtId="2" fontId="0" fillId="0" borderId="4" xfId="0" applyNumberFormat="1" applyFont="1" applyFill="1" applyBorder="1" applyAlignment="1" applyProtection="1">
      <alignment horizontal="center"/>
    </xf>
    <xf numFmtId="2" fontId="0" fillId="0" borderId="4" xfId="0" applyNumberFormat="1" applyFont="1" applyFill="1" applyBorder="1" applyAlignment="1" applyProtection="1">
      <alignment horizontal="center" vertical="center"/>
    </xf>
    <xf numFmtId="2" fontId="0" fillId="0" borderId="4" xfId="0" applyNumberFormat="1" applyFill="1" applyBorder="1" applyAlignment="1" applyProtection="1">
      <alignment horizontal="center"/>
    </xf>
    <xf numFmtId="171" fontId="0" fillId="0" borderId="4" xfId="0" applyNumberFormat="1" applyFill="1" applyBorder="1" applyAlignment="1" applyProtection="1">
      <alignment horizontal="center"/>
    </xf>
    <xf numFmtId="10" fontId="0" fillId="0" borderId="4" xfId="2" applyNumberFormat="1" applyFont="1" applyFill="1" applyBorder="1" applyAlignment="1" applyProtection="1">
      <alignment horizontal="center"/>
    </xf>
    <xf numFmtId="172" fontId="8" fillId="0" borderId="4" xfId="0" applyNumberFormat="1" applyFont="1" applyFill="1" applyBorder="1" applyAlignment="1" applyProtection="1">
      <alignment horizontal="center"/>
    </xf>
    <xf numFmtId="172" fontId="8" fillId="0" borderId="2" xfId="0" applyNumberFormat="1" applyFont="1" applyFill="1" applyBorder="1" applyAlignment="1" applyProtection="1">
      <alignment horizontal="center"/>
    </xf>
    <xf numFmtId="174" fontId="0" fillId="0" borderId="73" xfId="0" applyNumberFormat="1" applyBorder="1" applyAlignment="1" applyProtection="1">
      <alignment horizontal="center"/>
      <protection locked="0"/>
    </xf>
    <xf numFmtId="174" fontId="0" fillId="0" borderId="70" xfId="0" applyNumberFormat="1" applyBorder="1" applyAlignment="1" applyProtection="1">
      <alignment horizontal="center"/>
      <protection locked="0"/>
    </xf>
    <xf numFmtId="174" fontId="0" fillId="0" borderId="72" xfId="0" applyNumberFormat="1" applyBorder="1" applyAlignment="1" applyProtection="1">
      <alignment horizontal="center"/>
      <protection locked="0"/>
    </xf>
    <xf numFmtId="172" fontId="8" fillId="3" borderId="73" xfId="0" applyNumberFormat="1" applyFont="1" applyFill="1" applyBorder="1" applyAlignment="1" applyProtection="1">
      <alignment horizontal="center"/>
    </xf>
    <xf numFmtId="164" fontId="0" fillId="0" borderId="73" xfId="0" applyNumberFormat="1" applyBorder="1" applyAlignment="1" applyProtection="1">
      <alignment horizontal="center"/>
      <protection locked="0"/>
    </xf>
    <xf numFmtId="164" fontId="0" fillId="0" borderId="70" xfId="0" applyNumberFormat="1" applyBorder="1" applyAlignment="1" applyProtection="1">
      <alignment horizontal="center"/>
      <protection locked="0"/>
    </xf>
    <xf numFmtId="164" fontId="0" fillId="0" borderId="72" xfId="0" applyNumberFormat="1" applyBorder="1" applyAlignment="1" applyProtection="1">
      <alignment horizontal="center"/>
      <protection locked="0"/>
    </xf>
    <xf numFmtId="2" fontId="0" fillId="3" borderId="80" xfId="0" applyNumberFormat="1" applyFill="1" applyBorder="1" applyAlignment="1" applyProtection="1">
      <alignment horizontal="center"/>
    </xf>
    <xf numFmtId="171" fontId="0" fillId="3" borderId="81" xfId="0" applyNumberFormat="1" applyFill="1" applyBorder="1" applyAlignment="1" applyProtection="1">
      <alignment horizontal="center"/>
    </xf>
    <xf numFmtId="171" fontId="0" fillId="0" borderId="81" xfId="0" applyNumberFormat="1" applyFill="1" applyBorder="1" applyAlignment="1" applyProtection="1">
      <alignment horizontal="center"/>
    </xf>
    <xf numFmtId="164" fontId="0" fillId="0" borderId="81" xfId="0" applyNumberFormat="1" applyFill="1" applyBorder="1" applyAlignment="1" applyProtection="1">
      <alignment horizontal="center"/>
    </xf>
    <xf numFmtId="11" fontId="0" fillId="3" borderId="81" xfId="2" applyNumberFormat="1" applyFont="1" applyFill="1" applyBorder="1" applyAlignment="1" applyProtection="1">
      <alignment horizontal="center"/>
    </xf>
    <xf numFmtId="171" fontId="0" fillId="3" borderId="82" xfId="2" applyNumberFormat="1" applyFont="1" applyFill="1" applyBorder="1" applyAlignment="1" applyProtection="1">
      <alignment horizontal="center"/>
    </xf>
    <xf numFmtId="172" fontId="8" fillId="3" borderId="83" xfId="0" applyNumberFormat="1" applyFont="1" applyFill="1" applyBorder="1" applyAlignment="1" applyProtection="1">
      <alignment horizontal="center"/>
    </xf>
    <xf numFmtId="170" fontId="0" fillId="0" borderId="33" xfId="0" applyNumberFormat="1" applyBorder="1" applyAlignment="1" applyProtection="1">
      <alignment horizontal="center"/>
      <protection locked="0"/>
    </xf>
    <xf numFmtId="170" fontId="0" fillId="0" borderId="84" xfId="0" applyNumberFormat="1" applyBorder="1" applyAlignment="1" applyProtection="1">
      <alignment horizontal="center"/>
      <protection locked="0"/>
    </xf>
    <xf numFmtId="172" fontId="8" fillId="3" borderId="33" xfId="0" applyNumberFormat="1" applyFont="1" applyFill="1" applyBorder="1" applyAlignment="1" applyProtection="1">
      <alignment horizontal="center"/>
    </xf>
    <xf numFmtId="173" fontId="0" fillId="0" borderId="33" xfId="0" applyNumberFormat="1" applyBorder="1" applyAlignment="1" applyProtection="1">
      <alignment horizontal="center"/>
      <protection locked="0"/>
    </xf>
    <xf numFmtId="173" fontId="0" fillId="0" borderId="84" xfId="0" applyNumberFormat="1" applyBorder="1" applyAlignment="1" applyProtection="1">
      <alignment horizontal="center"/>
      <protection locked="0"/>
    </xf>
    <xf numFmtId="172" fontId="8" fillId="3" borderId="85" xfId="0" applyNumberFormat="1" applyFont="1" applyFill="1" applyBorder="1" applyAlignment="1" applyProtection="1">
      <alignment horizontal="center"/>
    </xf>
    <xf numFmtId="164" fontId="0" fillId="0" borderId="49" xfId="0" applyNumberFormat="1" applyBorder="1" applyAlignment="1" applyProtection="1">
      <alignment horizontal="center"/>
      <protection locked="0"/>
    </xf>
    <xf numFmtId="164" fontId="0" fillId="0" borderId="85" xfId="0" applyNumberFormat="1" applyBorder="1" applyAlignment="1" applyProtection="1">
      <alignment horizontal="center"/>
      <protection locked="0"/>
    </xf>
    <xf numFmtId="2" fontId="0" fillId="3" borderId="86" xfId="0" applyNumberFormat="1" applyFill="1" applyBorder="1" applyAlignment="1" applyProtection="1">
      <alignment horizontal="center"/>
    </xf>
    <xf numFmtId="171" fontId="0" fillId="3" borderId="87" xfId="0" applyNumberFormat="1" applyFill="1" applyBorder="1" applyAlignment="1" applyProtection="1">
      <alignment horizontal="center"/>
    </xf>
    <xf numFmtId="171" fontId="0" fillId="0" borderId="87" xfId="0" applyNumberFormat="1" applyFill="1" applyBorder="1" applyAlignment="1" applyProtection="1">
      <alignment horizontal="center"/>
    </xf>
    <xf numFmtId="164" fontId="0" fillId="0" borderId="87" xfId="0" applyNumberFormat="1" applyFill="1" applyBorder="1" applyAlignment="1" applyProtection="1">
      <alignment horizontal="center"/>
    </xf>
    <xf numFmtId="11" fontId="0" fillId="3" borderId="87" xfId="2" applyNumberFormat="1" applyFont="1" applyFill="1" applyBorder="1" applyAlignment="1" applyProtection="1">
      <alignment horizontal="center"/>
    </xf>
    <xf numFmtId="171" fontId="0" fillId="3" borderId="88" xfId="2" applyNumberFormat="1" applyFont="1" applyFill="1" applyBorder="1" applyAlignment="1" applyProtection="1">
      <alignment horizontal="center"/>
    </xf>
    <xf numFmtId="172" fontId="8" fillId="3" borderId="89" xfId="0" applyNumberFormat="1" applyFont="1" applyFill="1" applyBorder="1" applyAlignment="1" applyProtection="1">
      <alignment horizontal="center"/>
    </xf>
    <xf numFmtId="173" fontId="0" fillId="0" borderId="73" xfId="0" applyNumberFormat="1" applyBorder="1" applyAlignment="1" applyProtection="1">
      <alignment horizontal="center"/>
      <protection locked="0"/>
    </xf>
    <xf numFmtId="173" fontId="0" fillId="0" borderId="70" xfId="0" applyNumberFormat="1" applyBorder="1" applyAlignment="1" applyProtection="1">
      <alignment horizontal="center"/>
      <protection locked="0"/>
    </xf>
    <xf numFmtId="173" fontId="0" fillId="0" borderId="72" xfId="0" applyNumberFormat="1" applyBorder="1" applyAlignment="1" applyProtection="1">
      <alignment horizontal="center"/>
      <protection locked="0"/>
    </xf>
    <xf numFmtId="173" fontId="0" fillId="0" borderId="90" xfId="0" applyNumberFormat="1" applyBorder="1" applyAlignment="1" applyProtection="1">
      <alignment horizontal="center"/>
      <protection locked="0"/>
    </xf>
    <xf numFmtId="172" fontId="8" fillId="3" borderId="84" xfId="0" applyNumberFormat="1" applyFont="1" applyFill="1" applyBorder="1" applyAlignment="1" applyProtection="1">
      <alignment horizontal="center"/>
    </xf>
    <xf numFmtId="164" fontId="0" fillId="0" borderId="84" xfId="0" applyNumberFormat="1" applyBorder="1" applyAlignment="1" applyProtection="1">
      <alignment horizontal="center"/>
      <protection locked="0"/>
    </xf>
    <xf numFmtId="164" fontId="0" fillId="0" borderId="33" xfId="0" applyNumberFormat="1" applyBorder="1" applyAlignment="1" applyProtection="1">
      <alignment horizontal="center"/>
      <protection locked="0"/>
    </xf>
    <xf numFmtId="164" fontId="0" fillId="0" borderId="90" xfId="0" applyNumberFormat="1" applyBorder="1" applyAlignment="1" applyProtection="1">
      <alignment horizontal="center"/>
      <protection locked="0"/>
    </xf>
    <xf numFmtId="2" fontId="0" fillId="3" borderId="75" xfId="0" applyNumberFormat="1" applyFill="1" applyBorder="1" applyAlignment="1" applyProtection="1">
      <alignment horizontal="center"/>
    </xf>
    <xf numFmtId="171" fontId="0" fillId="3" borderId="91" xfId="0" applyNumberFormat="1" applyFill="1" applyBorder="1" applyAlignment="1" applyProtection="1">
      <alignment horizontal="center"/>
    </xf>
    <xf numFmtId="171" fontId="0" fillId="0" borderId="91" xfId="0" applyNumberFormat="1" applyFill="1" applyBorder="1" applyAlignment="1" applyProtection="1">
      <alignment horizontal="center"/>
    </xf>
    <xf numFmtId="164" fontId="0" fillId="0" borderId="91" xfId="0" applyNumberFormat="1" applyFill="1" applyBorder="1" applyAlignment="1" applyProtection="1">
      <alignment horizontal="center"/>
    </xf>
    <xf numFmtId="11" fontId="0" fillId="3" borderId="91" xfId="2" applyNumberFormat="1" applyFont="1" applyFill="1" applyBorder="1" applyAlignment="1" applyProtection="1">
      <alignment horizontal="center"/>
    </xf>
    <xf numFmtId="171" fontId="0" fillId="3" borderId="92" xfId="2" applyNumberFormat="1" applyFont="1" applyFill="1" applyBorder="1" applyAlignment="1" applyProtection="1">
      <alignment horizontal="center"/>
    </xf>
    <xf numFmtId="172" fontId="8" fillId="3" borderId="93" xfId="0" applyNumberFormat="1" applyFont="1" applyFill="1" applyBorder="1" applyAlignment="1" applyProtection="1">
      <alignment horizontal="center"/>
    </xf>
    <xf numFmtId="11" fontId="0" fillId="3" borderId="64" xfId="2" applyNumberFormat="1" applyFont="1" applyFill="1" applyBorder="1" applyAlignment="1" applyProtection="1">
      <alignment horizontal="center"/>
    </xf>
    <xf numFmtId="1" fontId="0" fillId="0" borderId="94" xfId="0" applyNumberFormat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175" fontId="9" fillId="0" borderId="95" xfId="0" applyNumberFormat="1" applyFont="1" applyBorder="1" applyAlignment="1" applyProtection="1">
      <alignment horizontal="left"/>
    </xf>
    <xf numFmtId="164" fontId="0" fillId="0" borderId="95" xfId="0" applyNumberFormat="1" applyBorder="1" applyAlignment="1" applyProtection="1">
      <alignment horizontal="center"/>
      <protection locked="0"/>
    </xf>
    <xf numFmtId="2" fontId="0" fillId="0" borderId="95" xfId="0" applyNumberFormat="1" applyFont="1" applyBorder="1" applyAlignment="1" applyProtection="1">
      <alignment horizontal="center"/>
    </xf>
    <xf numFmtId="170" fontId="0" fillId="0" borderId="95" xfId="0" applyNumberFormat="1" applyFont="1" applyBorder="1" applyAlignment="1" applyProtection="1">
      <alignment horizontal="center"/>
    </xf>
    <xf numFmtId="171" fontId="0" fillId="2" borderId="95" xfId="0" applyNumberFormat="1" applyFill="1" applyBorder="1" applyAlignment="1" applyProtection="1">
      <alignment horizontal="center"/>
    </xf>
    <xf numFmtId="171" fontId="0" fillId="3" borderId="95" xfId="0" applyNumberFormat="1" applyFill="1" applyBorder="1" applyAlignment="1" applyProtection="1">
      <alignment horizontal="center"/>
    </xf>
    <xf numFmtId="171" fontId="0" fillId="0" borderId="95" xfId="1" applyNumberFormat="1" applyFont="1" applyFill="1" applyBorder="1" applyAlignment="1" applyProtection="1">
      <alignment horizontal="center"/>
    </xf>
    <xf numFmtId="164" fontId="0" fillId="0" borderId="95" xfId="1" applyNumberFormat="1" applyFont="1" applyFill="1" applyBorder="1" applyAlignment="1" applyProtection="1">
      <alignment horizontal="center"/>
    </xf>
    <xf numFmtId="171" fontId="0" fillId="3" borderId="95" xfId="2" applyNumberFormat="1" applyFont="1" applyFill="1" applyBorder="1" applyAlignment="1" applyProtection="1">
      <alignment horizontal="center"/>
    </xf>
    <xf numFmtId="172" fontId="8" fillId="3" borderId="95" xfId="0" applyNumberFormat="1" applyFont="1" applyFill="1" applyBorder="1" applyAlignment="1" applyProtection="1">
      <alignment horizontal="center"/>
    </xf>
    <xf numFmtId="2" fontId="0" fillId="3" borderId="95" xfId="0" applyNumberFormat="1" applyFill="1" applyBorder="1" applyAlignment="1" applyProtection="1">
      <alignment horizontal="center"/>
    </xf>
    <xf numFmtId="171" fontId="0" fillId="0" borderId="95" xfId="0" applyNumberFormat="1" applyFill="1" applyBorder="1" applyAlignment="1" applyProtection="1">
      <alignment horizontal="center"/>
    </xf>
    <xf numFmtId="164" fontId="0" fillId="0" borderId="95" xfId="0" applyNumberFormat="1" applyFill="1" applyBorder="1" applyAlignment="1" applyProtection="1">
      <alignment horizontal="center"/>
    </xf>
    <xf numFmtId="172" fontId="8" fillId="3" borderId="96" xfId="0" applyNumberFormat="1" applyFont="1" applyFill="1" applyBorder="1" applyAlignment="1" applyProtection="1">
      <alignment horizontal="center"/>
    </xf>
    <xf numFmtId="2" fontId="6" fillId="0" borderId="15" xfId="0" applyNumberFormat="1" applyFont="1" applyBorder="1" applyAlignment="1" applyProtection="1">
      <alignment horizontal="center"/>
    </xf>
    <xf numFmtId="1" fontId="0" fillId="0" borderId="6" xfId="0" applyNumberFormat="1" applyFont="1" applyBorder="1" applyAlignment="1" applyProtection="1">
      <alignment horizontal="center" vertical="center" wrapText="1"/>
    </xf>
    <xf numFmtId="175" fontId="9" fillId="0" borderId="6" xfId="0" applyNumberFormat="1" applyFont="1" applyBorder="1" applyAlignment="1" applyProtection="1">
      <alignment horizontal="center"/>
    </xf>
    <xf numFmtId="2" fontId="0" fillId="0" borderId="15" xfId="0" applyNumberFormat="1" applyFont="1" applyBorder="1" applyAlignment="1" applyProtection="1">
      <alignment horizontal="center"/>
    </xf>
    <xf numFmtId="174" fontId="0" fillId="0" borderId="15" xfId="0" applyNumberFormat="1" applyFont="1" applyBorder="1" applyAlignment="1" applyProtection="1">
      <alignment horizontal="center"/>
    </xf>
    <xf numFmtId="1" fontId="0" fillId="0" borderId="0" xfId="0" applyNumberFormat="1" applyFont="1" applyBorder="1" applyAlignment="1" applyProtection="1">
      <alignment horizontal="center" vertical="center" wrapText="1"/>
    </xf>
    <xf numFmtId="176" fontId="0" fillId="0" borderId="0" xfId="0" applyNumberFormat="1" applyFont="1" applyBorder="1" applyAlignment="1" applyProtection="1">
      <alignment horizontal="center" vertical="center" wrapText="1"/>
    </xf>
    <xf numFmtId="175" fontId="9" fillId="0" borderId="0" xfId="0" applyNumberFormat="1" applyFont="1" applyBorder="1" applyAlignment="1" applyProtection="1">
      <alignment horizontal="center"/>
    </xf>
    <xf numFmtId="2" fontId="0" fillId="0" borderId="17" xfId="0" applyNumberFormat="1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 vertical="center" wrapText="1"/>
    </xf>
    <xf numFmtId="173" fontId="0" fillId="0" borderId="17" xfId="0" applyNumberFormat="1" applyFont="1" applyBorder="1" applyAlignment="1" applyProtection="1">
      <alignment horizontal="center"/>
    </xf>
    <xf numFmtId="174" fontId="0" fillId="0" borderId="17" xfId="0" applyNumberFormat="1" applyFon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64" fontId="0" fillId="0" borderId="17" xfId="0" applyNumberFormat="1" applyFont="1" applyBorder="1" applyAlignment="1" applyProtection="1">
      <alignment horizontal="center"/>
    </xf>
    <xf numFmtId="175" fontId="9" fillId="0" borderId="0" xfId="0" applyNumberFormat="1" applyFont="1" applyBorder="1" applyAlignment="1" applyProtection="1">
      <alignment horizontal="left"/>
    </xf>
    <xf numFmtId="171" fontId="0" fillId="3" borderId="97" xfId="0" applyNumberFormat="1" applyFill="1" applyBorder="1" applyAlignment="1" applyProtection="1">
      <alignment horizontal="center"/>
    </xf>
    <xf numFmtId="171" fontId="0" fillId="0" borderId="37" xfId="1" applyNumberFormat="1" applyFont="1" applyFill="1" applyBorder="1" applyAlignment="1" applyProtection="1">
      <alignment horizontal="center"/>
    </xf>
    <xf numFmtId="164" fontId="0" fillId="0" borderId="97" xfId="1" applyNumberFormat="1" applyFont="1" applyFill="1" applyBorder="1" applyAlignment="1" applyProtection="1">
      <alignment horizontal="center"/>
    </xf>
    <xf numFmtId="171" fontId="0" fillId="3" borderId="97" xfId="2" applyNumberFormat="1" applyFont="1" applyFill="1" applyBorder="1" applyAlignment="1" applyProtection="1">
      <alignment horizontal="center"/>
    </xf>
    <xf numFmtId="172" fontId="8" fillId="3" borderId="98" xfId="0" applyNumberFormat="1" applyFont="1" applyFill="1" applyBorder="1" applyAlignment="1" applyProtection="1">
      <alignment horizontal="center"/>
    </xf>
    <xf numFmtId="2" fontId="0" fillId="3" borderId="99" xfId="0" applyNumberFormat="1" applyFill="1" applyBorder="1" applyAlignment="1" applyProtection="1">
      <alignment horizontal="center"/>
    </xf>
    <xf numFmtId="171" fontId="0" fillId="0" borderId="97" xfId="0" applyNumberFormat="1" applyFill="1" applyBorder="1" applyAlignment="1" applyProtection="1">
      <alignment horizontal="center"/>
    </xf>
    <xf numFmtId="164" fontId="0" fillId="0" borderId="97" xfId="0" applyNumberFormat="1" applyFill="1" applyBorder="1" applyAlignment="1" applyProtection="1">
      <alignment horizontal="center"/>
    </xf>
    <xf numFmtId="171" fontId="0" fillId="3" borderId="100" xfId="2" applyNumberFormat="1" applyFont="1" applyFill="1" applyBorder="1" applyAlignment="1" applyProtection="1">
      <alignment horizontal="center"/>
    </xf>
    <xf numFmtId="174" fontId="0" fillId="0" borderId="101" xfId="0" applyNumberFormat="1" applyBorder="1" applyAlignment="1" applyProtection="1">
      <alignment horizontal="center"/>
      <protection locked="0"/>
    </xf>
    <xf numFmtId="171" fontId="0" fillId="0" borderId="97" xfId="1" applyNumberFormat="1" applyFont="1" applyFill="1" applyBorder="1" applyAlignment="1" applyProtection="1">
      <alignment horizontal="center"/>
    </xf>
    <xf numFmtId="164" fontId="0" fillId="0" borderId="101" xfId="0" applyNumberFormat="1" applyBorder="1" applyAlignment="1" applyProtection="1">
      <alignment horizontal="center"/>
      <protection locked="0"/>
    </xf>
    <xf numFmtId="171" fontId="0" fillId="2" borderId="70" xfId="0" applyNumberFormat="1" applyFill="1" applyBorder="1" applyAlignment="1" applyProtection="1">
      <alignment horizontal="center"/>
    </xf>
    <xf numFmtId="2" fontId="6" fillId="0" borderId="105" xfId="0" applyNumberFormat="1" applyFont="1" applyBorder="1" applyAlignment="1" applyProtection="1">
      <alignment horizontal="center"/>
    </xf>
    <xf numFmtId="2" fontId="6" fillId="0" borderId="106" xfId="0" applyNumberFormat="1" applyFont="1" applyBorder="1" applyAlignment="1" applyProtection="1">
      <alignment horizontal="center"/>
    </xf>
    <xf numFmtId="2" fontId="6" fillId="0" borderId="107" xfId="0" applyNumberFormat="1" applyFont="1" applyBorder="1" applyAlignment="1" applyProtection="1">
      <alignment horizontal="center"/>
    </xf>
    <xf numFmtId="1" fontId="0" fillId="0" borderId="108" xfId="0" applyNumberFormat="1" applyBorder="1" applyAlignment="1" applyProtection="1">
      <alignment horizontal="center"/>
    </xf>
    <xf numFmtId="175" fontId="9" fillId="0" borderId="11" xfId="0" applyNumberFormat="1" applyFont="1" applyBorder="1" applyAlignment="1" applyProtection="1">
      <alignment horizontal="left"/>
    </xf>
    <xf numFmtId="164" fontId="0" fillId="0" borderId="109" xfId="0" applyNumberFormat="1" applyBorder="1" applyAlignment="1" applyProtection="1">
      <alignment horizontal="center"/>
      <protection locked="0"/>
    </xf>
    <xf numFmtId="164" fontId="0" fillId="0" borderId="56" xfId="0" applyNumberFormat="1" applyFont="1" applyBorder="1" applyAlignment="1" applyProtection="1">
      <alignment horizontal="center"/>
    </xf>
    <xf numFmtId="164" fontId="0" fillId="0" borderId="108" xfId="0" applyNumberFormat="1" applyFont="1" applyBorder="1" applyAlignment="1" applyProtection="1">
      <alignment horizontal="center"/>
    </xf>
    <xf numFmtId="164" fontId="0" fillId="0" borderId="58" xfId="0" applyNumberFormat="1" applyFont="1" applyBorder="1" applyAlignment="1" applyProtection="1">
      <alignment horizontal="center"/>
    </xf>
    <xf numFmtId="171" fontId="0" fillId="2" borderId="73" xfId="0" applyNumberFormat="1" applyFill="1" applyBorder="1" applyAlignment="1" applyProtection="1">
      <alignment horizontal="center"/>
    </xf>
    <xf numFmtId="171" fontId="0" fillId="3" borderId="45" xfId="2" applyNumberFormat="1" applyFont="1" applyFill="1" applyBorder="1" applyAlignment="1" applyProtection="1">
      <alignment horizontal="center"/>
    </xf>
    <xf numFmtId="176" fontId="0" fillId="0" borderId="13" xfId="0" applyNumberFormat="1" applyBorder="1" applyAlignment="1" applyProtection="1">
      <alignment horizontal="center"/>
    </xf>
    <xf numFmtId="1" fontId="0" fillId="0" borderId="13" xfId="0" applyNumberFormat="1" applyBorder="1" applyAlignment="1" applyProtection="1">
      <alignment horizontal="center"/>
    </xf>
    <xf numFmtId="175" fontId="9" fillId="0" borderId="14" xfId="0" applyNumberFormat="1" applyFont="1" applyBorder="1" applyAlignment="1" applyProtection="1">
      <alignment horizontal="left"/>
    </xf>
    <xf numFmtId="173" fontId="0" fillId="0" borderId="41" xfId="0" applyNumberFormat="1" applyBorder="1" applyAlignment="1" applyProtection="1">
      <alignment horizontal="center"/>
      <protection locked="0"/>
    </xf>
    <xf numFmtId="173" fontId="0" fillId="0" borderId="110" xfId="0" applyNumberFormat="1" applyBorder="1" applyAlignment="1" applyProtection="1">
      <alignment horizontal="center"/>
      <protection locked="0"/>
    </xf>
    <xf numFmtId="170" fontId="0" fillId="0" borderId="57" xfId="0" applyNumberFormat="1" applyFont="1" applyBorder="1" applyAlignment="1" applyProtection="1">
      <alignment horizontal="center"/>
    </xf>
    <xf numFmtId="173" fontId="0" fillId="0" borderId="111" xfId="0" applyNumberFormat="1" applyFont="1" applyBorder="1" applyAlignment="1" applyProtection="1">
      <alignment horizontal="center"/>
    </xf>
    <xf numFmtId="173" fontId="0" fillId="0" borderId="60" xfId="0" applyNumberFormat="1" applyFont="1" applyBorder="1" applyAlignment="1" applyProtection="1">
      <alignment horizontal="center"/>
    </xf>
    <xf numFmtId="171" fontId="0" fillId="2" borderId="14" xfId="0" applyNumberFormat="1" applyFill="1" applyBorder="1" applyAlignment="1" applyProtection="1">
      <alignment horizontal="center"/>
    </xf>
    <xf numFmtId="171" fontId="0" fillId="0" borderId="64" xfId="1" applyNumberFormat="1" applyFont="1" applyFill="1" applyBorder="1" applyAlignment="1" applyProtection="1">
      <alignment horizontal="center"/>
    </xf>
    <xf numFmtId="164" fontId="0" fillId="0" borderId="64" xfId="1" applyNumberFormat="1" applyFont="1" applyFill="1" applyBorder="1" applyAlignment="1" applyProtection="1">
      <alignment horizontal="center"/>
    </xf>
    <xf numFmtId="2" fontId="6" fillId="0" borderId="112" xfId="0" applyNumberFormat="1" applyFont="1" applyBorder="1" applyAlignment="1" applyProtection="1">
      <alignment horizontal="center"/>
    </xf>
    <xf numFmtId="164" fontId="2" fillId="0" borderId="1" xfId="0" applyNumberFormat="1" applyFont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</xf>
    <xf numFmtId="165" fontId="4" fillId="0" borderId="1" xfId="0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 vertical="center"/>
    </xf>
    <xf numFmtId="164" fontId="5" fillId="0" borderId="2" xfId="0" applyNumberFormat="1" applyFont="1" applyBorder="1" applyAlignment="1" applyProtection="1">
      <alignment horizontal="center" vertical="center"/>
    </xf>
    <xf numFmtId="166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4" xfId="0" applyNumberFormat="1" applyFont="1" applyBorder="1" applyAlignment="1" applyProtection="1">
      <alignment horizontal="center" vertical="center" wrapText="1"/>
      <protection locked="0"/>
    </xf>
    <xf numFmtId="167" fontId="6" fillId="0" borderId="2" xfId="0" applyNumberFormat="1" applyFont="1" applyBorder="1" applyAlignment="1" applyProtection="1">
      <alignment horizontal="center" vertical="center" wrapText="1"/>
      <protection locked="0"/>
    </xf>
    <xf numFmtId="168" fontId="6" fillId="0" borderId="3" xfId="0" applyNumberFormat="1" applyFont="1" applyBorder="1" applyAlignment="1" applyProtection="1">
      <alignment horizontal="center" vertical="center" wrapText="1"/>
      <protection locked="0"/>
    </xf>
    <xf numFmtId="168" fontId="6" fillId="0" borderId="4" xfId="0" applyNumberFormat="1" applyFont="1" applyBorder="1" applyAlignment="1" applyProtection="1">
      <alignment horizontal="center" vertical="center" wrapText="1"/>
      <protection locked="0"/>
    </xf>
    <xf numFmtId="168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wrapText="1"/>
    </xf>
    <xf numFmtId="0" fontId="6" fillId="0" borderId="21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6" fillId="0" borderId="20" xfId="0" applyFont="1" applyBorder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center" vertical="center" wrapText="1"/>
    </xf>
    <xf numFmtId="49" fontId="4" fillId="0" borderId="9" xfId="0" applyNumberFormat="1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/>
    </xf>
    <xf numFmtId="0" fontId="6" fillId="0" borderId="113" xfId="0" applyFont="1" applyBorder="1" applyAlignment="1" applyProtection="1">
      <alignment horizontal="center" vertical="center" wrapText="1"/>
    </xf>
    <xf numFmtId="0" fontId="6" fillId="0" borderId="114" xfId="0" applyFont="1" applyBorder="1" applyAlignment="1" applyProtection="1">
      <alignment horizontal="center" vertical="center" wrapText="1"/>
    </xf>
    <xf numFmtId="0" fontId="6" fillId="0" borderId="59" xfId="0" applyFont="1" applyBorder="1" applyAlignment="1" applyProtection="1">
      <alignment horizontal="center" vertical="center" wrapText="1"/>
    </xf>
    <xf numFmtId="0" fontId="6" fillId="0" borderId="115" xfId="0" applyFont="1" applyBorder="1" applyAlignment="1" applyProtection="1">
      <alignment horizontal="center" vertical="center" wrapText="1"/>
    </xf>
    <xf numFmtId="0" fontId="6" fillId="0" borderId="116" xfId="0" applyFont="1" applyBorder="1" applyAlignment="1" applyProtection="1">
      <alignment horizontal="center" vertical="center" wrapText="1"/>
    </xf>
    <xf numFmtId="0" fontId="6" fillId="0" borderId="62" xfId="0" applyFont="1" applyBorder="1" applyAlignment="1" applyProtection="1">
      <alignment horizontal="center" vertical="center" wrapText="1"/>
    </xf>
    <xf numFmtId="2" fontId="3" fillId="0" borderId="94" xfId="0" applyNumberFormat="1" applyFont="1" applyBorder="1" applyAlignment="1" applyProtection="1">
      <alignment horizontal="center" vertical="center" wrapText="1"/>
    </xf>
    <xf numFmtId="2" fontId="3" fillId="0" borderId="95" xfId="0" applyNumberFormat="1" applyFont="1" applyBorder="1" applyAlignment="1" applyProtection="1">
      <alignment horizontal="center" vertical="center" wrapText="1"/>
    </xf>
    <xf numFmtId="2" fontId="3" fillId="0" borderId="96" xfId="0" applyNumberFormat="1" applyFont="1" applyBorder="1" applyAlignment="1" applyProtection="1">
      <alignment horizontal="center" vertical="center" wrapText="1"/>
    </xf>
    <xf numFmtId="2" fontId="6" fillId="0" borderId="16" xfId="0" applyNumberFormat="1" applyFont="1" applyBorder="1" applyAlignment="1" applyProtection="1">
      <alignment horizontal="center" vertical="center" wrapText="1"/>
    </xf>
    <xf numFmtId="2" fontId="6" fillId="0" borderId="21" xfId="0" applyNumberFormat="1" applyFont="1" applyBorder="1" applyAlignment="1" applyProtection="1">
      <alignment horizontal="center" vertical="center" wrapText="1"/>
    </xf>
    <xf numFmtId="164" fontId="6" fillId="0" borderId="16" xfId="0" applyNumberFormat="1" applyFont="1" applyBorder="1" applyAlignment="1" applyProtection="1">
      <alignment horizontal="center" vertical="center" wrapText="1"/>
    </xf>
    <xf numFmtId="164" fontId="6" fillId="0" borderId="21" xfId="0" applyNumberFormat="1" applyFont="1" applyBorder="1" applyAlignment="1" applyProtection="1">
      <alignment horizontal="center" vertical="center" wrapText="1"/>
    </xf>
    <xf numFmtId="164" fontId="6" fillId="0" borderId="19" xfId="0" applyNumberFormat="1" applyFont="1" applyBorder="1" applyAlignment="1" applyProtection="1">
      <alignment horizontal="center" vertical="center" wrapText="1"/>
    </xf>
    <xf numFmtId="164" fontId="6" fillId="0" borderId="23" xfId="0" applyNumberFormat="1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justify" vertical="center"/>
    </xf>
    <xf numFmtId="2" fontId="6" fillId="0" borderId="22" xfId="0" applyNumberFormat="1" applyFont="1" applyBorder="1" applyAlignment="1" applyProtection="1">
      <alignment horizontal="center" vertical="center" wrapText="1"/>
    </xf>
    <xf numFmtId="2" fontId="3" fillId="0" borderId="3" xfId="0" applyNumberFormat="1" applyFont="1" applyBorder="1" applyAlignment="1" applyProtection="1">
      <alignment horizontal="center" vertical="center" wrapText="1"/>
    </xf>
    <xf numFmtId="2" fontId="3" fillId="0" borderId="4" xfId="0" applyNumberFormat="1" applyFont="1" applyBorder="1" applyAlignment="1" applyProtection="1">
      <alignment horizontal="center" vertical="center" wrapText="1"/>
    </xf>
    <xf numFmtId="2" fontId="3" fillId="0" borderId="2" xfId="0" applyNumberFormat="1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justify" vertical="center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justify" vertical="center"/>
    </xf>
    <xf numFmtId="2" fontId="3" fillId="0" borderId="48" xfId="0" applyNumberFormat="1" applyFont="1" applyBorder="1" applyAlignment="1" applyProtection="1">
      <alignment horizontal="center" vertical="center" wrapText="1"/>
    </xf>
    <xf numFmtId="2" fontId="6" fillId="0" borderId="56" xfId="0" applyNumberFormat="1" applyFont="1" applyBorder="1" applyAlignment="1" applyProtection="1">
      <alignment horizontal="center" vertical="center" wrapText="1"/>
    </xf>
    <xf numFmtId="2" fontId="6" fillId="0" borderId="57" xfId="0" applyNumberFormat="1" applyFont="1" applyBorder="1" applyAlignment="1" applyProtection="1">
      <alignment horizontal="center" vertical="center" wrapText="1"/>
    </xf>
    <xf numFmtId="2" fontId="6" fillId="0" borderId="58" xfId="0" applyNumberFormat="1" applyFont="1" applyBorder="1" applyAlignment="1" applyProtection="1">
      <alignment horizontal="center" vertical="center" wrapText="1"/>
    </xf>
    <xf numFmtId="2" fontId="6" fillId="0" borderId="60" xfId="0" applyNumberFormat="1" applyFont="1" applyBorder="1" applyAlignment="1" applyProtection="1">
      <alignment horizontal="center" vertical="center" wrapText="1"/>
    </xf>
    <xf numFmtId="0" fontId="6" fillId="0" borderId="20" xfId="0" applyFont="1" applyBorder="1" applyAlignment="1" applyProtection="1">
      <alignment horizontal="justify" vertical="center"/>
    </xf>
    <xf numFmtId="0" fontId="6" fillId="0" borderId="24" xfId="0" applyFont="1" applyBorder="1" applyAlignment="1" applyProtection="1">
      <alignment horizontal="justify" vertical="center"/>
    </xf>
    <xf numFmtId="0" fontId="6" fillId="0" borderId="58" xfId="0" applyFont="1" applyBorder="1" applyAlignment="1" applyProtection="1">
      <alignment horizontal="center" vertical="center" wrapText="1"/>
    </xf>
    <xf numFmtId="0" fontId="6" fillId="0" borderId="60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justify" vertical="center"/>
    </xf>
    <xf numFmtId="2" fontId="6" fillId="0" borderId="61" xfId="0" applyNumberFormat="1" applyFont="1" applyBorder="1" applyAlignment="1" applyProtection="1">
      <alignment horizontal="center" vertical="center" wrapText="1"/>
    </xf>
    <xf numFmtId="2" fontId="6" fillId="0" borderId="59" xfId="0" applyNumberFormat="1" applyFont="1" applyBorder="1" applyAlignment="1" applyProtection="1">
      <alignment horizontal="center" vertical="center" wrapText="1"/>
    </xf>
    <xf numFmtId="2" fontId="6" fillId="0" borderId="62" xfId="0" applyNumberFormat="1" applyFont="1" applyBorder="1" applyAlignment="1" applyProtection="1">
      <alignment horizontal="center" vertical="center" wrapText="1"/>
    </xf>
    <xf numFmtId="2" fontId="6" fillId="0" borderId="67" xfId="0" applyNumberFormat="1" applyFont="1" applyBorder="1" applyAlignment="1" applyProtection="1">
      <alignment horizontal="center" vertical="center" wrapText="1"/>
    </xf>
    <xf numFmtId="2" fontId="6" fillId="0" borderId="20" xfId="0" applyNumberFormat="1" applyFont="1" applyBorder="1" applyAlignment="1" applyProtection="1">
      <alignment horizontal="center" vertical="center" wrapText="1"/>
    </xf>
    <xf numFmtId="2" fontId="6" fillId="0" borderId="24" xfId="0" applyNumberFormat="1" applyFont="1" applyBorder="1" applyAlignment="1" applyProtection="1">
      <alignment horizontal="center" vertical="center" wrapText="1"/>
    </xf>
    <xf numFmtId="0" fontId="6" fillId="0" borderId="67" xfId="0" applyFont="1" applyBorder="1" applyAlignment="1" applyProtection="1">
      <alignment horizontal="center" vertical="center" wrapText="1"/>
    </xf>
    <xf numFmtId="0" fontId="6" fillId="0" borderId="61" xfId="0" applyFont="1" applyBorder="1" applyAlignment="1" applyProtection="1">
      <alignment horizontal="center" vertical="center" wrapText="1"/>
    </xf>
    <xf numFmtId="2" fontId="3" fillId="0" borderId="9" xfId="0" applyNumberFormat="1" applyFont="1" applyBorder="1" applyAlignment="1" applyProtection="1">
      <alignment horizontal="center" vertical="center" wrapText="1"/>
    </xf>
    <xf numFmtId="2" fontId="3" fillId="0" borderId="0" xfId="0" applyNumberFormat="1" applyFont="1" applyBorder="1" applyAlignment="1" applyProtection="1">
      <alignment horizontal="center" vertical="center" wrapText="1"/>
    </xf>
    <xf numFmtId="2" fontId="3" fillId="0" borderId="11" xfId="0" applyNumberFormat="1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/>
    </xf>
    <xf numFmtId="2" fontId="6" fillId="0" borderId="102" xfId="0" applyNumberFormat="1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horizontal="center" vertical="center" wrapText="1"/>
    </xf>
    <xf numFmtId="164" fontId="6" fillId="0" borderId="5" xfId="0" applyNumberFormat="1" applyFont="1" applyBorder="1" applyAlignment="1" applyProtection="1">
      <alignment horizontal="center" vertical="center"/>
    </xf>
    <xf numFmtId="164" fontId="6" fillId="0" borderId="6" xfId="0" applyNumberFormat="1" applyFont="1" applyBorder="1" applyAlignment="1" applyProtection="1">
      <alignment horizontal="center" vertical="center"/>
    </xf>
    <xf numFmtId="164" fontId="6" fillId="0" borderId="8" xfId="0" applyNumberFormat="1" applyFont="1" applyBorder="1" applyAlignment="1" applyProtection="1">
      <alignment horizontal="center" vertical="center"/>
    </xf>
    <xf numFmtId="164" fontId="6" fillId="0" borderId="12" xfId="0" applyNumberFormat="1" applyFont="1" applyBorder="1" applyAlignment="1" applyProtection="1">
      <alignment horizontal="center" vertical="center"/>
    </xf>
    <xf numFmtId="164" fontId="6" fillId="0" borderId="13" xfId="0" applyNumberFormat="1" applyFont="1" applyBorder="1" applyAlignment="1" applyProtection="1">
      <alignment horizontal="center" vertical="center"/>
    </xf>
    <xf numFmtId="164" fontId="6" fillId="0" borderId="14" xfId="0" applyNumberFormat="1" applyFont="1" applyBorder="1" applyAlignment="1" applyProtection="1">
      <alignment horizontal="center" vertical="center"/>
    </xf>
    <xf numFmtId="2" fontId="0" fillId="0" borderId="5" xfId="0" applyNumberFormat="1" applyBorder="1" applyAlignment="1" applyProtection="1">
      <alignment horizontal="left" vertical="center"/>
      <protection locked="0"/>
    </xf>
    <xf numFmtId="2" fontId="0" fillId="0" borderId="6" xfId="0" applyNumberFormat="1" applyBorder="1" applyAlignment="1" applyProtection="1">
      <alignment horizontal="left" vertical="center"/>
      <protection locked="0"/>
    </xf>
    <xf numFmtId="2" fontId="0" fillId="0" borderId="8" xfId="0" applyNumberFormat="1" applyBorder="1" applyAlignment="1" applyProtection="1">
      <alignment horizontal="left" vertical="center"/>
      <protection locked="0"/>
    </xf>
    <xf numFmtId="2" fontId="0" fillId="0" borderId="12" xfId="0" applyNumberFormat="1" applyBorder="1" applyAlignment="1" applyProtection="1">
      <alignment horizontal="left" vertical="center"/>
      <protection locked="0"/>
    </xf>
    <xf numFmtId="2" fontId="0" fillId="0" borderId="13" xfId="0" applyNumberFormat="1" applyBorder="1" applyAlignment="1" applyProtection="1">
      <alignment horizontal="left" vertical="center"/>
      <protection locked="0"/>
    </xf>
    <xf numFmtId="2" fontId="0" fillId="0" borderId="14" xfId="0" applyNumberFormat="1" applyBorder="1" applyAlignment="1" applyProtection="1">
      <alignment horizontal="left" vertical="center"/>
      <protection locked="0"/>
    </xf>
    <xf numFmtId="0" fontId="6" fillId="0" borderId="22" xfId="0" applyFont="1" applyBorder="1" applyAlignment="1" applyProtection="1">
      <alignment horizontal="center" vertical="center"/>
    </xf>
    <xf numFmtId="0" fontId="6" fillId="0" borderId="104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justify" vertical="center"/>
    </xf>
    <xf numFmtId="2" fontId="0" fillId="0" borderId="1" xfId="0" applyNumberFormat="1" applyFont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/>
      <protection locked="0"/>
    </xf>
    <xf numFmtId="14" fontId="0" fillId="0" borderId="6" xfId="0" applyNumberFormat="1" applyBorder="1" applyAlignment="1" applyProtection="1">
      <alignment horizontal="center" vertical="center"/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14" fontId="0" fillId="0" borderId="13" xfId="0" applyNumberFormat="1" applyBorder="1" applyAlignment="1" applyProtection="1">
      <alignment horizontal="center"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2" fontId="0" fillId="0" borderId="5" xfId="0" applyNumberFormat="1" applyBorder="1" applyAlignment="1" applyProtection="1">
      <alignment horizontal="center" vertical="center"/>
      <protection locked="0"/>
    </xf>
    <xf numFmtId="2" fontId="0" fillId="0" borderId="6" xfId="0" applyNumberFormat="1" applyBorder="1" applyAlignment="1" applyProtection="1">
      <alignment horizontal="center" vertical="center"/>
      <protection locked="0"/>
    </xf>
    <xf numFmtId="2" fontId="0" fillId="0" borderId="8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14" xfId="0" applyNumberFormat="1" applyBorder="1" applyAlignment="1" applyProtection="1">
      <alignment horizontal="center" vertical="center"/>
      <protection locked="0"/>
    </xf>
    <xf numFmtId="164" fontId="6" fillId="0" borderId="22" xfId="0" applyNumberFormat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164" fontId="6" fillId="0" borderId="9" xfId="0" applyNumberFormat="1" applyFont="1" applyBorder="1" applyAlignment="1" applyProtection="1">
      <alignment horizontal="center" vertical="center"/>
    </xf>
    <xf numFmtId="164" fontId="6" fillId="0" borderId="0" xfId="0" applyNumberFormat="1" applyFont="1" applyBorder="1" applyAlignment="1" applyProtection="1">
      <alignment horizontal="center" vertical="center"/>
    </xf>
    <xf numFmtId="164" fontId="6" fillId="0" borderId="11" xfId="0" applyNumberFormat="1" applyFont="1" applyBorder="1" applyAlignment="1" applyProtection="1">
      <alignment horizontal="center" vertical="center"/>
    </xf>
    <xf numFmtId="2" fontId="10" fillId="0" borderId="5" xfId="0" applyNumberFormat="1" applyFont="1" applyBorder="1" applyAlignment="1" applyProtection="1">
      <alignment horizontal="left" vertical="center"/>
      <protection locked="0"/>
    </xf>
    <xf numFmtId="2" fontId="10" fillId="0" borderId="6" xfId="0" applyNumberFormat="1" applyFont="1" applyBorder="1" applyAlignment="1" applyProtection="1">
      <alignment horizontal="left" vertical="center"/>
      <protection locked="0"/>
    </xf>
    <xf numFmtId="2" fontId="10" fillId="0" borderId="8" xfId="0" applyNumberFormat="1" applyFont="1" applyBorder="1" applyAlignment="1" applyProtection="1">
      <alignment horizontal="left" vertical="center"/>
      <protection locked="0"/>
    </xf>
    <xf numFmtId="2" fontId="10" fillId="0" borderId="9" xfId="0" applyNumberFormat="1" applyFont="1" applyBorder="1" applyAlignment="1" applyProtection="1">
      <alignment horizontal="left" vertical="center"/>
      <protection locked="0"/>
    </xf>
    <xf numFmtId="2" fontId="10" fillId="0" borderId="0" xfId="0" applyNumberFormat="1" applyFont="1" applyBorder="1" applyAlignment="1" applyProtection="1">
      <alignment horizontal="left" vertical="center"/>
      <protection locked="0"/>
    </xf>
    <xf numFmtId="2" fontId="10" fillId="0" borderId="11" xfId="0" applyNumberFormat="1" applyFont="1" applyBorder="1" applyAlignment="1" applyProtection="1">
      <alignment horizontal="left" vertical="center"/>
      <protection locked="0"/>
    </xf>
    <xf numFmtId="2" fontId="10" fillId="0" borderId="12" xfId="0" applyNumberFormat="1" applyFont="1" applyBorder="1" applyAlignment="1" applyProtection="1">
      <alignment horizontal="left" vertical="center"/>
      <protection locked="0"/>
    </xf>
    <xf numFmtId="2" fontId="10" fillId="0" borderId="13" xfId="0" applyNumberFormat="1" applyFont="1" applyBorder="1" applyAlignment="1" applyProtection="1">
      <alignment horizontal="left" vertical="center"/>
      <protection locked="0"/>
    </xf>
    <xf numFmtId="2" fontId="10" fillId="0" borderId="14" xfId="0" applyNumberFormat="1" applyFont="1" applyBorder="1" applyAlignment="1" applyProtection="1">
      <alignment horizontal="left" vertical="center"/>
      <protection locked="0"/>
    </xf>
    <xf numFmtId="2" fontId="11" fillId="0" borderId="5" xfId="0" applyNumberFormat="1" applyFont="1" applyBorder="1" applyAlignment="1" applyProtection="1">
      <alignment horizontal="left" vertical="center"/>
      <protection locked="0"/>
    </xf>
    <xf numFmtId="2" fontId="11" fillId="0" borderId="6" xfId="0" applyNumberFormat="1" applyFont="1" applyBorder="1" applyAlignment="1" applyProtection="1">
      <alignment horizontal="left" vertical="center"/>
      <protection locked="0"/>
    </xf>
    <xf numFmtId="2" fontId="11" fillId="0" borderId="8" xfId="0" applyNumberFormat="1" applyFont="1" applyBorder="1" applyAlignment="1" applyProtection="1">
      <alignment horizontal="left" vertical="center"/>
      <protection locked="0"/>
    </xf>
    <xf numFmtId="2" fontId="11" fillId="0" borderId="12" xfId="0" applyNumberFormat="1" applyFont="1" applyBorder="1" applyAlignment="1" applyProtection="1">
      <alignment horizontal="left" vertical="center"/>
      <protection locked="0"/>
    </xf>
    <xf numFmtId="2" fontId="11" fillId="0" borderId="13" xfId="0" applyNumberFormat="1" applyFont="1" applyBorder="1" applyAlignment="1" applyProtection="1">
      <alignment horizontal="left" vertical="center"/>
      <protection locked="0"/>
    </xf>
    <xf numFmtId="2" fontId="11" fillId="0" borderId="14" xfId="0" applyNumberFormat="1" applyFont="1" applyBorder="1" applyAlignment="1" applyProtection="1">
      <alignment horizontal="left" vertical="center"/>
      <protection locked="0"/>
    </xf>
    <xf numFmtId="2" fontId="6" fillId="0" borderId="103" xfId="0" applyNumberFormat="1" applyFont="1" applyBorder="1" applyAlignment="1" applyProtection="1">
      <alignment horizontal="center" vertical="center" wrapText="1"/>
    </xf>
    <xf numFmtId="0" fontId="6" fillId="0" borderId="108" xfId="0" applyFont="1" applyBorder="1" applyAlignment="1" applyProtection="1">
      <alignment horizontal="justify" vertical="center"/>
    </xf>
    <xf numFmtId="0" fontId="6" fillId="0" borderId="111" xfId="0" applyFont="1" applyBorder="1" applyAlignment="1" applyProtection="1">
      <alignment horizontal="justify" vertical="center"/>
    </xf>
    <xf numFmtId="0" fontId="6" fillId="0" borderId="113" xfId="0" applyFont="1" applyBorder="1" applyProtection="1"/>
    <xf numFmtId="0" fontId="6" fillId="0" borderId="114" xfId="0" applyFont="1" applyBorder="1" applyProtection="1"/>
    <xf numFmtId="164" fontId="6" fillId="0" borderId="114" xfId="0" applyNumberFormat="1" applyFont="1" applyBorder="1" applyProtection="1"/>
    <xf numFmtId="0" fontId="0" fillId="0" borderId="114" xfId="0" applyBorder="1" applyProtection="1"/>
    <xf numFmtId="2" fontId="0" fillId="0" borderId="114" xfId="0" applyNumberFormat="1" applyBorder="1" applyProtection="1"/>
    <xf numFmtId="0" fontId="6" fillId="0" borderId="59" xfId="0" applyFont="1" applyBorder="1" applyAlignment="1" applyProtection="1">
      <alignment horizontal="left"/>
    </xf>
    <xf numFmtId="0" fontId="0" fillId="0" borderId="117" xfId="0" applyBorder="1" applyProtection="1"/>
    <xf numFmtId="2" fontId="0" fillId="0" borderId="118" xfId="0" applyNumberFormat="1" applyBorder="1" applyAlignment="1" applyProtection="1"/>
    <xf numFmtId="49" fontId="4" fillId="0" borderId="117" xfId="0" applyNumberFormat="1" applyFont="1" applyBorder="1" applyAlignment="1" applyProtection="1">
      <alignment horizontal="left"/>
      <protection locked="0"/>
    </xf>
    <xf numFmtId="0" fontId="4" fillId="0" borderId="118" xfId="0" applyFont="1" applyBorder="1" applyAlignment="1" applyProtection="1">
      <alignment horizontal="left"/>
    </xf>
    <xf numFmtId="2" fontId="0" fillId="0" borderId="118" xfId="0" applyNumberFormat="1" applyBorder="1" applyProtection="1"/>
    <xf numFmtId="0" fontId="0" fillId="0" borderId="115" xfId="0" applyBorder="1" applyProtection="1"/>
    <xf numFmtId="0" fontId="0" fillId="0" borderId="116" xfId="0" applyBorder="1" applyProtection="1"/>
    <xf numFmtId="164" fontId="0" fillId="0" borderId="116" xfId="0" applyNumberFormat="1" applyBorder="1" applyProtection="1"/>
    <xf numFmtId="2" fontId="0" fillId="0" borderId="116" xfId="0" applyNumberFormat="1" applyBorder="1" applyProtection="1"/>
    <xf numFmtId="2" fontId="0" fillId="0" borderId="62" xfId="0" applyNumberFormat="1" applyBorder="1" applyProtection="1"/>
    <xf numFmtId="170" fontId="0" fillId="0" borderId="16" xfId="0" applyNumberFormat="1" applyBorder="1" applyAlignment="1" applyProtection="1">
      <alignment horizontal="center"/>
      <protection locked="0"/>
    </xf>
    <xf numFmtId="173" fontId="0" fillId="0" borderId="119" xfId="0" applyNumberFormat="1" applyBorder="1" applyAlignment="1" applyProtection="1">
      <alignment horizontal="center"/>
      <protection locked="0"/>
    </xf>
    <xf numFmtId="174" fontId="0" fillId="0" borderId="119" xfId="0" applyNumberFormat="1" applyBorder="1" applyAlignment="1" applyProtection="1">
      <alignment horizontal="center"/>
      <protection locked="0"/>
    </xf>
    <xf numFmtId="170" fontId="0" fillId="0" borderId="119" xfId="0" applyNumberFormat="1" applyBorder="1" applyAlignment="1" applyProtection="1">
      <alignment horizontal="center"/>
      <protection locked="0"/>
    </xf>
    <xf numFmtId="164" fontId="0" fillId="0" borderId="120" xfId="0" applyNumberFormat="1" applyBorder="1" applyAlignment="1" applyProtection="1">
      <alignment horizontal="center"/>
      <protection locked="0"/>
    </xf>
    <xf numFmtId="2" fontId="0" fillId="0" borderId="113" xfId="0" applyNumberFormat="1" applyBorder="1" applyAlignment="1" applyProtection="1">
      <alignment horizontal="center"/>
    </xf>
    <xf numFmtId="164" fontId="0" fillId="0" borderId="114" xfId="0" applyNumberFormat="1" applyBorder="1" applyAlignment="1" applyProtection="1">
      <alignment horizontal="center"/>
    </xf>
    <xf numFmtId="169" fontId="0" fillId="0" borderId="59" xfId="0" applyNumberFormat="1" applyFont="1" applyBorder="1" applyAlignment="1" applyProtection="1">
      <alignment horizontal="center"/>
    </xf>
    <xf numFmtId="170" fontId="0" fillId="0" borderId="117" xfId="0" applyNumberFormat="1" applyBorder="1" applyAlignment="1" applyProtection="1">
      <alignment horizontal="center"/>
    </xf>
    <xf numFmtId="169" fontId="0" fillId="0" borderId="118" xfId="0" applyNumberFormat="1" applyFont="1" applyBorder="1" applyAlignment="1" applyProtection="1">
      <alignment horizontal="center"/>
    </xf>
    <xf numFmtId="164" fontId="0" fillId="0" borderId="117" xfId="0" applyNumberFormat="1" applyBorder="1" applyAlignment="1" applyProtection="1">
      <alignment horizontal="center"/>
    </xf>
    <xf numFmtId="2" fontId="0" fillId="0" borderId="117" xfId="0" applyNumberFormat="1" applyBorder="1" applyAlignment="1" applyProtection="1">
      <alignment horizontal="center"/>
    </xf>
    <xf numFmtId="175" fontId="0" fillId="0" borderId="118" xfId="0" applyNumberFormat="1" applyFont="1" applyBorder="1" applyAlignment="1" applyProtection="1">
      <alignment horizontal="center"/>
    </xf>
    <xf numFmtId="176" fontId="0" fillId="0" borderId="115" xfId="0" applyNumberFormat="1" applyBorder="1" applyAlignment="1" applyProtection="1">
      <alignment horizontal="center"/>
    </xf>
    <xf numFmtId="164" fontId="0" fillId="0" borderId="116" xfId="0" applyNumberFormat="1" applyBorder="1" applyAlignment="1" applyProtection="1">
      <alignment horizontal="center"/>
    </xf>
    <xf numFmtId="175" fontId="0" fillId="0" borderId="62" xfId="0" applyNumberFormat="1" applyFont="1" applyBorder="1" applyAlignment="1" applyProtection="1">
      <alignment horizontal="center"/>
    </xf>
    <xf numFmtId="1" fontId="0" fillId="0" borderId="16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0" fillId="0" borderId="21" xfId="0" applyNumberFormat="1" applyBorder="1" applyAlignment="1" applyProtection="1">
      <alignment horizontal="center"/>
    </xf>
    <xf numFmtId="170" fontId="0" fillId="0" borderId="16" xfId="0" applyNumberFormat="1" applyBorder="1" applyAlignment="1" applyProtection="1">
      <alignment horizontal="center"/>
    </xf>
    <xf numFmtId="173" fontId="0" fillId="0" borderId="22" xfId="0" applyNumberFormat="1" applyBorder="1" applyAlignment="1" applyProtection="1">
      <alignment horizontal="center"/>
    </xf>
    <xf numFmtId="174" fontId="0" fillId="0" borderId="22" xfId="0" applyNumberFormat="1" applyBorder="1" applyAlignment="1" applyProtection="1">
      <alignment horizontal="center"/>
    </xf>
    <xf numFmtId="170" fontId="0" fillId="0" borderId="22" xfId="0" applyNumberFormat="1" applyBorder="1" applyAlignment="1" applyProtection="1">
      <alignment horizontal="center"/>
    </xf>
    <xf numFmtId="164" fontId="0" fillId="0" borderId="21" xfId="0" applyNumberFormat="1" applyBorder="1" applyAlignment="1" applyProtection="1">
      <alignment horizontal="center"/>
    </xf>
    <xf numFmtId="171" fontId="0" fillId="2" borderId="84" xfId="0" applyNumberFormat="1" applyFill="1" applyBorder="1" applyAlignment="1" applyProtection="1">
      <alignment horizontal="center"/>
    </xf>
    <xf numFmtId="171" fontId="0" fillId="2" borderId="121" xfId="0" applyNumberFormat="1" applyFill="1" applyBorder="1" applyAlignment="1" applyProtection="1">
      <alignment horizontal="center"/>
    </xf>
    <xf numFmtId="0" fontId="6" fillId="0" borderId="16" xfId="0" applyFont="1" applyBorder="1" applyAlignment="1" applyProtection="1">
      <alignment horizontal="justify" vertical="center"/>
    </xf>
    <xf numFmtId="0" fontId="6" fillId="0" borderId="21" xfId="0" applyFont="1" applyBorder="1" applyAlignment="1" applyProtection="1">
      <alignment horizontal="justify" vertical="center"/>
    </xf>
    <xf numFmtId="0" fontId="6" fillId="0" borderId="122" xfId="0" applyFont="1" applyBorder="1" applyAlignment="1" applyProtection="1">
      <alignment horizontal="justify" vertical="center"/>
    </xf>
    <xf numFmtId="171" fontId="0" fillId="2" borderId="85" xfId="0" applyNumberFormat="1" applyFill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 vertical="center" wrapText="1"/>
    </xf>
    <xf numFmtId="164" fontId="0" fillId="0" borderId="0" xfId="0" applyNumberFormat="1" applyBorder="1" applyAlignment="1" applyProtection="1"/>
    <xf numFmtId="0" fontId="6" fillId="0" borderId="113" xfId="0" applyFont="1" applyBorder="1" applyAlignment="1" applyProtection="1">
      <alignment horizontal="left"/>
    </xf>
    <xf numFmtId="0" fontId="6" fillId="0" borderId="123" xfId="0" applyFont="1" applyBorder="1" applyAlignment="1" applyProtection="1">
      <alignment horizontal="left"/>
    </xf>
    <xf numFmtId="164" fontId="0" fillId="0" borderId="114" xfId="0" applyNumberFormat="1" applyBorder="1" applyProtection="1"/>
    <xf numFmtId="0" fontId="6" fillId="0" borderId="114" xfId="0" applyFont="1" applyBorder="1" applyAlignment="1" applyProtection="1">
      <alignment horizontal="left"/>
    </xf>
    <xf numFmtId="0" fontId="0" fillId="0" borderId="117" xfId="0" applyBorder="1" applyAlignment="1" applyProtection="1">
      <alignment horizontal="center"/>
      <protection locked="0"/>
    </xf>
    <xf numFmtId="0" fontId="0" fillId="0" borderId="118" xfId="0" applyBorder="1" applyAlignment="1" applyProtection="1">
      <alignment horizontal="center"/>
      <protection locked="0"/>
    </xf>
    <xf numFmtId="0" fontId="4" fillId="0" borderId="117" xfId="0" applyFont="1" applyBorder="1" applyAlignment="1" applyProtection="1">
      <alignment horizontal="left"/>
      <protection locked="0"/>
    </xf>
    <xf numFmtId="0" fontId="4" fillId="0" borderId="118" xfId="0" applyFont="1" applyBorder="1" applyAlignment="1" applyProtection="1">
      <alignment horizontal="left"/>
      <protection locked="0"/>
    </xf>
    <xf numFmtId="0" fontId="0" fillId="0" borderId="115" xfId="0" applyBorder="1" applyAlignment="1" applyProtection="1">
      <alignment horizontal="center"/>
      <protection locked="0"/>
    </xf>
    <xf numFmtId="0" fontId="0" fillId="0" borderId="116" xfId="0" applyBorder="1" applyProtection="1">
      <protection locked="0"/>
    </xf>
    <xf numFmtId="2" fontId="0" fillId="0" borderId="116" xfId="0" applyNumberFormat="1" applyBorder="1" applyProtection="1">
      <protection locked="0"/>
    </xf>
    <xf numFmtId="164" fontId="0" fillId="0" borderId="116" xfId="0" applyNumberFormat="1" applyBorder="1" applyProtection="1">
      <protection locked="0"/>
    </xf>
    <xf numFmtId="2" fontId="0" fillId="0" borderId="116" xfId="0" applyNumberFormat="1" applyBorder="1" applyAlignment="1" applyProtection="1">
      <alignment horizontal="center"/>
      <protection locked="0"/>
    </xf>
    <xf numFmtId="0" fontId="0" fillId="0" borderId="62" xfId="0" applyBorder="1" applyAlignment="1" applyProtection="1">
      <alignment horizontal="center"/>
      <protection locked="0"/>
    </xf>
    <xf numFmtId="11" fontId="0" fillId="3" borderId="50" xfId="0" applyNumberFormat="1" applyFill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286"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2"/>
  <sheetViews>
    <sheetView tabSelected="1" zoomScale="75" zoomScaleNormal="75" workbookViewId="0">
      <selection sqref="A1:R2"/>
    </sheetView>
  </sheetViews>
  <sheetFormatPr defaultRowHeight="15" x14ac:dyDescent="0.25"/>
  <cols>
    <col min="1" max="1" width="14.85546875" customWidth="1"/>
    <col min="2" max="2" width="8.140625" bestFit="1" customWidth="1"/>
    <col min="3" max="3" width="9.28515625" bestFit="1" customWidth="1"/>
    <col min="4" max="4" width="4.85546875" bestFit="1" customWidth="1"/>
    <col min="5" max="5" width="10.42578125" bestFit="1" customWidth="1"/>
    <col min="6" max="6" width="13.28515625" customWidth="1"/>
    <col min="7" max="7" width="10.42578125" bestFit="1" customWidth="1"/>
    <col min="8" max="8" width="12.28515625" customWidth="1"/>
    <col min="9" max="9" width="11.5703125" customWidth="1"/>
    <col min="10" max="10" width="12.42578125" customWidth="1"/>
    <col min="11" max="11" width="14.5703125" customWidth="1"/>
    <col min="12" max="12" width="10.42578125" customWidth="1"/>
    <col min="14" max="14" width="14.5703125" customWidth="1"/>
    <col min="15" max="15" width="11.42578125" customWidth="1"/>
    <col min="16" max="16" width="14.42578125" customWidth="1"/>
    <col min="17" max="17" width="14.140625" customWidth="1"/>
    <col min="18" max="18" width="14.28515625" customWidth="1"/>
    <col min="19" max="19" width="15.42578125" customWidth="1"/>
    <col min="23" max="23" width="13.28515625" customWidth="1"/>
    <col min="26" max="26" width="14.85546875" customWidth="1"/>
    <col min="27" max="27" width="11.5703125" customWidth="1"/>
    <col min="28" max="28" width="14.140625" customWidth="1"/>
    <col min="29" max="29" width="13.5703125" customWidth="1"/>
    <col min="30" max="30" width="12" customWidth="1"/>
    <col min="31" max="31" width="14.85546875" customWidth="1"/>
  </cols>
  <sheetData>
    <row r="1" spans="1:31" ht="16.5" thickBot="1" x14ac:dyDescent="0.3">
      <c r="A1" s="351" t="s">
        <v>0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2" t="s">
        <v>1</v>
      </c>
      <c r="T1" s="352"/>
      <c r="U1" s="353"/>
      <c r="V1" s="353"/>
      <c r="W1" s="353"/>
      <c r="X1" s="353"/>
      <c r="Y1" s="354" t="s">
        <v>2</v>
      </c>
      <c r="Z1" s="355"/>
      <c r="AA1" s="355"/>
      <c r="AB1" s="355"/>
      <c r="AC1" s="356"/>
      <c r="AD1" s="356"/>
      <c r="AE1" s="356"/>
    </row>
    <row r="2" spans="1:31" ht="21" thickBot="1" x14ac:dyDescent="0.35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2" t="s">
        <v>3</v>
      </c>
      <c r="T2" s="352"/>
      <c r="U2" s="357"/>
      <c r="V2" s="358"/>
      <c r="W2" s="358"/>
      <c r="X2" s="359"/>
      <c r="Y2" s="354"/>
      <c r="Z2" s="355"/>
      <c r="AA2" s="355"/>
      <c r="AB2" s="355"/>
      <c r="AC2" s="356"/>
      <c r="AD2" s="356"/>
      <c r="AE2" s="356"/>
    </row>
    <row r="3" spans="1:31" ht="15.75" x14ac:dyDescent="0.25">
      <c r="A3" s="1"/>
      <c r="B3" s="2"/>
      <c r="C3" s="3"/>
      <c r="D3" s="2"/>
      <c r="E3" s="4"/>
      <c r="F3" s="4"/>
      <c r="G3" s="4"/>
      <c r="H3" s="4"/>
      <c r="I3" s="2"/>
      <c r="J3" s="2"/>
      <c r="K3" s="5"/>
      <c r="L3" s="6"/>
      <c r="M3" s="6"/>
      <c r="N3" s="6"/>
      <c r="O3" s="6"/>
      <c r="P3" s="7"/>
      <c r="Q3" s="7"/>
      <c r="R3" s="5"/>
      <c r="S3" s="6"/>
      <c r="T3" s="2"/>
      <c r="U3" s="2"/>
      <c r="V3" s="8"/>
      <c r="W3" s="2"/>
      <c r="X3" s="9"/>
      <c r="Y3" s="10"/>
      <c r="Z3" s="360" t="s">
        <v>4</v>
      </c>
      <c r="AA3" s="361"/>
      <c r="AB3" s="361"/>
      <c r="AC3" s="361"/>
      <c r="AD3" s="361"/>
      <c r="AE3" s="362"/>
    </row>
    <row r="4" spans="1:31" ht="16.5" thickBot="1" x14ac:dyDescent="0.3">
      <c r="A4" s="11" t="s">
        <v>5</v>
      </c>
      <c r="B4" s="12"/>
      <c r="C4" s="13"/>
      <c r="D4" s="14"/>
      <c r="E4" s="15"/>
      <c r="F4" s="16" t="s">
        <v>6</v>
      </c>
      <c r="G4" s="17"/>
      <c r="H4" s="17"/>
      <c r="I4" s="18"/>
      <c r="J4" s="19"/>
      <c r="K4" s="366" t="s">
        <v>7</v>
      </c>
      <c r="L4" s="366"/>
      <c r="M4" s="366"/>
      <c r="N4" s="367" t="s">
        <v>8</v>
      </c>
      <c r="O4" s="367"/>
      <c r="P4" s="367"/>
      <c r="Q4" s="20"/>
      <c r="R4" s="21"/>
      <c r="S4" s="21"/>
      <c r="T4" s="14"/>
      <c r="U4" s="19"/>
      <c r="V4" s="19"/>
      <c r="W4" s="21"/>
      <c r="X4" s="22"/>
      <c r="Y4" s="23"/>
      <c r="Z4" s="363"/>
      <c r="AA4" s="364"/>
      <c r="AB4" s="364"/>
      <c r="AC4" s="364"/>
      <c r="AD4" s="364"/>
      <c r="AE4" s="365"/>
    </row>
    <row r="5" spans="1:31" ht="16.5" thickBot="1" x14ac:dyDescent="0.3">
      <c r="A5" s="11" t="s">
        <v>9</v>
      </c>
      <c r="B5" s="12"/>
      <c r="C5" s="13"/>
      <c r="D5" s="14"/>
      <c r="E5" s="15"/>
      <c r="F5" s="24"/>
      <c r="G5" s="17"/>
      <c r="H5" s="17"/>
      <c r="I5" s="25"/>
      <c r="J5" s="26"/>
      <c r="K5" s="27"/>
      <c r="L5" s="28"/>
      <c r="M5" s="29"/>
      <c r="N5" s="29"/>
      <c r="O5" s="29"/>
      <c r="P5" s="30"/>
      <c r="Q5" s="30"/>
      <c r="R5" s="31"/>
      <c r="S5" s="32"/>
      <c r="T5" s="14"/>
      <c r="U5" s="26"/>
      <c r="V5" s="30"/>
      <c r="W5" s="31"/>
      <c r="X5" s="33"/>
      <c r="Y5" s="34"/>
      <c r="Z5" s="368" t="s">
        <v>10</v>
      </c>
      <c r="AA5" s="369"/>
      <c r="AB5" s="370"/>
      <c r="AC5" s="371">
        <v>23</v>
      </c>
      <c r="AD5" s="372"/>
      <c r="AE5" s="373"/>
    </row>
    <row r="6" spans="1:31" ht="16.5" thickBot="1" x14ac:dyDescent="0.3">
      <c r="A6" s="11" t="s">
        <v>11</v>
      </c>
      <c r="B6" s="12"/>
      <c r="C6" s="13"/>
      <c r="D6" s="14"/>
      <c r="E6" s="15"/>
      <c r="F6" s="16" t="s">
        <v>12</v>
      </c>
      <c r="G6" s="17"/>
      <c r="H6" s="17"/>
      <c r="I6" s="25"/>
      <c r="J6" s="19"/>
      <c r="K6" s="366" t="s">
        <v>13</v>
      </c>
      <c r="L6" s="366"/>
      <c r="M6" s="366"/>
      <c r="N6" s="367" t="s">
        <v>14</v>
      </c>
      <c r="O6" s="367"/>
      <c r="P6" s="367"/>
      <c r="Q6" s="20"/>
      <c r="R6" s="21"/>
      <c r="S6" s="21"/>
      <c r="T6" s="21"/>
      <c r="U6" s="19"/>
      <c r="V6" s="35"/>
      <c r="W6" s="21"/>
      <c r="X6" s="22"/>
      <c r="Y6" s="36"/>
      <c r="Z6" s="368" t="s">
        <v>15</v>
      </c>
      <c r="AA6" s="369"/>
      <c r="AB6" s="370"/>
      <c r="AC6" s="374">
        <v>0.6</v>
      </c>
      <c r="AD6" s="375"/>
      <c r="AE6" s="376"/>
    </row>
    <row r="7" spans="1:31" ht="16.5" thickBot="1" x14ac:dyDescent="0.3">
      <c r="A7" s="42"/>
      <c r="B7" s="14"/>
      <c r="C7" s="43"/>
      <c r="D7" s="14"/>
      <c r="E7" s="15"/>
      <c r="F7" s="15"/>
      <c r="G7" s="15"/>
      <c r="H7" s="15"/>
      <c r="I7" s="25"/>
      <c r="J7" s="14"/>
      <c r="K7" s="15"/>
      <c r="L7" s="14"/>
      <c r="M7" s="26"/>
      <c r="N7" s="26"/>
      <c r="O7" s="26"/>
      <c r="P7" s="542"/>
      <c r="Q7" s="542"/>
      <c r="R7" s="111"/>
      <c r="S7" s="25"/>
      <c r="T7" s="37"/>
      <c r="U7" s="37"/>
      <c r="V7" s="37"/>
      <c r="W7" s="37"/>
      <c r="X7" s="37"/>
      <c r="Y7" s="38"/>
      <c r="Z7" s="37"/>
      <c r="AA7" s="37"/>
      <c r="AB7" s="39"/>
      <c r="AC7" s="40"/>
      <c r="AD7" s="40"/>
      <c r="AE7" s="41"/>
    </row>
    <row r="8" spans="1:31" ht="15.75" thickBot="1" x14ac:dyDescent="0.3">
      <c r="A8" s="495" t="s">
        <v>16</v>
      </c>
      <c r="B8" s="496"/>
      <c r="C8" s="497"/>
      <c r="D8" s="498"/>
      <c r="E8" s="499"/>
      <c r="F8" s="499"/>
      <c r="G8" s="499"/>
      <c r="H8" s="500"/>
      <c r="I8" s="543" t="s">
        <v>17</v>
      </c>
      <c r="J8" s="544"/>
      <c r="K8" s="544"/>
      <c r="L8" s="544"/>
      <c r="M8" s="544"/>
      <c r="N8" s="498"/>
      <c r="O8" s="498"/>
      <c r="P8" s="545"/>
      <c r="Q8" s="545"/>
      <c r="R8" s="546"/>
      <c r="S8" s="500"/>
      <c r="T8" s="541" t="s">
        <v>18</v>
      </c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</row>
    <row r="9" spans="1:31" ht="15.75" thickBot="1" x14ac:dyDescent="0.3">
      <c r="A9" s="501"/>
      <c r="B9" s="14"/>
      <c r="C9" s="43"/>
      <c r="D9" s="14"/>
      <c r="E9" s="15"/>
      <c r="F9" s="15"/>
      <c r="G9" s="15"/>
      <c r="H9" s="502"/>
      <c r="I9" s="547"/>
      <c r="J9" s="44"/>
      <c r="K9" s="45"/>
      <c r="L9" s="44"/>
      <c r="M9" s="46"/>
      <c r="N9" s="46"/>
      <c r="O9" s="46"/>
      <c r="P9" s="47"/>
      <c r="Q9" s="47"/>
      <c r="R9" s="48"/>
      <c r="S9" s="548"/>
      <c r="T9" s="541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382"/>
    </row>
    <row r="10" spans="1:31" ht="16.5" thickBot="1" x14ac:dyDescent="0.3">
      <c r="A10" s="503" t="s">
        <v>19</v>
      </c>
      <c r="B10" s="385"/>
      <c r="C10" s="49"/>
      <c r="D10" s="386" t="str">
        <f>IF(A10="FLUKE 5700A","(P-82916)","(P-71161)")</f>
        <v>(P-82916)</v>
      </c>
      <c r="E10" s="386"/>
      <c r="F10" s="386"/>
      <c r="G10" s="386"/>
      <c r="H10" s="504"/>
      <c r="I10" s="549" t="s">
        <v>20</v>
      </c>
      <c r="J10" s="50"/>
      <c r="K10" s="45"/>
      <c r="L10" s="44"/>
      <c r="M10" s="46"/>
      <c r="N10" s="46"/>
      <c r="O10" s="46"/>
      <c r="P10" s="47"/>
      <c r="Q10" s="47"/>
      <c r="R10" s="50"/>
      <c r="S10" s="550"/>
      <c r="T10" s="541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</row>
    <row r="11" spans="1:31" ht="15.75" thickBot="1" x14ac:dyDescent="0.3">
      <c r="A11" s="501"/>
      <c r="B11" s="14"/>
      <c r="C11" s="43"/>
      <c r="D11" s="14"/>
      <c r="E11" s="15"/>
      <c r="F11" s="15"/>
      <c r="G11" s="15"/>
      <c r="H11" s="505"/>
      <c r="I11" s="547"/>
      <c r="J11" s="51"/>
      <c r="K11" s="52"/>
      <c r="L11" s="46"/>
      <c r="M11" s="46"/>
      <c r="N11" s="46"/>
      <c r="O11" s="46"/>
      <c r="P11" s="47"/>
      <c r="Q11" s="47"/>
      <c r="R11" s="48"/>
      <c r="S11" s="548"/>
      <c r="T11" s="541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</row>
    <row r="12" spans="1:31" ht="15.75" thickBot="1" x14ac:dyDescent="0.3">
      <c r="A12" s="506"/>
      <c r="B12" s="507"/>
      <c r="C12" s="508"/>
      <c r="D12" s="507"/>
      <c r="E12" s="509"/>
      <c r="F12" s="509"/>
      <c r="G12" s="509"/>
      <c r="H12" s="510"/>
      <c r="I12" s="551"/>
      <c r="J12" s="552"/>
      <c r="K12" s="553"/>
      <c r="L12" s="552"/>
      <c r="M12" s="552"/>
      <c r="N12" s="552"/>
      <c r="O12" s="552"/>
      <c r="P12" s="554"/>
      <c r="Q12" s="554"/>
      <c r="R12" s="555"/>
      <c r="S12" s="556"/>
      <c r="T12" s="558"/>
      <c r="U12" s="559"/>
      <c r="V12" s="559"/>
      <c r="W12" s="382"/>
      <c r="X12" s="382"/>
      <c r="Y12" s="382"/>
      <c r="Z12" s="382"/>
      <c r="AA12" s="382"/>
      <c r="AB12" s="382"/>
      <c r="AC12" s="382"/>
      <c r="AD12" s="382"/>
      <c r="AE12" s="382"/>
    </row>
    <row r="13" spans="1:31" ht="16.5" thickBot="1" x14ac:dyDescent="0.3">
      <c r="A13" s="377" t="s">
        <v>21</v>
      </c>
      <c r="B13" s="387" t="s">
        <v>22</v>
      </c>
      <c r="C13" s="388"/>
      <c r="D13" s="389"/>
      <c r="E13" s="393" t="s">
        <v>70</v>
      </c>
      <c r="F13" s="394"/>
      <c r="G13" s="395"/>
      <c r="H13" s="396" t="s">
        <v>23</v>
      </c>
      <c r="I13" s="537" t="s">
        <v>24</v>
      </c>
      <c r="J13" s="539" t="s">
        <v>25</v>
      </c>
      <c r="K13" s="396" t="s">
        <v>26</v>
      </c>
      <c r="L13" s="377" t="s">
        <v>27</v>
      </c>
      <c r="M13" s="377" t="s">
        <v>28</v>
      </c>
      <c r="N13" s="377" t="s">
        <v>29</v>
      </c>
      <c r="O13" s="377" t="s">
        <v>30</v>
      </c>
      <c r="P13" s="398" t="s">
        <v>31</v>
      </c>
      <c r="Q13" s="398" t="s">
        <v>32</v>
      </c>
      <c r="R13" s="398" t="s">
        <v>33</v>
      </c>
      <c r="S13" s="377" t="s">
        <v>34</v>
      </c>
      <c r="T13" s="393" t="s">
        <v>35</v>
      </c>
      <c r="U13" s="394"/>
      <c r="V13" s="395"/>
      <c r="W13" s="396" t="s">
        <v>23</v>
      </c>
      <c r="X13" s="396" t="s">
        <v>26</v>
      </c>
      <c r="Y13" s="377" t="s">
        <v>28</v>
      </c>
      <c r="Z13" s="377" t="s">
        <v>29</v>
      </c>
      <c r="AA13" s="380" t="s">
        <v>30</v>
      </c>
      <c r="AB13" s="398" t="s">
        <v>31</v>
      </c>
      <c r="AC13" s="400" t="s">
        <v>32</v>
      </c>
      <c r="AD13" s="398" t="s">
        <v>33</v>
      </c>
      <c r="AE13" s="383" t="s">
        <v>34</v>
      </c>
    </row>
    <row r="14" spans="1:31" ht="15.75" thickBot="1" x14ac:dyDescent="0.3">
      <c r="A14" s="379"/>
      <c r="B14" s="390"/>
      <c r="C14" s="391"/>
      <c r="D14" s="392"/>
      <c r="E14" s="350" t="s">
        <v>36</v>
      </c>
      <c r="F14" s="350" t="s">
        <v>37</v>
      </c>
      <c r="G14" s="350" t="s">
        <v>38</v>
      </c>
      <c r="H14" s="397"/>
      <c r="I14" s="538"/>
      <c r="J14" s="538"/>
      <c r="K14" s="397"/>
      <c r="L14" s="378"/>
      <c r="M14" s="378"/>
      <c r="N14" s="379"/>
      <c r="O14" s="379"/>
      <c r="P14" s="399"/>
      <c r="Q14" s="399"/>
      <c r="R14" s="399"/>
      <c r="S14" s="379"/>
      <c r="T14" s="350" t="s">
        <v>36</v>
      </c>
      <c r="U14" s="53" t="s">
        <v>37</v>
      </c>
      <c r="V14" s="54" t="s">
        <v>38</v>
      </c>
      <c r="W14" s="397"/>
      <c r="X14" s="403"/>
      <c r="Y14" s="378"/>
      <c r="Z14" s="379"/>
      <c r="AA14" s="381"/>
      <c r="AB14" s="399"/>
      <c r="AC14" s="401"/>
      <c r="AD14" s="399"/>
      <c r="AE14" s="384"/>
    </row>
    <row r="15" spans="1:31" x14ac:dyDescent="0.25">
      <c r="A15" s="527">
        <v>100</v>
      </c>
      <c r="B15" s="516">
        <v>100</v>
      </c>
      <c r="C15" s="517">
        <v>1E-3</v>
      </c>
      <c r="D15" s="518" t="s">
        <v>39</v>
      </c>
      <c r="E15" s="511"/>
      <c r="F15" s="511"/>
      <c r="G15" s="511"/>
      <c r="H15" s="530">
        <f>(E15+F15+G15)/3</f>
        <v>0</v>
      </c>
      <c r="I15" s="533">
        <f>B15-(B15*0.005%+A15*0.0035%)</f>
        <v>99.991500000000002</v>
      </c>
      <c r="J15" s="533">
        <f>B15+(B15*0.005%+B15*0.0035%)</f>
        <v>100.0085</v>
      </c>
      <c r="K15" s="540">
        <f>IF(SUM(E15:G15)=0,0,STDEV(E15:G15)/SQRT(3))*C15</f>
        <v>0</v>
      </c>
      <c r="L15" s="119">
        <f>SQRT(((0.000000005)/SQRT(3))^2+((0.000008*B15*C15+0.0000006)/2)^2+(0.00000032/SQRT(3))^2+(0.00000041/2.14)^2)</f>
        <v>7.4889780959911226E-7</v>
      </c>
      <c r="M15" s="119">
        <f>SQRT(K15^2+(0.00000005/SQRT(3))^2)</f>
        <v>2.8867513459481289E-8</v>
      </c>
      <c r="N15" s="120">
        <f t="shared" ref="N15:N22" si="0">SQRT(L15^2+M15^2)</f>
        <v>7.4945397627584941E-7</v>
      </c>
      <c r="O15" s="121">
        <f>IF(Q15&lt;=1.5,(13.968),IF(Q15&lt;=2.5,(4.527),IF(Q15&lt;=3.5,(3.307),IF(Q15&lt;=4.5,(2.869),IF(Q15&lt;=5.5,(2.649),IF(Q15&lt;=6.5,(2.517),IF(Q15&lt;=7.5,(2.429),IF(Q15&lt;=8.5,(2.2366),IF(Q15&lt;=9.5,(2.32),IF(Q15&lt;=10.5,(2.284),IF(Q15&lt;=11.5,(2.255),IF(Q15&lt;=12.5,(2.231),IF(Q15&lt;=13.5,(2.212),IF(Q15&lt;=14.5,(2.195),IF(Q15&lt;=15.5,(2.181),IF(Q15&lt;=16.5,(2.169),IF(Q15&lt;=17.5,(2.158),IF(Q15&lt;=18.5,(2.149),IF(Q15&lt;=19.5,(2.14),IF(Q15&lt;=22.5,(2.133),IF(Q15&lt;=27.5,(2.105),IF(Q15&lt;=32.5,(2.087),IF(Q15&lt;=37.5,(2.2074),IF(Q15&lt;=45,(2.064),IF(Q15&lt;=55,(2.051),IF(Q15&lt;=65,(2.043),IF(Q15&lt;=75,(2.036),IF(Q15&lt;=85,(2.032),IF(Q15&lt;=95,(2.028),IF(Q15&lt;=125,(2.025),IF(Q15&lt;=175,(2.017),IF(Q15&lt;=500,(2.013),IF(Q15&lt;=1200,(2.003),(2))))))))))))))))))))))))))))))))))</f>
        <v>2.0129999999999999</v>
      </c>
      <c r="P15" s="119">
        <f>N15*O15*1000</f>
        <v>1.5086508542432849E-3</v>
      </c>
      <c r="Q15" s="557">
        <f>(N15^4)/(((K15^4)/2)+(0.00000041^4/19))</f>
        <v>212.12802404084223</v>
      </c>
      <c r="R15" s="122">
        <f>IF(H15&lt;=B15,H15-P15,H15+P15)</f>
        <v>-1.5086508542432849E-3</v>
      </c>
      <c r="S15" s="123" t="str">
        <f>IF(I15&lt;R15,IF(R15&lt;J15,"A","Reprov"),"Reprov")</f>
        <v>Reprov</v>
      </c>
      <c r="T15" s="148"/>
      <c r="U15" s="58"/>
      <c r="V15" s="59"/>
      <c r="W15" s="60">
        <f>(T15+U15+V15)/3</f>
        <v>0</v>
      </c>
      <c r="X15" s="61">
        <f>IF(SUM(T15:V15)=0,0,STDEV(T15:V15)/SQRT(3))*C15</f>
        <v>0</v>
      </c>
      <c r="Y15" s="61">
        <f>SQRT(X15^2+(0.00000005/SQRT(3))^2)</f>
        <v>2.8867513459481289E-8</v>
      </c>
      <c r="Z15" s="62">
        <f>SQRT(L15^2+Y15^2)</f>
        <v>7.4945397627584941E-7</v>
      </c>
      <c r="AA15" s="63">
        <f t="shared" ref="AA15:AA22" si="1">IF(AC15&lt;=1.5,(13.968),IF(AC15&lt;=2.5,(4.527),IF(AC15&lt;=3.5,(3.307),IF(AC15&lt;=4.5,(2.869),IF(AC15&lt;=5.5,(2.649),IF(AC15&lt;=6.5,(2.517),IF(AC15&lt;=7.5,(2.429),IF(AC15&lt;=8.5,(2.2366),IF(AC15&lt;=9.5,(2.32),IF(AC15&lt;=10.5,(2.284),IF(AC15&lt;=11.5,(2.255),IF(AC15&lt;=12.5,(2.231),IF(AC15&lt;=13.5,(2.212),IF(AC15&lt;=14.5,(2.195),IF(AC15&lt;=15.5,(2.181),IF(AC15&lt;=16.5,(2.169),IF(AC15&lt;=17.5,(2.158),IF(AC15&lt;=18.5,(2.149),IF(AC15&lt;=19.5,(2.14),IF(AC15&lt;=22.5,(2.133),IF(AC15&lt;=27.5,(2.105),IF(AC15&lt;=32.5,(2.087),IF(AC15&lt;=37.5,(2.2074),IF(AC15&lt;=45,(2.064),IF(AC15&lt;=55,(2.051),IF(AC15&lt;=65,(2.043),IF(AC15&lt;=75,(2.036),IF(AC15&lt;=85,(2.032),IF(AC15&lt;=95,(2.028),IF(AC15&lt;=125,(2.025),IF(AC15&lt;=175,(2.017),IF(AC15&lt;=500,(2.013),IF(AC15&lt;=1200,(2.003),(2))))))))))))))))))))))))))))))))))</f>
        <v>2.0129999999999999</v>
      </c>
      <c r="AB15" s="61">
        <f>AA15*Z15*1000</f>
        <v>1.5086508542432849E-3</v>
      </c>
      <c r="AC15" s="64">
        <f>(Z15^4)/(((X15^4)/2)+(0.00000041^4/19))</f>
        <v>212.12802404084223</v>
      </c>
      <c r="AD15" s="65">
        <f>IF(W15&lt;=B15,W15-AB15,W15+AB15)</f>
        <v>-1.5086508542432849E-3</v>
      </c>
      <c r="AE15" s="66" t="str">
        <f>IF(I15&lt;AD15,IF(AD15&lt;J15,"A","Reprov"),"Reprov")</f>
        <v>Reprov</v>
      </c>
    </row>
    <row r="16" spans="1:31" x14ac:dyDescent="0.25">
      <c r="A16" s="528">
        <v>1</v>
      </c>
      <c r="B16" s="519">
        <v>1</v>
      </c>
      <c r="C16" s="68">
        <v>1</v>
      </c>
      <c r="D16" s="520" t="s">
        <v>40</v>
      </c>
      <c r="E16" s="512"/>
      <c r="F16" s="512"/>
      <c r="G16" s="512"/>
      <c r="H16" s="531">
        <f t="shared" ref="H16:H22" si="2">(E16+F16+G16)/3</f>
        <v>0</v>
      </c>
      <c r="I16" s="531">
        <f>B16-(B16*0.0035%+A16*0.0007%)</f>
        <v>0.99995800000000001</v>
      </c>
      <c r="J16" s="531">
        <f>B16+(B16*0.0035%+A16*0.0007%)</f>
        <v>1.0000420000000001</v>
      </c>
      <c r="K16" s="535">
        <f t="shared" ref="K16" si="3">IF(SUM(E16:G16)=0,0,STDEV(E16:G16)/SQRT(3))</f>
        <v>0</v>
      </c>
      <c r="L16" s="72">
        <f>SQRT(((0.00000005)/SQRT(3))^2+((0.000007*B16+0.000001)/2)^2+(0.0000003/SQRT(3))^2+(0.0000048/2.87)^2)</f>
        <v>4.339124585803483E-6</v>
      </c>
      <c r="M16" s="72">
        <f>SQRT(K16^2+(0.0000005/SQRT(3))^2)</f>
        <v>2.8867513459481289E-7</v>
      </c>
      <c r="N16" s="73">
        <f t="shared" si="0"/>
        <v>4.3487165353075821E-6</v>
      </c>
      <c r="O16" s="74">
        <f t="shared" ref="O16:O22" si="4">IF(Q16&lt;=1.5,(13.968),IF(Q16&lt;=2.5,(4.527),IF(Q16&lt;=3.5,(3.307),IF(Q16&lt;=4.5,(2.869),IF(Q16&lt;=5.5,(2.649),IF(Q16&lt;=6.5,(2.517),IF(Q16&lt;=7.5,(2.429),IF(Q16&lt;=8.5,(2.2366),IF(Q16&lt;=9.5,(2.32),IF(Q16&lt;=10.5,(2.284),IF(Q16&lt;=11.5,(2.255),IF(Q16&lt;=12.5,(2.231),IF(Q16&lt;=13.5,(2.212),IF(Q16&lt;=14.5,(2.195),IF(Q16&lt;=15.5,(2.181),IF(Q16&lt;=16.5,(2.169),IF(Q16&lt;=17.5,(2.158),IF(Q16&lt;=18.5,(2.149),IF(Q16&lt;=19.5,(2.14),IF(Q16&lt;=22.5,(2.133),IF(Q16&lt;=27.5,(2.105),IF(Q16&lt;=32.5,(2.087),IF(Q16&lt;=37.5,(2.2074),IF(Q16&lt;=45,(2.064),IF(Q16&lt;=55,(2.051),IF(Q16&lt;=65,(2.043),IF(Q16&lt;=75,(2.036),IF(Q16&lt;=85,(2.032),IF(Q16&lt;=95,(2.028),IF(Q16&lt;=125,(2.025),IF(Q16&lt;=175,(2.017),IF(Q16&lt;=500,(2.013),IF(Q16&lt;=1200,(2.003),(2))))))))))))))))))))))))))))))))))</f>
        <v>3.3069999999999999</v>
      </c>
      <c r="P16" s="72">
        <f t="shared" ref="P16:P22" si="5">N16*O16</f>
        <v>1.4381205582262173E-5</v>
      </c>
      <c r="Q16" s="75">
        <f>(N16^4)/(((K16^4)/2)+(0.0000048^4/4))</f>
        <v>2.6948800588511368</v>
      </c>
      <c r="R16" s="76">
        <f t="shared" ref="R16:R22" si="6">IF(H16&lt;=B16,H16-P16,H16+P16)</f>
        <v>-1.4381205582262173E-5</v>
      </c>
      <c r="S16" s="77" t="str">
        <f t="shared" ref="S16:S22" si="7">IF(I16&lt;R16,IF(R16&lt;J16,"A","Reprov"),"Reprov")</f>
        <v>Reprov</v>
      </c>
      <c r="T16" s="78"/>
      <c r="U16" s="78"/>
      <c r="V16" s="78"/>
      <c r="W16" s="79">
        <f t="shared" ref="W16:W22" si="8">(T16+U16+V16)/3</f>
        <v>0</v>
      </c>
      <c r="X16" s="80">
        <f>IF(SUM(T16:V16)=0,0,STDEV(T16:V16)/SQRT(3))</f>
        <v>0</v>
      </c>
      <c r="Y16" s="80">
        <f>SQRT(X16^2+(0.0000005/SQRT(3))^2)</f>
        <v>2.8867513459481289E-7</v>
      </c>
      <c r="Z16" s="81">
        <f t="shared" ref="Z16:Z22" si="9">SQRT(L16^2+Y16^2)</f>
        <v>4.3487165353075821E-6</v>
      </c>
      <c r="AA16" s="82">
        <f t="shared" si="1"/>
        <v>3.3069999999999999</v>
      </c>
      <c r="AB16" s="80">
        <f>AA16*Z16</f>
        <v>1.4381205582262173E-5</v>
      </c>
      <c r="AC16" s="83">
        <f>(Z16^4)/(((X16^4)/2)+(0.0000048^4/4))</f>
        <v>2.6948800588511368</v>
      </c>
      <c r="AD16" s="84">
        <f t="shared" ref="AD16:AD22" si="10">IF(W16&lt;=B16,W16-AB16,W16+AB16)</f>
        <v>-1.4381205582262173E-5</v>
      </c>
      <c r="AE16" s="85" t="str">
        <f t="shared" ref="AE16:AE22" si="11">IF(I16&lt;AD16,IF(AD16&lt;J16,"A","Reprov"),"Reprov")</f>
        <v>Reprov</v>
      </c>
    </row>
    <row r="17" spans="1:31" x14ac:dyDescent="0.25">
      <c r="A17" s="528">
        <v>10</v>
      </c>
      <c r="B17" s="519">
        <v>2</v>
      </c>
      <c r="C17" s="68">
        <v>1</v>
      </c>
      <c r="D17" s="520" t="s">
        <v>40</v>
      </c>
      <c r="E17" s="513"/>
      <c r="F17" s="513"/>
      <c r="G17" s="513"/>
      <c r="H17" s="532">
        <f t="shared" si="2"/>
        <v>0</v>
      </c>
      <c r="I17" s="532">
        <f>B17-(B17*0.003%+A17*0.0005%)</f>
        <v>1.9998899999999999</v>
      </c>
      <c r="J17" s="532">
        <f>B17+(B17*0.003%+A17*0.0005%)</f>
        <v>2.0001099999999998</v>
      </c>
      <c r="K17" s="535">
        <f t="shared" ref="K17:K22" si="12">IF(SUM(E17:G17)=0,0,STDEV(E17:G17)/SQRT(3))</f>
        <v>0</v>
      </c>
      <c r="L17" s="72">
        <f>SQRT(((0.00000005)/SQRT(3))^2+((0.000007*B17+0.000001)/2)^2+(0.0000004/SQRT(3))^2+(0.000004/2)^2)</f>
        <v>7.7655757459873298E-6</v>
      </c>
      <c r="M17" s="72">
        <f>SQRT(K17^2+(0.000005/SQRT(3))^2)</f>
        <v>2.8867513459481293E-6</v>
      </c>
      <c r="N17" s="73">
        <f t="shared" si="0"/>
        <v>8.2847751930876205E-6</v>
      </c>
      <c r="O17" s="74">
        <f t="shared" si="4"/>
        <v>2</v>
      </c>
      <c r="P17" s="72">
        <f t="shared" si="5"/>
        <v>1.6569550386175241E-5</v>
      </c>
      <c r="Q17" s="75" t="str">
        <f>IF(K17=0,"INFINITOS",(N17^4)/((K17^4)/2))</f>
        <v>INFINITOS</v>
      </c>
      <c r="R17" s="76">
        <f t="shared" si="6"/>
        <v>-1.6569550386175241E-5</v>
      </c>
      <c r="S17" s="77" t="str">
        <f t="shared" si="7"/>
        <v>Reprov</v>
      </c>
      <c r="T17" s="87"/>
      <c r="U17" s="87"/>
      <c r="V17" s="87"/>
      <c r="W17" s="79">
        <f t="shared" si="8"/>
        <v>0</v>
      </c>
      <c r="X17" s="80">
        <f t="shared" ref="X17:X21" si="13">IF(SUM(T17:V17)=0,0,STDEV(T17:V17)/SQRT(3))</f>
        <v>0</v>
      </c>
      <c r="Y17" s="80">
        <f>SQRT(X17^2+(0.000005/SQRT(3))^2)</f>
        <v>2.8867513459481293E-6</v>
      </c>
      <c r="Z17" s="81">
        <f t="shared" si="9"/>
        <v>8.2847751930876205E-6</v>
      </c>
      <c r="AA17" s="82">
        <f t="shared" si="1"/>
        <v>2</v>
      </c>
      <c r="AB17" s="80">
        <f t="shared" ref="AB17:AB22" si="14">AA17*Z17</f>
        <v>1.6569550386175241E-5</v>
      </c>
      <c r="AC17" s="83" t="str">
        <f>IF(X17=0,"INFINITOS",(Z17^4)/((X17^4)/2))</f>
        <v>INFINITOS</v>
      </c>
      <c r="AD17" s="84">
        <f t="shared" si="10"/>
        <v>-1.6569550386175241E-5</v>
      </c>
      <c r="AE17" s="85" t="str">
        <f t="shared" si="11"/>
        <v>Reprov</v>
      </c>
    </row>
    <row r="18" spans="1:31" x14ac:dyDescent="0.25">
      <c r="A18" s="528">
        <v>10</v>
      </c>
      <c r="B18" s="519">
        <v>6</v>
      </c>
      <c r="C18" s="68">
        <v>1</v>
      </c>
      <c r="D18" s="520" t="s">
        <v>40</v>
      </c>
      <c r="E18" s="513"/>
      <c r="F18" s="513"/>
      <c r="G18" s="513"/>
      <c r="H18" s="532">
        <f t="shared" si="2"/>
        <v>0</v>
      </c>
      <c r="I18" s="532">
        <f t="shared" ref="I18:I19" si="15">B18-(B18*0.003%+A18*0.0005%)</f>
        <v>5.9997699999999998</v>
      </c>
      <c r="J18" s="532">
        <f t="shared" ref="J18:J19" si="16">B18+(B18*0.003%+A18*0.0005%)</f>
        <v>6.0002300000000002</v>
      </c>
      <c r="K18" s="535">
        <f t="shared" si="12"/>
        <v>0</v>
      </c>
      <c r="L18" s="72">
        <f>SQRT(((0.0000005)/SQRT(3))^2+((0.000007*B18+0.0000035)/2)^2+(0.00001/SQRT(3))^2+(0.000012/2)^2)</f>
        <v>2.4227652933511048E-5</v>
      </c>
      <c r="M18" s="72">
        <f>SQRT(K18^2+(0.000005/SQRT(3))^2)</f>
        <v>2.8867513459481293E-6</v>
      </c>
      <c r="N18" s="73">
        <f t="shared" si="0"/>
        <v>2.4399026619928912E-5</v>
      </c>
      <c r="O18" s="74">
        <f t="shared" si="4"/>
        <v>2</v>
      </c>
      <c r="P18" s="72">
        <f t="shared" si="5"/>
        <v>4.8798053239857824E-5</v>
      </c>
      <c r="Q18" s="75" t="str">
        <f>IF(K18=0,"INFINITOS",(N18^4)/((K18^4)/2))</f>
        <v>INFINITOS</v>
      </c>
      <c r="R18" s="76">
        <f t="shared" si="6"/>
        <v>-4.8798053239857824E-5</v>
      </c>
      <c r="S18" s="77" t="str">
        <f t="shared" si="7"/>
        <v>Reprov</v>
      </c>
      <c r="T18" s="87"/>
      <c r="U18" s="87"/>
      <c r="V18" s="87"/>
      <c r="W18" s="79">
        <f t="shared" si="8"/>
        <v>0</v>
      </c>
      <c r="X18" s="80">
        <f t="shared" si="13"/>
        <v>0</v>
      </c>
      <c r="Y18" s="80">
        <f>SQRT(X18^2+(0.000005/SQRT(3))^2)</f>
        <v>2.8867513459481293E-6</v>
      </c>
      <c r="Z18" s="81">
        <f t="shared" si="9"/>
        <v>2.4399026619928912E-5</v>
      </c>
      <c r="AA18" s="82">
        <f t="shared" si="1"/>
        <v>2</v>
      </c>
      <c r="AB18" s="80">
        <f t="shared" si="14"/>
        <v>4.8798053239857824E-5</v>
      </c>
      <c r="AC18" s="83" t="str">
        <f t="shared" ref="AC18:AC21" si="17">IF(X18=0,"INFINITOS",(Z18^4)/((X18^4)/2))</f>
        <v>INFINITOS</v>
      </c>
      <c r="AD18" s="84">
        <f t="shared" si="10"/>
        <v>-4.8798053239857824E-5</v>
      </c>
      <c r="AE18" s="85" t="str">
        <f t="shared" si="11"/>
        <v>Reprov</v>
      </c>
    </row>
    <row r="19" spans="1:31" x14ac:dyDescent="0.25">
      <c r="A19" s="528">
        <v>10</v>
      </c>
      <c r="B19" s="521">
        <v>10</v>
      </c>
      <c r="C19" s="68">
        <v>1</v>
      </c>
      <c r="D19" s="520" t="s">
        <v>40</v>
      </c>
      <c r="E19" s="513"/>
      <c r="F19" s="513"/>
      <c r="G19" s="513"/>
      <c r="H19" s="532">
        <f t="shared" si="2"/>
        <v>0</v>
      </c>
      <c r="I19" s="532">
        <f t="shared" si="15"/>
        <v>9.9996500000000008</v>
      </c>
      <c r="J19" s="532">
        <f t="shared" si="16"/>
        <v>10.000349999999999</v>
      </c>
      <c r="K19" s="535">
        <f t="shared" si="12"/>
        <v>0</v>
      </c>
      <c r="L19" s="72">
        <f>SQRT(((0.0000005)/SQRT(3))^2+((0.000007*B19+0.0000035)/2)^2+(0.000004/SQRT(3))^2+(0.00002/2)^2)</f>
        <v>3.8157295064858391E-5</v>
      </c>
      <c r="M19" s="72">
        <f>SQRT(K19^2+(0.000005/SQRT(3))^2)</f>
        <v>2.8867513459481293E-6</v>
      </c>
      <c r="N19" s="73">
        <f t="shared" si="0"/>
        <v>3.8266336380688443E-5</v>
      </c>
      <c r="O19" s="74">
        <f t="shared" si="4"/>
        <v>2</v>
      </c>
      <c r="P19" s="72">
        <f t="shared" si="5"/>
        <v>7.6532672761376886E-5</v>
      </c>
      <c r="Q19" s="75" t="str">
        <f>IF(K19=0,"INFINITOS",(N19^4)/((K19^4)/2))</f>
        <v>INFINITOS</v>
      </c>
      <c r="R19" s="76">
        <f t="shared" si="6"/>
        <v>-7.6532672761376886E-5</v>
      </c>
      <c r="S19" s="77" t="str">
        <f t="shared" si="7"/>
        <v>Reprov</v>
      </c>
      <c r="T19" s="87"/>
      <c r="U19" s="87"/>
      <c r="V19" s="87"/>
      <c r="W19" s="79">
        <f t="shared" si="8"/>
        <v>0</v>
      </c>
      <c r="X19" s="80">
        <f t="shared" si="13"/>
        <v>0</v>
      </c>
      <c r="Y19" s="80">
        <f>SQRT(X19^2+(0.000005/SQRT(3))^2)</f>
        <v>2.8867513459481293E-6</v>
      </c>
      <c r="Z19" s="81">
        <f t="shared" si="9"/>
        <v>3.8266336380688443E-5</v>
      </c>
      <c r="AA19" s="82">
        <f t="shared" si="1"/>
        <v>2</v>
      </c>
      <c r="AB19" s="80">
        <f t="shared" si="14"/>
        <v>7.6532672761376886E-5</v>
      </c>
      <c r="AC19" s="83" t="str">
        <f t="shared" si="17"/>
        <v>INFINITOS</v>
      </c>
      <c r="AD19" s="84">
        <f t="shared" si="10"/>
        <v>-7.6532672761376886E-5</v>
      </c>
      <c r="AE19" s="85" t="str">
        <f t="shared" si="11"/>
        <v>Reprov</v>
      </c>
    </row>
    <row r="20" spans="1:31" x14ac:dyDescent="0.25">
      <c r="A20" s="528">
        <v>10</v>
      </c>
      <c r="B20" s="521">
        <v>-10</v>
      </c>
      <c r="C20" s="68">
        <v>1</v>
      </c>
      <c r="D20" s="520" t="s">
        <v>40</v>
      </c>
      <c r="E20" s="513"/>
      <c r="F20" s="513"/>
      <c r="G20" s="513"/>
      <c r="H20" s="532">
        <f>(E20+F20+G20)/3</f>
        <v>0</v>
      </c>
      <c r="I20" s="533">
        <f>B20+(B20*0.0035%-A20*0.0005%)</f>
        <v>-10.000400000000001</v>
      </c>
      <c r="J20" s="533">
        <f>B20-(B20*0.0035%-A20*0.0005%)</f>
        <v>-9.9995999999999992</v>
      </c>
      <c r="K20" s="535">
        <f t="shared" ref="K20" si="18">IF(SUM(E20:G20)=0,0,STDEV(E20:G20)/SQRT(3))</f>
        <v>0</v>
      </c>
      <c r="L20" s="72">
        <f>-SQRT(((0.0000005)/SQRT(3))^2+((0.000007*ABS(B20)+0.0000035)/2)^2+(0.000004/SQRT(3))^2+(0.00002/2)^2)</f>
        <v>-3.8157295064858391E-5</v>
      </c>
      <c r="M20" s="72">
        <f>-SQRT(K20^2+(0.000005/SQRT(3))^2)</f>
        <v>-2.8867513459481293E-6</v>
      </c>
      <c r="N20" s="73">
        <f>-SQRT(L20^2+M20^2)</f>
        <v>-3.8266336380688443E-5</v>
      </c>
      <c r="O20" s="74">
        <f t="shared" si="4"/>
        <v>2</v>
      </c>
      <c r="P20" s="72">
        <f t="shared" si="5"/>
        <v>-7.6532672761376886E-5</v>
      </c>
      <c r="Q20" s="75" t="str">
        <f>IF(K20=0,"INFINITOS",(N20^4)/((K20^4)/2))</f>
        <v>INFINITOS</v>
      </c>
      <c r="R20" s="76">
        <f>IF(H20&gt;=B20,H20-P20,H20+P20)</f>
        <v>7.6532672761376886E-5</v>
      </c>
      <c r="S20" s="77" t="str">
        <f t="shared" si="7"/>
        <v>Reprov</v>
      </c>
      <c r="T20" s="87"/>
      <c r="U20" s="87"/>
      <c r="V20" s="87"/>
      <c r="W20" s="79">
        <f t="shared" si="8"/>
        <v>0</v>
      </c>
      <c r="X20" s="80">
        <f t="shared" si="13"/>
        <v>0</v>
      </c>
      <c r="Y20" s="80">
        <f>-SQRT(X20^2+(0.000005/SQRT(3))^2)</f>
        <v>-2.8867513459481293E-6</v>
      </c>
      <c r="Z20" s="81">
        <f>-SQRT(L20^2+Y20^2)</f>
        <v>-3.8266336380688443E-5</v>
      </c>
      <c r="AA20" s="82">
        <f t="shared" si="1"/>
        <v>2</v>
      </c>
      <c r="AB20" s="80">
        <f t="shared" si="14"/>
        <v>-7.6532672761376886E-5</v>
      </c>
      <c r="AC20" s="83" t="str">
        <f t="shared" si="17"/>
        <v>INFINITOS</v>
      </c>
      <c r="AD20" s="84">
        <f t="shared" si="10"/>
        <v>-7.6532672761376886E-5</v>
      </c>
      <c r="AE20" s="85" t="str">
        <f t="shared" si="11"/>
        <v>Reprov</v>
      </c>
    </row>
    <row r="21" spans="1:31" x14ac:dyDescent="0.25">
      <c r="A21" s="528">
        <v>100</v>
      </c>
      <c r="B21" s="522">
        <v>100</v>
      </c>
      <c r="C21" s="68">
        <v>1</v>
      </c>
      <c r="D21" s="523" t="s">
        <v>40</v>
      </c>
      <c r="E21" s="514"/>
      <c r="F21" s="514"/>
      <c r="G21" s="514"/>
      <c r="H21" s="533">
        <f t="shared" si="2"/>
        <v>0</v>
      </c>
      <c r="I21" s="533">
        <f>B21-(B21*0.004%+A21*0.0006%)</f>
        <v>99.995400000000004</v>
      </c>
      <c r="J21" s="533">
        <f>B21+(B21*0.004%+A21*0.0006%)</f>
        <v>100.0046</v>
      </c>
      <c r="K21" s="535">
        <f t="shared" si="12"/>
        <v>0</v>
      </c>
      <c r="L21" s="72">
        <f>SQRT(((0.000005)/SQRT(3))^2+((0.000008*B21+0.00008)/2)^2+(0.00001/SQRT(3))^2+(0.0002/2)^2)</f>
        <v>4.5126673560840559E-4</v>
      </c>
      <c r="M21" s="72">
        <f>SQRT(K21^2+(0.00005/SQRT(3))^2)</f>
        <v>2.8867513459481293E-5</v>
      </c>
      <c r="N21" s="73">
        <f t="shared" si="0"/>
        <v>4.5218911972757592E-4</v>
      </c>
      <c r="O21" s="74">
        <f t="shared" si="4"/>
        <v>2</v>
      </c>
      <c r="P21" s="72">
        <f t="shared" si="5"/>
        <v>9.0437823945515184E-4</v>
      </c>
      <c r="Q21" s="75" t="str">
        <f>IF(K21=0,"INFINITOS",(N21^4)/((K21^4)/2))</f>
        <v>INFINITOS</v>
      </c>
      <c r="R21" s="76">
        <f t="shared" si="6"/>
        <v>-9.0437823945515184E-4</v>
      </c>
      <c r="S21" s="77" t="str">
        <f t="shared" si="7"/>
        <v>Reprov</v>
      </c>
      <c r="T21" s="87"/>
      <c r="U21" s="87"/>
      <c r="V21" s="87"/>
      <c r="W21" s="79">
        <f t="shared" si="8"/>
        <v>0</v>
      </c>
      <c r="X21" s="80">
        <f t="shared" si="13"/>
        <v>0</v>
      </c>
      <c r="Y21" s="80">
        <f>SQRT(X21^2+(0.00005/SQRT(3))^2)</f>
        <v>2.8867513459481293E-5</v>
      </c>
      <c r="Z21" s="81">
        <f t="shared" si="9"/>
        <v>4.5218911972757592E-4</v>
      </c>
      <c r="AA21" s="82">
        <f t="shared" si="1"/>
        <v>2</v>
      </c>
      <c r="AB21" s="80">
        <f t="shared" si="14"/>
        <v>9.0437823945515184E-4</v>
      </c>
      <c r="AC21" s="83" t="str">
        <f t="shared" si="17"/>
        <v>INFINITOS</v>
      </c>
      <c r="AD21" s="84">
        <f t="shared" si="10"/>
        <v>-9.0437823945515184E-4</v>
      </c>
      <c r="AE21" s="85" t="str">
        <f t="shared" si="11"/>
        <v>Reprov</v>
      </c>
    </row>
    <row r="22" spans="1:31" ht="15.75" thickBot="1" x14ac:dyDescent="0.3">
      <c r="A22" s="529">
        <v>1000</v>
      </c>
      <c r="B22" s="524">
        <v>1000</v>
      </c>
      <c r="C22" s="525">
        <v>1</v>
      </c>
      <c r="D22" s="526" t="s">
        <v>40</v>
      </c>
      <c r="E22" s="515"/>
      <c r="F22" s="515"/>
      <c r="G22" s="515"/>
      <c r="H22" s="534">
        <f t="shared" si="2"/>
        <v>0</v>
      </c>
      <c r="I22" s="534">
        <f>B22-(B22*0.004%+A22*0.0006%+500*0.00002)</f>
        <v>999.94399999999996</v>
      </c>
      <c r="J22" s="534">
        <f>B22+(B22*0.004%+A22*0.0006%+500*0.00002)</f>
        <v>1000.056</v>
      </c>
      <c r="K22" s="536">
        <f t="shared" si="12"/>
        <v>0</v>
      </c>
      <c r="L22" s="98">
        <f>SQRT(((0.000005)/SQRT(3))^2+((0.000009*B22+0.0005)/2)^2+(0.0005/SQRT(3))^2+(0.0021/2.04)^2)</f>
        <v>4.868832534394827E-3</v>
      </c>
      <c r="M22" s="98">
        <f>SQRT(K22^2+(0.0005/SQRT(3))^2)</f>
        <v>2.886751345948129E-4</v>
      </c>
      <c r="N22" s="99">
        <f t="shared" si="0"/>
        <v>4.8773828618752998E-3</v>
      </c>
      <c r="O22" s="100">
        <f t="shared" si="4"/>
        <v>2</v>
      </c>
      <c r="P22" s="98">
        <f t="shared" si="5"/>
        <v>9.7547657237505997E-3</v>
      </c>
      <c r="Q22" s="101">
        <f>(N22^4)/(((K22^4)/2)+(0.0021^4/63))</f>
        <v>1833.2038564639138</v>
      </c>
      <c r="R22" s="102">
        <f t="shared" si="6"/>
        <v>-9.7547657237505997E-3</v>
      </c>
      <c r="S22" s="103" t="str">
        <f t="shared" si="7"/>
        <v>Reprov</v>
      </c>
      <c r="T22" s="95"/>
      <c r="U22" s="95"/>
      <c r="V22" s="95"/>
      <c r="W22" s="104">
        <f t="shared" si="8"/>
        <v>0</v>
      </c>
      <c r="X22" s="105">
        <f>IF(SUM(T22:V22)=0,0,STDEV(T22:V22)/SQRT(3))</f>
        <v>0</v>
      </c>
      <c r="Y22" s="105">
        <f>SQRT(X22^2+(0.0005/SQRT(3))^2)</f>
        <v>2.886751345948129E-4</v>
      </c>
      <c r="Z22" s="106">
        <f t="shared" si="9"/>
        <v>4.8773828618752998E-3</v>
      </c>
      <c r="AA22" s="107">
        <f t="shared" si="1"/>
        <v>2</v>
      </c>
      <c r="AB22" s="105">
        <f t="shared" si="14"/>
        <v>9.7547657237505997E-3</v>
      </c>
      <c r="AC22" s="108">
        <f>(Z22^4)/(((X22^4)/2)+(0.0021^4/63))</f>
        <v>1833.2038564639138</v>
      </c>
      <c r="AD22" s="109">
        <f t="shared" si="10"/>
        <v>-9.7547657237505997E-3</v>
      </c>
      <c r="AE22" s="110" t="str">
        <f t="shared" si="11"/>
        <v>Reprov</v>
      </c>
    </row>
    <row r="23" spans="1:31" ht="15.75" thickBot="1" x14ac:dyDescent="0.3">
      <c r="A23" s="42"/>
      <c r="B23" s="14"/>
      <c r="C23" s="43"/>
      <c r="D23" s="14"/>
      <c r="E23" s="15"/>
      <c r="F23" s="15"/>
      <c r="G23" s="15"/>
      <c r="H23" s="15"/>
      <c r="I23" s="25"/>
      <c r="J23" s="14"/>
      <c r="K23" s="111"/>
      <c r="L23" s="25"/>
      <c r="M23" s="25"/>
      <c r="N23" s="25"/>
      <c r="O23" s="25"/>
      <c r="P23" s="68"/>
      <c r="Q23" s="68"/>
      <c r="R23" s="111"/>
      <c r="S23" s="25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3"/>
    </row>
    <row r="24" spans="1:31" ht="16.5" thickBot="1" x14ac:dyDescent="0.3">
      <c r="A24" s="408" t="s">
        <v>41</v>
      </c>
      <c r="B24" s="360" t="s">
        <v>42</v>
      </c>
      <c r="C24" s="361"/>
      <c r="D24" s="362"/>
      <c r="E24" s="404" t="s">
        <v>71</v>
      </c>
      <c r="F24" s="405"/>
      <c r="G24" s="411"/>
      <c r="H24" s="396" t="s">
        <v>23</v>
      </c>
      <c r="I24" s="410" t="s">
        <v>24</v>
      </c>
      <c r="J24" s="402" t="s">
        <v>25</v>
      </c>
      <c r="K24" s="396" t="s">
        <v>26</v>
      </c>
      <c r="L24" s="377" t="s">
        <v>27</v>
      </c>
      <c r="M24" s="377" t="s">
        <v>28</v>
      </c>
      <c r="N24" s="377" t="s">
        <v>29</v>
      </c>
      <c r="O24" s="380" t="s">
        <v>30</v>
      </c>
      <c r="P24" s="398" t="s">
        <v>31</v>
      </c>
      <c r="Q24" s="400" t="s">
        <v>32</v>
      </c>
      <c r="R24" s="398" t="s">
        <v>33</v>
      </c>
      <c r="S24" s="383" t="s">
        <v>34</v>
      </c>
      <c r="T24" s="405" t="s">
        <v>43</v>
      </c>
      <c r="U24" s="405"/>
      <c r="V24" s="406"/>
      <c r="W24" s="396" t="s">
        <v>23</v>
      </c>
      <c r="X24" s="396" t="s">
        <v>26</v>
      </c>
      <c r="Y24" s="377" t="s">
        <v>28</v>
      </c>
      <c r="Z24" s="377" t="s">
        <v>29</v>
      </c>
      <c r="AA24" s="380" t="s">
        <v>30</v>
      </c>
      <c r="AB24" s="398" t="s">
        <v>31</v>
      </c>
      <c r="AC24" s="400" t="s">
        <v>32</v>
      </c>
      <c r="AD24" s="398" t="s">
        <v>33</v>
      </c>
      <c r="AE24" s="383" t="s">
        <v>34</v>
      </c>
    </row>
    <row r="25" spans="1:31" ht="15.75" thickBot="1" x14ac:dyDescent="0.3">
      <c r="A25" s="409"/>
      <c r="B25" s="363"/>
      <c r="C25" s="364"/>
      <c r="D25" s="365"/>
      <c r="E25" s="53" t="s">
        <v>36</v>
      </c>
      <c r="F25" s="54" t="s">
        <v>37</v>
      </c>
      <c r="G25" s="54" t="s">
        <v>38</v>
      </c>
      <c r="H25" s="397"/>
      <c r="I25" s="410"/>
      <c r="J25" s="402"/>
      <c r="K25" s="397"/>
      <c r="L25" s="378"/>
      <c r="M25" s="378"/>
      <c r="N25" s="379"/>
      <c r="O25" s="381"/>
      <c r="P25" s="399"/>
      <c r="Q25" s="401"/>
      <c r="R25" s="399"/>
      <c r="S25" s="384"/>
      <c r="T25" s="53" t="s">
        <v>36</v>
      </c>
      <c r="U25" s="54" t="s">
        <v>37</v>
      </c>
      <c r="V25" s="54" t="s">
        <v>38</v>
      </c>
      <c r="W25" s="397"/>
      <c r="X25" s="397"/>
      <c r="Y25" s="378"/>
      <c r="Z25" s="379"/>
      <c r="AA25" s="381"/>
      <c r="AB25" s="399"/>
      <c r="AC25" s="401"/>
      <c r="AD25" s="399"/>
      <c r="AE25" s="384"/>
    </row>
    <row r="26" spans="1:31" x14ac:dyDescent="0.25">
      <c r="A26" s="67">
        <v>100</v>
      </c>
      <c r="B26" s="114">
        <v>100</v>
      </c>
      <c r="C26" s="68">
        <v>1E-3</v>
      </c>
      <c r="D26" s="69" t="s">
        <v>39</v>
      </c>
      <c r="E26" s="91"/>
      <c r="F26" s="91"/>
      <c r="G26" s="91"/>
      <c r="H26" s="115">
        <f t="shared" ref="H26:H32" si="19">(E26+F26+G26)/3</f>
        <v>0</v>
      </c>
      <c r="I26" s="116">
        <f>B26-(B26*0.06%+A26*0.03%)</f>
        <v>99.91</v>
      </c>
      <c r="J26" s="117">
        <f>B26+(B26*0.06%+A26*0.03%)</f>
        <v>100.09</v>
      </c>
      <c r="K26" s="118">
        <f>IF(SUM(E26:G26)=0,0,STDEV(E26:G26)/SQRT(3))*C26</f>
        <v>0</v>
      </c>
      <c r="L26" s="119">
        <f>SQRT(((0.00000005)/SQRT(3))^2+((0.00011*B26*C26+0.00001)/2)^2+(0.0000002/SQRT(3))^2+(0.0000028/2)^2)</f>
        <v>1.0593590829679362E-5</v>
      </c>
      <c r="M26" s="119">
        <f>SQRT(K26^2+(0.00000005/SQRT(3))^2)</f>
        <v>2.8867513459481289E-8</v>
      </c>
      <c r="N26" s="120">
        <f t="shared" ref="N26:N32" si="20">SQRT(L26^2+M26^2)</f>
        <v>1.0593630161564072E-5</v>
      </c>
      <c r="O26" s="121">
        <f t="shared" ref="O26:O32" si="21">IF(Q26&lt;=1.5,(13.968),IF(Q26&lt;=2.5,(4.527),IF(Q26&lt;=3.5,(3.307),IF(Q26&lt;=4.5,(2.869),IF(Q26&lt;=5.5,(2.649),IF(Q26&lt;=6.5,(2.517),IF(Q26&lt;=7.5,(2.429),IF(Q26&lt;=8.5,(2.2366),IF(Q26&lt;=9.5,(2.32),IF(Q26&lt;=10.5,(2.284),IF(Q26&lt;=11.5,(2.255),IF(Q26&lt;=12.5,(2.231),IF(Q26&lt;=13.5,(2.212),IF(Q26&lt;=14.5,(2.195),IF(Q26&lt;=15.5,(2.181),IF(Q26&lt;=16.5,(2.169),IF(Q26&lt;=17.5,(2.158),IF(Q26&lt;=18.5,(2.149),IF(Q26&lt;=19.5,(2.14),IF(Q26&lt;=22.5,(2.133),IF(Q26&lt;=27.5,(2.105),IF(Q26&lt;=32.5,(2.087),IF(Q26&lt;=37.5,(2.2074),IF(Q26&lt;=45,(2.064),IF(Q26&lt;=55,(2.051),IF(Q26&lt;=65,(2.043),IF(Q26&lt;=75,(2.036),IF(Q26&lt;=85,(2.032),IF(Q26&lt;=95,(2.028),IF(Q26&lt;=125,(2.025),IF(Q26&lt;=175,(2.017),IF(Q26&lt;=500,(2.013),IF(Q26&lt;=1200,(2.003),(2))))))))))))))))))))))))))))))))))</f>
        <v>2</v>
      </c>
      <c r="P26" s="119">
        <f t="shared" ref="P26" si="22">N26*O26*1000</f>
        <v>2.1187260323128145E-2</v>
      </c>
      <c r="Q26" s="119" t="str">
        <f>IF(K26=0,"INFINITOS",(N26^4)/((K26^4)/2))</f>
        <v>INFINITOS</v>
      </c>
      <c r="R26" s="122">
        <f t="shared" ref="R26:R32" si="23">IF(H26&lt;=B26,H26-P26,H26+P26)</f>
        <v>-2.1187260323128145E-2</v>
      </c>
      <c r="S26" s="123" t="str">
        <f t="shared" ref="S26:S32" si="24">IF(I26&lt;R26,IF(R26&lt;J26,"A","Reprov"),"Reprov")</f>
        <v>Reprov</v>
      </c>
      <c r="T26" s="87"/>
      <c r="U26" s="87"/>
      <c r="V26" s="87"/>
      <c r="W26" s="124">
        <f t="shared" ref="W26:W32" si="25">(T26+U26+V26)/3</f>
        <v>0</v>
      </c>
      <c r="X26" s="125">
        <f t="shared" ref="X26:X32" si="26">IF(SUM(T26:V26)=0,0,STDEV(T26:V26)/SQRT(3))*C26</f>
        <v>0</v>
      </c>
      <c r="Y26" s="125">
        <f>SQRT(X26^2+(0.00000005/SQRT(3))^2)</f>
        <v>2.8867513459481289E-8</v>
      </c>
      <c r="Z26" s="126">
        <f t="shared" ref="Z26:Z32" si="27">SQRT(L26^2+Y26^2)</f>
        <v>1.0593630161564072E-5</v>
      </c>
      <c r="AA26" s="127">
        <f t="shared" ref="AA26:AA32" si="28">IF(AC26&lt;=1.5,(13.968),IF(AC26&lt;=2.5,(4.527),IF(AC26&lt;=3.5,(3.307),IF(AC26&lt;=4.5,(2.869),IF(AC26&lt;=5.5,(2.649),IF(AC26&lt;=6.5,(2.517),IF(AC26&lt;=7.5,(2.429),IF(AC26&lt;=8.5,(2.2366),IF(AC26&lt;=9.5,(2.32),IF(AC26&lt;=10.5,(2.284),IF(AC26&lt;=11.5,(2.255),IF(AC26&lt;=12.5,(2.231),IF(AC26&lt;=13.5,(2.212),IF(AC26&lt;=14.5,(2.195),IF(AC26&lt;=15.5,(2.181),IF(AC26&lt;=16.5,(2.169),IF(AC26&lt;=17.5,(2.158),IF(AC26&lt;=18.5,(2.149),IF(AC26&lt;=19.5,(2.14),IF(AC26&lt;=22.5,(2.133),IF(AC26&lt;=27.5,(2.105),IF(AC26&lt;=32.5,(2.087),IF(AC26&lt;=37.5,(2.2074),IF(AC26&lt;=45,(2.064),IF(AC26&lt;=55,(2.051),IF(AC26&lt;=65,(2.043),IF(AC26&lt;=75,(2.036),IF(AC26&lt;=85,(2.032),IF(AC26&lt;=95,(2.028),IF(AC26&lt;=125,(2.025),IF(AC26&lt;=175,(2.017),IF(AC26&lt;=500,(2.013),IF(AC26&lt;=1200,(2.003),(2))))))))))))))))))))))))))))))))))</f>
        <v>2</v>
      </c>
      <c r="AB26" s="125">
        <f t="shared" ref="AB26" si="29">AA26*Z26*1000</f>
        <v>2.1187260323128145E-2</v>
      </c>
      <c r="AC26" s="128" t="str">
        <f t="shared" ref="AC26:AC30" si="30">IF(X26=0,"INFINITOS",(Z26^4)/((X26^4)/2))</f>
        <v>INFINITOS</v>
      </c>
      <c r="AD26" s="129">
        <f t="shared" ref="AD26:AD32" si="31">IF(W26&lt;=B26,W26-AB26,W26+AB26)</f>
        <v>-2.1187260323128145E-2</v>
      </c>
      <c r="AE26" s="130" t="str">
        <f t="shared" ref="AE26:AE32" si="32">IF(I26&lt;AD26,IF(AD26&lt;J26,"A","Reprov"),"Reprov")</f>
        <v>Reprov</v>
      </c>
    </row>
    <row r="27" spans="1:31" x14ac:dyDescent="0.25">
      <c r="A27" s="67">
        <v>1</v>
      </c>
      <c r="B27" s="89">
        <v>0.15</v>
      </c>
      <c r="C27" s="68">
        <v>1</v>
      </c>
      <c r="D27" s="69" t="s">
        <v>40</v>
      </c>
      <c r="E27" s="78"/>
      <c r="F27" s="78"/>
      <c r="G27" s="78"/>
      <c r="H27" s="115">
        <f t="shared" si="19"/>
        <v>0</v>
      </c>
      <c r="I27" s="131">
        <f t="shared" ref="I27:I30" si="33">B27-(B27*0.06%+A27*0.03%)</f>
        <v>0.14960999999999999</v>
      </c>
      <c r="J27" s="86">
        <f t="shared" ref="J27:J31" si="34">B27+(B27*0.06%+A27*0.03%)</f>
        <v>0.15039</v>
      </c>
      <c r="K27" s="71">
        <f t="shared" ref="K27:K32" si="35">IF(SUM(E27:G27)=0,0,STDEV(E27:G27)/SQRT(3))*C27</f>
        <v>0</v>
      </c>
      <c r="L27" s="119">
        <f>SQRT(((0.00000005)/SQRT(3))^2+((0.00011*B27+0.00001)/2)^2+(0.0000006/SQRT(3))^2+(0.0000044/2)^2)</f>
        <v>1.3435897191231159E-5</v>
      </c>
      <c r="M27" s="72">
        <f>SQRT(K27^2+(0.0000005/SQRT(3))^2)</f>
        <v>2.8867513459481289E-7</v>
      </c>
      <c r="N27" s="73">
        <f t="shared" si="20"/>
        <v>1.3438997978520075E-5</v>
      </c>
      <c r="O27" s="74">
        <f t="shared" si="21"/>
        <v>2</v>
      </c>
      <c r="P27" s="72">
        <f t="shared" ref="P27:P32" si="36">N27*O27</f>
        <v>2.6877995957040151E-5</v>
      </c>
      <c r="Q27" s="119" t="str">
        <f t="shared" ref="Q27:Q28" si="37">IF(K27=0,"INFINITOS",(N27^4)/((K27^4)/2))</f>
        <v>INFINITOS</v>
      </c>
      <c r="R27" s="76">
        <f t="shared" si="23"/>
        <v>-2.6877995957040151E-5</v>
      </c>
      <c r="S27" s="77" t="str">
        <f t="shared" si="24"/>
        <v>Reprov</v>
      </c>
      <c r="T27" s="87"/>
      <c r="U27" s="87"/>
      <c r="V27" s="87"/>
      <c r="W27" s="79">
        <f t="shared" si="25"/>
        <v>0</v>
      </c>
      <c r="X27" s="80">
        <f t="shared" si="26"/>
        <v>0</v>
      </c>
      <c r="Y27" s="80">
        <f>SQRT(X27^2+(0.0000005/SQRT(3))^2)</f>
        <v>2.8867513459481289E-7</v>
      </c>
      <c r="Z27" s="81">
        <f t="shared" si="27"/>
        <v>1.3438997978520075E-5</v>
      </c>
      <c r="AA27" s="82">
        <f t="shared" si="28"/>
        <v>2</v>
      </c>
      <c r="AB27" s="80">
        <f t="shared" ref="AB27:AB32" si="38">AA27*Z27</f>
        <v>2.6877995957040151E-5</v>
      </c>
      <c r="AC27" s="83" t="str">
        <f t="shared" si="30"/>
        <v>INFINITOS</v>
      </c>
      <c r="AD27" s="84">
        <f t="shared" si="31"/>
        <v>-2.6877995957040151E-5</v>
      </c>
      <c r="AE27" s="85" t="str">
        <f t="shared" si="32"/>
        <v>Reprov</v>
      </c>
    </row>
    <row r="28" spans="1:31" x14ac:dyDescent="0.25">
      <c r="A28" s="67">
        <v>1</v>
      </c>
      <c r="B28" s="89">
        <v>0.5</v>
      </c>
      <c r="C28" s="68">
        <v>1</v>
      </c>
      <c r="D28" s="69" t="s">
        <v>40</v>
      </c>
      <c r="E28" s="70"/>
      <c r="F28" s="70"/>
      <c r="G28" s="70"/>
      <c r="H28" s="115">
        <f t="shared" si="19"/>
        <v>0</v>
      </c>
      <c r="I28" s="131">
        <f t="shared" si="33"/>
        <v>0.49940000000000001</v>
      </c>
      <c r="J28" s="86">
        <f t="shared" si="34"/>
        <v>0.50060000000000004</v>
      </c>
      <c r="K28" s="71">
        <f t="shared" si="35"/>
        <v>0</v>
      </c>
      <c r="L28" s="119">
        <f>SQRT(((0.0000005)/SQRT(3))^2+((0.000085*B28+0.000007)/2)^2+(0.000004/SQRT(3))^2+(0.000027/2)^2)</f>
        <v>2.8288322089983822E-5</v>
      </c>
      <c r="M28" s="72">
        <f>SQRT(K28^2+(0.0000005/SQRT(3))^2)</f>
        <v>2.8867513459481289E-7</v>
      </c>
      <c r="N28" s="73">
        <f t="shared" si="20"/>
        <v>2.8289794979815602E-5</v>
      </c>
      <c r="O28" s="74">
        <f t="shared" si="21"/>
        <v>2</v>
      </c>
      <c r="P28" s="72">
        <f t="shared" si="36"/>
        <v>5.6579589959631205E-5</v>
      </c>
      <c r="Q28" s="119" t="str">
        <f t="shared" si="37"/>
        <v>INFINITOS</v>
      </c>
      <c r="R28" s="76">
        <f t="shared" si="23"/>
        <v>-5.6579589959631205E-5</v>
      </c>
      <c r="S28" s="77" t="str">
        <f t="shared" si="24"/>
        <v>Reprov</v>
      </c>
      <c r="T28" s="87"/>
      <c r="U28" s="87"/>
      <c r="V28" s="87"/>
      <c r="W28" s="79">
        <f t="shared" si="25"/>
        <v>0</v>
      </c>
      <c r="X28" s="80">
        <f t="shared" si="26"/>
        <v>0</v>
      </c>
      <c r="Y28" s="80">
        <f>SQRT(X28^2+(0.0000005/SQRT(3))^2)</f>
        <v>2.8867513459481289E-7</v>
      </c>
      <c r="Z28" s="81">
        <f t="shared" si="27"/>
        <v>2.8289794979815602E-5</v>
      </c>
      <c r="AA28" s="82">
        <f t="shared" si="28"/>
        <v>2</v>
      </c>
      <c r="AB28" s="80">
        <f t="shared" si="38"/>
        <v>5.6579589959631205E-5</v>
      </c>
      <c r="AC28" s="83" t="str">
        <f t="shared" si="30"/>
        <v>INFINITOS</v>
      </c>
      <c r="AD28" s="84">
        <f t="shared" si="31"/>
        <v>-5.6579589959631205E-5</v>
      </c>
      <c r="AE28" s="85" t="str">
        <f t="shared" si="32"/>
        <v>Reprov</v>
      </c>
    </row>
    <row r="29" spans="1:31" x14ac:dyDescent="0.25">
      <c r="A29" s="67">
        <v>1</v>
      </c>
      <c r="B29" s="89">
        <v>1</v>
      </c>
      <c r="C29" s="68">
        <v>1</v>
      </c>
      <c r="D29" s="69" t="s">
        <v>40</v>
      </c>
      <c r="E29" s="70"/>
      <c r="F29" s="70"/>
      <c r="G29" s="70"/>
      <c r="H29" s="115">
        <f t="shared" si="19"/>
        <v>0</v>
      </c>
      <c r="I29" s="131">
        <f t="shared" si="33"/>
        <v>0.99909999999999999</v>
      </c>
      <c r="J29" s="86">
        <f t="shared" si="34"/>
        <v>1.0008999999999999</v>
      </c>
      <c r="K29" s="71">
        <f t="shared" si="35"/>
        <v>0</v>
      </c>
      <c r="L29" s="119">
        <f>SQRT(((0.0000005)/SQRT(3))^2+((0.000085*B29+0.000007)/2)^2+(0.000004/SQRT(3))^2+(0.000027/2)^2)</f>
        <v>4.799652765218195E-5</v>
      </c>
      <c r="M29" s="72">
        <f>SQRT(K29^2+(0.0000005/SQRT(3))^2)</f>
        <v>2.8867513459481289E-7</v>
      </c>
      <c r="N29" s="73">
        <f t="shared" si="20"/>
        <v>4.7997395762686953E-5</v>
      </c>
      <c r="O29" s="74">
        <f t="shared" si="21"/>
        <v>2</v>
      </c>
      <c r="P29" s="72">
        <f t="shared" si="36"/>
        <v>9.5994791525373907E-5</v>
      </c>
      <c r="Q29" s="72" t="str">
        <f>IF(K29=0,"INFINITOS",(N29^4)/((K29^4)/2))</f>
        <v>INFINITOS</v>
      </c>
      <c r="R29" s="76">
        <f t="shared" si="23"/>
        <v>-9.5994791525373907E-5</v>
      </c>
      <c r="S29" s="77" t="str">
        <f t="shared" si="24"/>
        <v>Reprov</v>
      </c>
      <c r="T29" s="87"/>
      <c r="U29" s="87"/>
      <c r="V29" s="87"/>
      <c r="W29" s="79">
        <f t="shared" si="25"/>
        <v>0</v>
      </c>
      <c r="X29" s="80">
        <f t="shared" si="26"/>
        <v>0</v>
      </c>
      <c r="Y29" s="80">
        <f>SQRT(X29^2+(0.0000005/SQRT(3))^2)</f>
        <v>2.8867513459481289E-7</v>
      </c>
      <c r="Z29" s="81">
        <f t="shared" si="27"/>
        <v>4.7997395762686953E-5</v>
      </c>
      <c r="AA29" s="82">
        <f t="shared" si="28"/>
        <v>2</v>
      </c>
      <c r="AB29" s="80">
        <f t="shared" si="38"/>
        <v>9.5994791525373907E-5</v>
      </c>
      <c r="AC29" s="83" t="str">
        <f t="shared" si="30"/>
        <v>INFINITOS</v>
      </c>
      <c r="AD29" s="84">
        <f t="shared" si="31"/>
        <v>-9.5994791525373907E-5</v>
      </c>
      <c r="AE29" s="85" t="str">
        <f t="shared" si="32"/>
        <v>Reprov</v>
      </c>
    </row>
    <row r="30" spans="1:31" x14ac:dyDescent="0.25">
      <c r="A30" s="67">
        <v>10</v>
      </c>
      <c r="B30" s="89">
        <v>10</v>
      </c>
      <c r="C30" s="68">
        <v>1</v>
      </c>
      <c r="D30" s="69" t="s">
        <v>40</v>
      </c>
      <c r="E30" s="78"/>
      <c r="F30" s="78"/>
      <c r="G30" s="78"/>
      <c r="H30" s="115">
        <f t="shared" si="19"/>
        <v>0</v>
      </c>
      <c r="I30" s="132">
        <f t="shared" si="33"/>
        <v>9.9909999999999997</v>
      </c>
      <c r="J30" s="88">
        <f t="shared" si="34"/>
        <v>10.009</v>
      </c>
      <c r="K30" s="71">
        <f t="shared" si="35"/>
        <v>0</v>
      </c>
      <c r="L30" s="119">
        <f>SQRT(((0.000005)/SQRT(3))^2+((0.000085*B30+0.00007)/2)^2+(0.00001/SQRT(3))^2+(0.00026/2)^2)</f>
        <v>4.7806031697544891E-4</v>
      </c>
      <c r="M30" s="72">
        <f>SQRT(K30^2+(0.000005/SQRT(3))^2)</f>
        <v>2.8867513459481293E-6</v>
      </c>
      <c r="N30" s="73">
        <f t="shared" si="20"/>
        <v>4.7806903267206088E-4</v>
      </c>
      <c r="O30" s="74">
        <f t="shared" si="21"/>
        <v>2</v>
      </c>
      <c r="P30" s="72">
        <f t="shared" si="36"/>
        <v>9.5613806534412176E-4</v>
      </c>
      <c r="Q30" s="72" t="str">
        <f>IF(K30=0,"INFINITOS",(N30^4)/((K30^4)/2))</f>
        <v>INFINITOS</v>
      </c>
      <c r="R30" s="76">
        <f t="shared" si="23"/>
        <v>-9.5613806534412176E-4</v>
      </c>
      <c r="S30" s="77" t="str">
        <f t="shared" si="24"/>
        <v>Reprov</v>
      </c>
      <c r="T30" s="87"/>
      <c r="U30" s="87"/>
      <c r="V30" s="87"/>
      <c r="W30" s="79">
        <f t="shared" si="25"/>
        <v>0</v>
      </c>
      <c r="X30" s="80">
        <f t="shared" si="26"/>
        <v>0</v>
      </c>
      <c r="Y30" s="80">
        <f>SQRT(X30^2+(0.000005/SQRT(3))^2)</f>
        <v>2.8867513459481293E-6</v>
      </c>
      <c r="Z30" s="81">
        <f t="shared" si="27"/>
        <v>4.7806903267206088E-4</v>
      </c>
      <c r="AA30" s="82">
        <f t="shared" si="28"/>
        <v>2</v>
      </c>
      <c r="AB30" s="80">
        <f t="shared" si="38"/>
        <v>9.5613806534412176E-4</v>
      </c>
      <c r="AC30" s="83" t="str">
        <f t="shared" si="30"/>
        <v>INFINITOS</v>
      </c>
      <c r="AD30" s="84">
        <f t="shared" si="31"/>
        <v>-9.5613806534412176E-4</v>
      </c>
      <c r="AE30" s="85" t="str">
        <f t="shared" si="32"/>
        <v>Reprov</v>
      </c>
    </row>
    <row r="31" spans="1:31" x14ac:dyDescent="0.25">
      <c r="A31" s="67">
        <v>100</v>
      </c>
      <c r="B31" s="114">
        <v>100</v>
      </c>
      <c r="C31" s="68">
        <v>1</v>
      </c>
      <c r="D31" s="69" t="s">
        <v>40</v>
      </c>
      <c r="E31" s="91"/>
      <c r="F31" s="91"/>
      <c r="G31" s="91"/>
      <c r="H31" s="115">
        <f t="shared" si="19"/>
        <v>0</v>
      </c>
      <c r="I31" s="116">
        <f>B31-(B31*0.06%+A31*0.03%)</f>
        <v>99.91</v>
      </c>
      <c r="J31" s="117">
        <f t="shared" si="34"/>
        <v>100.09</v>
      </c>
      <c r="K31" s="71">
        <f t="shared" si="35"/>
        <v>0</v>
      </c>
      <c r="L31" s="119">
        <f>SQRT(((0.00005)/SQRT(3))^2+((0.00009*B31+0.001)/2)^2+(0.0031/SQRT(3))^2+(0.0028/2)^2)</f>
        <v>5.4921914266225901E-3</v>
      </c>
      <c r="M31" s="72">
        <f>SQRT(K31^2+(0.00005/SQRT(3))^2)</f>
        <v>2.8867513459481293E-5</v>
      </c>
      <c r="N31" s="73">
        <f t="shared" si="20"/>
        <v>5.4922672913834056E-3</v>
      </c>
      <c r="O31" s="74">
        <f t="shared" si="21"/>
        <v>2</v>
      </c>
      <c r="P31" s="72">
        <f t="shared" si="36"/>
        <v>1.0984534582766811E-2</v>
      </c>
      <c r="Q31" s="72">
        <f>(N31^4)/(((K31^4)/2)+(0.0028^4/796))</f>
        <v>11783.860746498865</v>
      </c>
      <c r="R31" s="76">
        <f t="shared" si="23"/>
        <v>-1.0984534582766811E-2</v>
      </c>
      <c r="S31" s="77" t="str">
        <f t="shared" si="24"/>
        <v>Reprov</v>
      </c>
      <c r="T31" s="87"/>
      <c r="U31" s="87"/>
      <c r="V31" s="87"/>
      <c r="W31" s="79">
        <f t="shared" si="25"/>
        <v>0</v>
      </c>
      <c r="X31" s="80">
        <f t="shared" si="26"/>
        <v>0</v>
      </c>
      <c r="Y31" s="80">
        <f>SQRT(X31^2+(0.00005/SQRT(3))^2)</f>
        <v>2.8867513459481293E-5</v>
      </c>
      <c r="Z31" s="81">
        <f t="shared" si="27"/>
        <v>5.4922672913834056E-3</v>
      </c>
      <c r="AA31" s="82">
        <f t="shared" si="28"/>
        <v>2</v>
      </c>
      <c r="AB31" s="80">
        <f t="shared" si="38"/>
        <v>1.0984534582766811E-2</v>
      </c>
      <c r="AC31" s="83">
        <f>(Z31^4)/(((X31^4)/2)+(0.0028^4/796))</f>
        <v>11783.860746498865</v>
      </c>
      <c r="AD31" s="84">
        <f t="shared" si="31"/>
        <v>-1.0984534582766811E-2</v>
      </c>
      <c r="AE31" s="85" t="str">
        <f t="shared" si="32"/>
        <v>Reprov</v>
      </c>
    </row>
    <row r="32" spans="1:31" ht="15.75" thickBot="1" x14ac:dyDescent="0.3">
      <c r="A32" s="92">
        <v>750</v>
      </c>
      <c r="B32" s="93">
        <v>750</v>
      </c>
      <c r="C32" s="94">
        <v>1</v>
      </c>
      <c r="D32" s="133" t="s">
        <v>40</v>
      </c>
      <c r="E32" s="95"/>
      <c r="F32" s="95"/>
      <c r="G32" s="95"/>
      <c r="H32" s="134">
        <f t="shared" si="19"/>
        <v>0</v>
      </c>
      <c r="I32" s="135">
        <f>B32-(B32*0.06%+A32*0.03%+450*0.0007)</f>
        <v>749.01</v>
      </c>
      <c r="J32" s="96">
        <f>B32+(B32*0.06%+A32*0.03%+450*0.0007)</f>
        <v>750.99</v>
      </c>
      <c r="K32" s="97">
        <f t="shared" si="35"/>
        <v>0</v>
      </c>
      <c r="L32" s="98">
        <f>SQRT(((0.0005)/SQRT(3))^2+((0.00009*B32+0.004)/2)^2+(0.033/SQRT(3))^2+(0.044/2.43)^2)</f>
        <v>4.4373518378696811E-2</v>
      </c>
      <c r="M32" s="98">
        <f>SQRT(K32^2+(0.0005/SQRT(3))^2)</f>
        <v>2.886751345948129E-4</v>
      </c>
      <c r="N32" s="99">
        <f t="shared" si="20"/>
        <v>4.4374457367249875E-2</v>
      </c>
      <c r="O32" s="100">
        <f t="shared" si="21"/>
        <v>2.4289999999999998</v>
      </c>
      <c r="P32" s="98">
        <f t="shared" si="36"/>
        <v>0.10778555694504995</v>
      </c>
      <c r="Q32" s="98">
        <f>(N32^4)/(((K32^4)/2)+(0.044^4/7))</f>
        <v>7.2413502736296698</v>
      </c>
      <c r="R32" s="102">
        <f t="shared" si="23"/>
        <v>-0.10778555694504995</v>
      </c>
      <c r="S32" s="103" t="str">
        <f t="shared" si="24"/>
        <v>Reprov</v>
      </c>
      <c r="T32" s="95"/>
      <c r="U32" s="95"/>
      <c r="V32" s="95"/>
      <c r="W32" s="104">
        <f t="shared" si="25"/>
        <v>0</v>
      </c>
      <c r="X32" s="105">
        <f t="shared" si="26"/>
        <v>0</v>
      </c>
      <c r="Y32" s="105">
        <f>SQRT(X32^2+(0.0005/SQRT(3))^2)</f>
        <v>2.886751345948129E-4</v>
      </c>
      <c r="Z32" s="106">
        <f t="shared" si="27"/>
        <v>4.4374457367249875E-2</v>
      </c>
      <c r="AA32" s="107">
        <f t="shared" si="28"/>
        <v>2.4289999999999998</v>
      </c>
      <c r="AB32" s="105">
        <f t="shared" si="38"/>
        <v>0.10778555694504995</v>
      </c>
      <c r="AC32" s="108">
        <f>(Z32^4)/(((X32^4)/2)+(0.044^4/7))</f>
        <v>7.2413502736296698</v>
      </c>
      <c r="AD32" s="109">
        <f t="shared" si="31"/>
        <v>-0.10778555694504995</v>
      </c>
      <c r="AE32" s="110" t="str">
        <f t="shared" si="32"/>
        <v>Reprov</v>
      </c>
    </row>
    <row r="33" spans="1:31" ht="15.75" thickBot="1" x14ac:dyDescent="0.3">
      <c r="A33" s="136"/>
      <c r="B33" s="137"/>
      <c r="C33" s="138"/>
      <c r="D33" s="139"/>
      <c r="E33" s="140"/>
      <c r="F33" s="140"/>
      <c r="G33" s="140"/>
      <c r="H33" s="141"/>
      <c r="I33" s="142"/>
      <c r="J33" s="137"/>
      <c r="K33" s="143"/>
      <c r="L33" s="143"/>
      <c r="M33" s="143"/>
      <c r="N33" s="144"/>
      <c r="O33" s="144"/>
      <c r="P33" s="138"/>
      <c r="Q33" s="138"/>
      <c r="R33" s="145"/>
      <c r="S33" s="146"/>
      <c r="T33" s="140"/>
      <c r="U33" s="140"/>
      <c r="V33" s="140"/>
      <c r="W33" s="143"/>
      <c r="X33" s="143"/>
      <c r="Y33" s="143"/>
      <c r="Z33" s="144"/>
      <c r="AA33" s="144"/>
      <c r="AB33" s="138"/>
      <c r="AC33" s="145"/>
      <c r="AD33" s="145"/>
      <c r="AE33" s="147"/>
    </row>
    <row r="34" spans="1:31" ht="16.5" thickBot="1" x14ac:dyDescent="0.3">
      <c r="A34" s="408" t="s">
        <v>41</v>
      </c>
      <c r="B34" s="360" t="s">
        <v>42</v>
      </c>
      <c r="C34" s="361"/>
      <c r="D34" s="362"/>
      <c r="E34" s="404" t="s">
        <v>72</v>
      </c>
      <c r="F34" s="405"/>
      <c r="G34" s="406"/>
      <c r="H34" s="396" t="s">
        <v>23</v>
      </c>
      <c r="I34" s="410" t="s">
        <v>24</v>
      </c>
      <c r="J34" s="410" t="s">
        <v>25</v>
      </c>
      <c r="K34" s="396" t="s">
        <v>26</v>
      </c>
      <c r="L34" s="377" t="s">
        <v>27</v>
      </c>
      <c r="M34" s="377" t="s">
        <v>28</v>
      </c>
      <c r="N34" s="377" t="s">
        <v>29</v>
      </c>
      <c r="O34" s="380" t="s">
        <v>30</v>
      </c>
      <c r="P34" s="398" t="s">
        <v>31</v>
      </c>
      <c r="Q34" s="400" t="s">
        <v>32</v>
      </c>
      <c r="R34" s="398" t="s">
        <v>33</v>
      </c>
      <c r="S34" s="383" t="s">
        <v>34</v>
      </c>
      <c r="T34" s="404" t="s">
        <v>44</v>
      </c>
      <c r="U34" s="405"/>
      <c r="V34" s="406"/>
      <c r="W34" s="396" t="s">
        <v>23</v>
      </c>
      <c r="X34" s="412" t="s">
        <v>26</v>
      </c>
      <c r="Y34" s="377" t="s">
        <v>28</v>
      </c>
      <c r="Z34" s="377" t="s">
        <v>29</v>
      </c>
      <c r="AA34" s="380" t="s">
        <v>30</v>
      </c>
      <c r="AB34" s="398" t="s">
        <v>31</v>
      </c>
      <c r="AC34" s="400" t="s">
        <v>32</v>
      </c>
      <c r="AD34" s="398" t="s">
        <v>33</v>
      </c>
      <c r="AE34" s="383" t="s">
        <v>34</v>
      </c>
    </row>
    <row r="35" spans="1:31" ht="15.75" thickBot="1" x14ac:dyDescent="0.3">
      <c r="A35" s="409"/>
      <c r="B35" s="363"/>
      <c r="C35" s="364"/>
      <c r="D35" s="365"/>
      <c r="E35" s="53" t="s">
        <v>36</v>
      </c>
      <c r="F35" s="54" t="s">
        <v>37</v>
      </c>
      <c r="G35" s="54" t="s">
        <v>38</v>
      </c>
      <c r="H35" s="397"/>
      <c r="I35" s="410"/>
      <c r="J35" s="410"/>
      <c r="K35" s="403"/>
      <c r="L35" s="378"/>
      <c r="M35" s="378"/>
      <c r="N35" s="379"/>
      <c r="O35" s="381"/>
      <c r="P35" s="399"/>
      <c r="Q35" s="401"/>
      <c r="R35" s="399"/>
      <c r="S35" s="384"/>
      <c r="T35" s="53" t="s">
        <v>36</v>
      </c>
      <c r="U35" s="54" t="s">
        <v>37</v>
      </c>
      <c r="V35" s="54" t="s">
        <v>38</v>
      </c>
      <c r="W35" s="397"/>
      <c r="X35" s="413"/>
      <c r="Y35" s="378"/>
      <c r="Z35" s="379"/>
      <c r="AA35" s="381"/>
      <c r="AB35" s="399"/>
      <c r="AC35" s="401"/>
      <c r="AD35" s="399"/>
      <c r="AE35" s="384"/>
    </row>
    <row r="36" spans="1:31" x14ac:dyDescent="0.25">
      <c r="A36" s="67">
        <v>100</v>
      </c>
      <c r="B36" s="114">
        <v>100</v>
      </c>
      <c r="C36" s="68">
        <v>1E-3</v>
      </c>
      <c r="D36" s="69" t="s">
        <v>39</v>
      </c>
      <c r="E36" s="148"/>
      <c r="F36" s="149"/>
      <c r="G36" s="150"/>
      <c r="H36" s="88">
        <f t="shared" ref="H36:H42" si="39">(E36+F36+G36)/3</f>
        <v>0</v>
      </c>
      <c r="I36" s="116">
        <f>B36-(B36*0.1%+A36*0.05%)</f>
        <v>99.85</v>
      </c>
      <c r="J36" s="117">
        <f t="shared" ref="J36:J42" si="40">B36+(B36*0.1%+A36*0.05%)</f>
        <v>100.15</v>
      </c>
      <c r="K36" s="56">
        <f>IF(SUM(E36:G36)=0,0,STDEV(E36:G36)/SQRT(3))*C36</f>
        <v>0</v>
      </c>
      <c r="L36" s="57">
        <f>SQRT(((0.00000005)/SQRT(3))^2+((0.00032*B36*C36+0.000008)/2)^2+(0.0000027/SQRT(3))^2+(0.0000048/2)^2)</f>
        <v>2.0203733153388588E-5</v>
      </c>
      <c r="M36" s="119">
        <f>SQRT(K36^2+(0.00000005/SQRT(3))^2)</f>
        <v>2.8867513459481289E-8</v>
      </c>
      <c r="N36" s="120">
        <f t="shared" ref="N36:N42" si="41">SQRT(L36^2+M36^2)</f>
        <v>2.0203753776629394E-5</v>
      </c>
      <c r="O36" s="121">
        <f t="shared" ref="O36:O42" si="42">IF(Q36&lt;=1.5,(13.968),IF(Q36&lt;=2.5,(4.527),IF(Q36&lt;=3.5,(3.307),IF(Q36&lt;=4.5,(2.869),IF(Q36&lt;=5.5,(2.649),IF(Q36&lt;=6.5,(2.517),IF(Q36&lt;=7.5,(2.429),IF(Q36&lt;=8.5,(2.2366),IF(Q36&lt;=9.5,(2.32),IF(Q36&lt;=10.5,(2.284),IF(Q36&lt;=11.5,(2.255),IF(Q36&lt;=12.5,(2.231),IF(Q36&lt;=13.5,(2.212),IF(Q36&lt;=14.5,(2.195),IF(Q36&lt;=15.5,(2.181),IF(Q36&lt;=16.5,(2.169),IF(Q36&lt;=17.5,(2.158),IF(Q36&lt;=18.5,(2.149),IF(Q36&lt;=19.5,(2.14),IF(Q36&lt;=22.5,(2.133),IF(Q36&lt;=27.5,(2.105),IF(Q36&lt;=32.5,(2.087),IF(Q36&lt;=37.5,(2.2074),IF(Q36&lt;=45,(2.064),IF(Q36&lt;=55,(2.051),IF(Q36&lt;=65,(2.043),IF(Q36&lt;=75,(2.036),IF(Q36&lt;=85,(2.032),IF(Q36&lt;=95,(2.028),IF(Q36&lt;=125,(2.025),IF(Q36&lt;=175,(2.017),IF(Q36&lt;=500,(2.013),IF(Q36&lt;=1200,(2.003),(2))))))))))))))))))))))))))))))))))</f>
        <v>2</v>
      </c>
      <c r="P36" s="119">
        <f>N36*O36*1000</f>
        <v>4.0407507553258788E-2</v>
      </c>
      <c r="Q36" s="119" t="str">
        <f t="shared" ref="Q36:Q42" si="43">IF(K36=0,"INFINITOS",(N36^4)/((K36^4)/2))</f>
        <v>INFINITOS</v>
      </c>
      <c r="R36" s="122">
        <f t="shared" ref="R36:R42" si="44">IF(H36&lt;=B36,H36-P36,H36+P36)</f>
        <v>-4.0407507553258788E-2</v>
      </c>
      <c r="S36" s="123" t="str">
        <f t="shared" ref="S36:S42" si="45">IF(I36&lt;R36,IF(R36&lt;J36,"A","Reprov"),"Reprov")</f>
        <v>Reprov</v>
      </c>
      <c r="T36" s="148"/>
      <c r="U36" s="149"/>
      <c r="V36" s="150"/>
      <c r="W36" s="124">
        <f>(T36+U36+V36)/3</f>
        <v>0</v>
      </c>
      <c r="X36" s="125">
        <f t="shared" ref="X36" si="46">IF(SUM(T36:V36)=0,0,STDEV(T36:V36)/SQRT(3))*C36</f>
        <v>0</v>
      </c>
      <c r="Y36" s="125">
        <f>SQRT(X36^2+(0.00000005/SQRT(3))^2)</f>
        <v>2.8867513459481289E-8</v>
      </c>
      <c r="Z36" s="126">
        <f t="shared" ref="Z36:Z42" si="47">SQRT(L36^2+Y36^2)</f>
        <v>2.0203753776629394E-5</v>
      </c>
      <c r="AA36" s="127">
        <f t="shared" ref="AA36:AA42" si="48">IF(AC36&lt;=1.5,(13.968),IF(AC36&lt;=2.5,(4.527),IF(AC36&lt;=3.5,(3.307),IF(AC36&lt;=4.5,(2.869),IF(AC36&lt;=5.5,(2.649),IF(AC36&lt;=6.5,(2.517),IF(AC36&lt;=7.5,(2.429),IF(AC36&lt;=8.5,(2.2366),IF(AC36&lt;=9.5,(2.32),IF(AC36&lt;=10.5,(2.284),IF(AC36&lt;=11.5,(2.255),IF(AC36&lt;=12.5,(2.231),IF(AC36&lt;=13.5,(2.212),IF(AC36&lt;=14.5,(2.195),IF(AC36&lt;=15.5,(2.181),IF(AC36&lt;=16.5,(2.169),IF(AC36&lt;=17.5,(2.158),IF(AC36&lt;=18.5,(2.149),IF(AC36&lt;=19.5,(2.14),IF(AC36&lt;=22.5,(2.133),IF(AC36&lt;=27.5,(2.105),IF(AC36&lt;=32.5,(2.087),IF(AC36&lt;=37.5,(2.2074),IF(AC36&lt;=45,(2.064),IF(AC36&lt;=55,(2.051),IF(AC36&lt;=65,(2.043),IF(AC36&lt;=75,(2.036),IF(AC36&lt;=85,(2.032),IF(AC36&lt;=95,(2.028),IF(AC36&lt;=125,(2.025),IF(AC36&lt;=175,(2.017),IF(AC36&lt;=500,(2.013),IF(AC36&lt;=1200,(2.003),(2))))))))))))))))))))))))))))))))))</f>
        <v>2</v>
      </c>
      <c r="AB36" s="125">
        <f t="shared" ref="AB36" si="49">AA36*Z36*1000</f>
        <v>4.0407507553258788E-2</v>
      </c>
      <c r="AC36" s="128" t="str">
        <f t="shared" ref="AC36:AC42" si="50">IF(X36=0,"INFINITOS",(Z36^4)/((X36^4)/2))</f>
        <v>INFINITOS</v>
      </c>
      <c r="AD36" s="129">
        <f t="shared" ref="AD36:AD42" si="51">IF(W36&lt;=B36,W36-AB36,W36+AB36)</f>
        <v>-4.0407507553258788E-2</v>
      </c>
      <c r="AE36" s="130" t="str">
        <f t="shared" ref="AE36:AE42" si="52">IF(I36&lt;AD36,IF(AD36&lt;J36,"A","Reprov"),"Reprov")</f>
        <v>Reprov</v>
      </c>
    </row>
    <row r="37" spans="1:31" x14ac:dyDescent="0.25">
      <c r="A37" s="67">
        <v>1</v>
      </c>
      <c r="B37" s="89">
        <v>0.15</v>
      </c>
      <c r="C37" s="68">
        <v>1</v>
      </c>
      <c r="D37" s="69" t="s">
        <v>40</v>
      </c>
      <c r="E37" s="70"/>
      <c r="F37" s="70"/>
      <c r="G37" s="70"/>
      <c r="H37" s="115">
        <f t="shared" si="39"/>
        <v>0</v>
      </c>
      <c r="I37" s="132">
        <f t="shared" ref="I37:I42" si="53">B37-(B37*0.1%+A37*0.05%)</f>
        <v>0.14934999999999998</v>
      </c>
      <c r="J37" s="88">
        <f t="shared" si="40"/>
        <v>0.15065000000000001</v>
      </c>
      <c r="K37" s="71">
        <f t="shared" ref="K37:K42" si="54">IF(SUM(E37:G37)=0,0,STDEV(E37:G37)/SQRT(3))</f>
        <v>0</v>
      </c>
      <c r="L37" s="119">
        <f>SQRT(((0.00000005)/SQRT(3))^2+((0.00032*B37+0.000008)/2)^2+(0.000006/SQRT(3))^2+(0.000009/2)^2)</f>
        <v>2.8570103838336556E-5</v>
      </c>
      <c r="M37" s="72">
        <f>SQRT(K37^2+(0.0000005/SQRT(3))^2)</f>
        <v>2.8867513459481289E-7</v>
      </c>
      <c r="N37" s="73">
        <f t="shared" si="41"/>
        <v>2.857156220206845E-5</v>
      </c>
      <c r="O37" s="74">
        <f t="shared" si="42"/>
        <v>2</v>
      </c>
      <c r="P37" s="72">
        <f t="shared" ref="P37:P42" si="55">N37*O37</f>
        <v>5.7143124404136899E-5</v>
      </c>
      <c r="Q37" s="72" t="str">
        <f t="shared" si="43"/>
        <v>INFINITOS</v>
      </c>
      <c r="R37" s="76">
        <f t="shared" si="44"/>
        <v>-5.7143124404136899E-5</v>
      </c>
      <c r="S37" s="77" t="str">
        <f t="shared" si="45"/>
        <v>Reprov</v>
      </c>
      <c r="T37" s="87"/>
      <c r="U37" s="87"/>
      <c r="V37" s="87"/>
      <c r="W37" s="79">
        <f>(T37+U37+V37)/3</f>
        <v>0</v>
      </c>
      <c r="X37" s="80">
        <f t="shared" ref="X37:X42" si="56">IF(SUM(T37:V37)=0,0,STDEV(T37:V37)/SQRT(3))</f>
        <v>0</v>
      </c>
      <c r="Y37" s="80">
        <f>SQRT(X37^2+(0.0000005/SQRT(3))^2)</f>
        <v>2.8867513459481289E-7</v>
      </c>
      <c r="Z37" s="81">
        <f t="shared" si="47"/>
        <v>2.857156220206845E-5</v>
      </c>
      <c r="AA37" s="82">
        <f t="shared" si="48"/>
        <v>2</v>
      </c>
      <c r="AB37" s="80">
        <f t="shared" ref="AB37:AB42" si="57">AA37*Z37</f>
        <v>5.7143124404136899E-5</v>
      </c>
      <c r="AC37" s="83" t="str">
        <f t="shared" si="50"/>
        <v>INFINITOS</v>
      </c>
      <c r="AD37" s="84">
        <f t="shared" si="51"/>
        <v>-5.7143124404136899E-5</v>
      </c>
      <c r="AE37" s="85" t="str">
        <f t="shared" si="52"/>
        <v>Reprov</v>
      </c>
    </row>
    <row r="38" spans="1:31" x14ac:dyDescent="0.25">
      <c r="A38" s="67">
        <v>1</v>
      </c>
      <c r="B38" s="89">
        <v>0.5</v>
      </c>
      <c r="C38" s="68">
        <v>1</v>
      </c>
      <c r="D38" s="69" t="s">
        <v>40</v>
      </c>
      <c r="E38" s="70"/>
      <c r="F38" s="70"/>
      <c r="G38" s="70"/>
      <c r="H38" s="115">
        <f t="shared" si="39"/>
        <v>0</v>
      </c>
      <c r="I38" s="132">
        <f t="shared" si="53"/>
        <v>0.499</v>
      </c>
      <c r="J38" s="88">
        <f t="shared" si="40"/>
        <v>0.501</v>
      </c>
      <c r="K38" s="71">
        <f t="shared" si="54"/>
        <v>0</v>
      </c>
      <c r="L38" s="119">
        <f>SQRT(((0.0000005)/SQRT(3))^2+((0.00012*B38+0.000016)/2)^2+(0.000005/SQRT(3))^2+(0.000036/2)^2)</f>
        <v>4.2147558252722866E-5</v>
      </c>
      <c r="M38" s="72">
        <f>SQRT(K38^2+(0.0000005/SQRT(3))^2)</f>
        <v>2.8867513459481289E-7</v>
      </c>
      <c r="N38" s="73">
        <f t="shared" si="41"/>
        <v>4.2148546831415202E-5</v>
      </c>
      <c r="O38" s="74">
        <f t="shared" si="42"/>
        <v>2</v>
      </c>
      <c r="P38" s="72">
        <f t="shared" si="55"/>
        <v>8.4297093662830404E-5</v>
      </c>
      <c r="Q38" s="72" t="str">
        <f t="shared" si="43"/>
        <v>INFINITOS</v>
      </c>
      <c r="R38" s="76">
        <f t="shared" si="44"/>
        <v>-8.4297093662830404E-5</v>
      </c>
      <c r="S38" s="77" t="str">
        <f t="shared" si="45"/>
        <v>Reprov</v>
      </c>
      <c r="T38" s="87"/>
      <c r="U38" s="87"/>
      <c r="V38" s="87"/>
      <c r="W38" s="79">
        <f t="shared" ref="W38:W39" si="58">(T38+U38+V38)/3</f>
        <v>0</v>
      </c>
      <c r="X38" s="80">
        <f t="shared" si="56"/>
        <v>0</v>
      </c>
      <c r="Y38" s="80">
        <f>SQRT(X38^2+(0.0000005/SQRT(3))^2)</f>
        <v>2.8867513459481289E-7</v>
      </c>
      <c r="Z38" s="81">
        <f t="shared" si="47"/>
        <v>4.2148546831415202E-5</v>
      </c>
      <c r="AA38" s="82">
        <f t="shared" si="48"/>
        <v>2</v>
      </c>
      <c r="AB38" s="80">
        <f t="shared" si="57"/>
        <v>8.4297093662830404E-5</v>
      </c>
      <c r="AC38" s="83" t="str">
        <f t="shared" si="50"/>
        <v>INFINITOS</v>
      </c>
      <c r="AD38" s="84">
        <f t="shared" si="51"/>
        <v>-8.4297093662830404E-5</v>
      </c>
      <c r="AE38" s="85" t="str">
        <f t="shared" si="52"/>
        <v>Reprov</v>
      </c>
    </row>
    <row r="39" spans="1:31" x14ac:dyDescent="0.25">
      <c r="A39" s="67">
        <v>1</v>
      </c>
      <c r="B39" s="89">
        <v>1</v>
      </c>
      <c r="C39" s="68">
        <v>1</v>
      </c>
      <c r="D39" s="69" t="s">
        <v>40</v>
      </c>
      <c r="E39" s="70"/>
      <c r="F39" s="70"/>
      <c r="G39" s="70"/>
      <c r="H39" s="115">
        <f t="shared" si="39"/>
        <v>0</v>
      </c>
      <c r="I39" s="132">
        <f t="shared" si="53"/>
        <v>0.99850000000000005</v>
      </c>
      <c r="J39" s="88">
        <f t="shared" si="40"/>
        <v>1.0015000000000001</v>
      </c>
      <c r="K39" s="71">
        <f t="shared" si="54"/>
        <v>0</v>
      </c>
      <c r="L39" s="119">
        <f>SQRT(((0.0000005)/SQRT(3))^2+((0.00012*B39+0.000016)/2)^2+(0.000005/SQRT(3))^2+(0.000036/2)^2)</f>
        <v>7.0401822893066248E-5</v>
      </c>
      <c r="M39" s="72">
        <f>SQRT(K39^2+(0.0000005/SQRT(3))^2)</f>
        <v>2.8867513459481289E-7</v>
      </c>
      <c r="N39" s="73">
        <f t="shared" si="41"/>
        <v>7.0402414731314444E-5</v>
      </c>
      <c r="O39" s="74">
        <f t="shared" si="42"/>
        <v>2</v>
      </c>
      <c r="P39" s="72">
        <f t="shared" si="55"/>
        <v>1.4080482946262889E-4</v>
      </c>
      <c r="Q39" s="72" t="str">
        <f t="shared" si="43"/>
        <v>INFINITOS</v>
      </c>
      <c r="R39" s="76">
        <f t="shared" si="44"/>
        <v>-1.4080482946262889E-4</v>
      </c>
      <c r="S39" s="77" t="str">
        <f t="shared" si="45"/>
        <v>Reprov</v>
      </c>
      <c r="T39" s="87"/>
      <c r="U39" s="87"/>
      <c r="V39" s="87"/>
      <c r="W39" s="79">
        <f t="shared" si="58"/>
        <v>0</v>
      </c>
      <c r="X39" s="80">
        <f t="shared" si="56"/>
        <v>0</v>
      </c>
      <c r="Y39" s="80">
        <f>SQRT(X39^2+(0.0000005/SQRT(3))^2)</f>
        <v>2.8867513459481289E-7</v>
      </c>
      <c r="Z39" s="81">
        <f t="shared" si="47"/>
        <v>7.0402414731314444E-5</v>
      </c>
      <c r="AA39" s="82">
        <f t="shared" si="48"/>
        <v>2</v>
      </c>
      <c r="AB39" s="80">
        <f t="shared" si="57"/>
        <v>1.4080482946262889E-4</v>
      </c>
      <c r="AC39" s="83" t="str">
        <f t="shared" si="50"/>
        <v>INFINITOS</v>
      </c>
      <c r="AD39" s="84">
        <f t="shared" si="51"/>
        <v>-1.4080482946262889E-4</v>
      </c>
      <c r="AE39" s="85" t="str">
        <f t="shared" si="52"/>
        <v>Reprov</v>
      </c>
    </row>
    <row r="40" spans="1:31" x14ac:dyDescent="0.25">
      <c r="A40" s="67">
        <v>10</v>
      </c>
      <c r="B40" s="114">
        <v>10</v>
      </c>
      <c r="C40" s="68">
        <v>1</v>
      </c>
      <c r="D40" s="69" t="s">
        <v>40</v>
      </c>
      <c r="E40" s="78"/>
      <c r="F40" s="78"/>
      <c r="G40" s="78"/>
      <c r="H40" s="115">
        <f t="shared" si="39"/>
        <v>0</v>
      </c>
      <c r="I40" s="116">
        <f t="shared" si="53"/>
        <v>9.9849999999999994</v>
      </c>
      <c r="J40" s="117">
        <f t="shared" si="40"/>
        <v>10.015000000000001</v>
      </c>
      <c r="K40" s="71">
        <f t="shared" si="54"/>
        <v>0</v>
      </c>
      <c r="L40" s="119">
        <f>SQRT(((0.000005)/SQRT(3))^2+((0.00012*B40+0.00016)/2)^2+(0.00007/SQRT(3))^2+(0.00035/2)^2)</f>
        <v>7.0332543439482315E-4</v>
      </c>
      <c r="M40" s="72">
        <f>SQRT(K40^2+(0.000005/SQRT(3))^2)</f>
        <v>2.8867513459481293E-6</v>
      </c>
      <c r="N40" s="73">
        <f t="shared" si="41"/>
        <v>7.0333135860702251E-4</v>
      </c>
      <c r="O40" s="74">
        <f t="shared" si="42"/>
        <v>2</v>
      </c>
      <c r="P40" s="72">
        <f t="shared" si="55"/>
        <v>1.406662717214045E-3</v>
      </c>
      <c r="Q40" s="72" t="str">
        <f t="shared" si="43"/>
        <v>INFINITOS</v>
      </c>
      <c r="R40" s="76">
        <f t="shared" si="44"/>
        <v>-1.406662717214045E-3</v>
      </c>
      <c r="S40" s="77" t="str">
        <f t="shared" si="45"/>
        <v>Reprov</v>
      </c>
      <c r="T40" s="87"/>
      <c r="U40" s="87"/>
      <c r="V40" s="87"/>
      <c r="W40" s="79">
        <f>(T40+U40+V40)/3</f>
        <v>0</v>
      </c>
      <c r="X40" s="80">
        <f t="shared" si="56"/>
        <v>0</v>
      </c>
      <c r="Y40" s="80">
        <f>SQRT(X40^2+(0.000005/SQRT(3))^2)</f>
        <v>2.8867513459481293E-6</v>
      </c>
      <c r="Z40" s="81">
        <f t="shared" si="47"/>
        <v>7.0333135860702251E-4</v>
      </c>
      <c r="AA40" s="82">
        <f t="shared" si="48"/>
        <v>2</v>
      </c>
      <c r="AB40" s="80">
        <f t="shared" si="57"/>
        <v>1.406662717214045E-3</v>
      </c>
      <c r="AC40" s="83" t="str">
        <f t="shared" si="50"/>
        <v>INFINITOS</v>
      </c>
      <c r="AD40" s="84">
        <f t="shared" si="51"/>
        <v>-1.406662717214045E-3</v>
      </c>
      <c r="AE40" s="85" t="str">
        <f t="shared" si="52"/>
        <v>Reprov</v>
      </c>
    </row>
    <row r="41" spans="1:31" x14ac:dyDescent="0.25">
      <c r="A41" s="67">
        <v>100</v>
      </c>
      <c r="B41" s="114">
        <v>100</v>
      </c>
      <c r="C41" s="68">
        <v>1</v>
      </c>
      <c r="D41" s="69" t="s">
        <v>40</v>
      </c>
      <c r="E41" s="91"/>
      <c r="F41" s="91"/>
      <c r="G41" s="91"/>
      <c r="H41" s="115">
        <f t="shared" si="39"/>
        <v>0</v>
      </c>
      <c r="I41" s="116">
        <f t="shared" si="53"/>
        <v>99.85</v>
      </c>
      <c r="J41" s="117">
        <f t="shared" si="40"/>
        <v>100.15</v>
      </c>
      <c r="K41" s="71">
        <f t="shared" si="54"/>
        <v>0</v>
      </c>
      <c r="L41" s="119">
        <f>SQRT(((0.00005)/SQRT(3))^2+((0.00022*B41+0.0035)/2)^2+(0.0044/SQRT(3))^2+(0.0037/2)^2)</f>
        <v>1.3131609446928686E-2</v>
      </c>
      <c r="M41" s="72">
        <f>SQRT(K41^2+(0.00005/SQRT(3))^2)</f>
        <v>2.8867513459481293E-5</v>
      </c>
      <c r="N41" s="73">
        <f t="shared" si="41"/>
        <v>1.3131641176943574E-2</v>
      </c>
      <c r="O41" s="74">
        <f t="shared" si="42"/>
        <v>2</v>
      </c>
      <c r="P41" s="72">
        <f t="shared" si="55"/>
        <v>2.6263282353887148E-2</v>
      </c>
      <c r="Q41" s="72" t="str">
        <f t="shared" si="43"/>
        <v>INFINITOS</v>
      </c>
      <c r="R41" s="76">
        <f t="shared" si="44"/>
        <v>-2.6263282353887148E-2</v>
      </c>
      <c r="S41" s="77" t="str">
        <f t="shared" si="45"/>
        <v>Reprov</v>
      </c>
      <c r="T41" s="87"/>
      <c r="U41" s="87"/>
      <c r="V41" s="87"/>
      <c r="W41" s="79">
        <f>(T41+U41+V41)/3</f>
        <v>0</v>
      </c>
      <c r="X41" s="80">
        <f t="shared" si="56"/>
        <v>0</v>
      </c>
      <c r="Y41" s="80">
        <f>SQRT(X41^2+(0.00005/SQRT(3))^2)</f>
        <v>2.8867513459481293E-5</v>
      </c>
      <c r="Z41" s="81">
        <f t="shared" si="47"/>
        <v>1.3131641176943574E-2</v>
      </c>
      <c r="AA41" s="82">
        <f t="shared" si="48"/>
        <v>2</v>
      </c>
      <c r="AB41" s="80">
        <f t="shared" si="57"/>
        <v>2.6263282353887148E-2</v>
      </c>
      <c r="AC41" s="83" t="str">
        <f t="shared" si="50"/>
        <v>INFINITOS</v>
      </c>
      <c r="AD41" s="84">
        <f t="shared" si="51"/>
        <v>-2.6263282353887148E-2</v>
      </c>
      <c r="AE41" s="85" t="str">
        <f t="shared" si="52"/>
        <v>Reprov</v>
      </c>
    </row>
    <row r="42" spans="1:31" ht="15.75" thickBot="1" x14ac:dyDescent="0.3">
      <c r="A42" s="92">
        <v>750</v>
      </c>
      <c r="B42" s="93">
        <v>200</v>
      </c>
      <c r="C42" s="94">
        <v>1</v>
      </c>
      <c r="D42" s="133" t="s">
        <v>40</v>
      </c>
      <c r="E42" s="95"/>
      <c r="F42" s="95"/>
      <c r="G42" s="95"/>
      <c r="H42" s="134">
        <f t="shared" si="39"/>
        <v>0</v>
      </c>
      <c r="I42" s="135">
        <f t="shared" si="53"/>
        <v>199.42500000000001</v>
      </c>
      <c r="J42" s="96">
        <f t="shared" si="40"/>
        <v>200.57499999999999</v>
      </c>
      <c r="K42" s="97">
        <f t="shared" si="54"/>
        <v>0</v>
      </c>
      <c r="L42" s="98">
        <f>SQRT(((0.0005)/SQRT(3))^2+((0.00022*B42+0.0035)/2)^2+(0.0093/SQRT(3))^2+(0.0067/2)^2)</f>
        <v>2.4580446158142321E-2</v>
      </c>
      <c r="M42" s="98">
        <f>SQRT(K42^2+(0.0005/SQRT(3))^2)</f>
        <v>2.886751345948129E-4</v>
      </c>
      <c r="N42" s="99">
        <f t="shared" si="41"/>
        <v>2.4582141214033147E-2</v>
      </c>
      <c r="O42" s="100">
        <f t="shared" si="42"/>
        <v>2</v>
      </c>
      <c r="P42" s="98">
        <f t="shared" si="55"/>
        <v>4.9164282428066294E-2</v>
      </c>
      <c r="Q42" s="98" t="str">
        <f t="shared" si="43"/>
        <v>INFINITOS</v>
      </c>
      <c r="R42" s="102">
        <f t="shared" si="44"/>
        <v>-4.9164282428066294E-2</v>
      </c>
      <c r="S42" s="103" t="str">
        <f t="shared" si="45"/>
        <v>Reprov</v>
      </c>
      <c r="T42" s="95"/>
      <c r="U42" s="95"/>
      <c r="V42" s="95"/>
      <c r="W42" s="104">
        <f>(T42+U42+V42)/3</f>
        <v>0</v>
      </c>
      <c r="X42" s="105">
        <f t="shared" si="56"/>
        <v>0</v>
      </c>
      <c r="Y42" s="105">
        <f>SQRT(X42^2+(0.0005/SQRT(3))^2)</f>
        <v>2.886751345948129E-4</v>
      </c>
      <c r="Z42" s="106">
        <f t="shared" si="47"/>
        <v>2.4582141214033147E-2</v>
      </c>
      <c r="AA42" s="107">
        <f t="shared" si="48"/>
        <v>2</v>
      </c>
      <c r="AB42" s="105">
        <f t="shared" si="57"/>
        <v>4.9164282428066294E-2</v>
      </c>
      <c r="AC42" s="108" t="str">
        <f t="shared" si="50"/>
        <v>INFINITOS</v>
      </c>
      <c r="AD42" s="109">
        <f t="shared" si="51"/>
        <v>-4.9164282428066294E-2</v>
      </c>
      <c r="AE42" s="110" t="str">
        <f t="shared" si="52"/>
        <v>Reprov</v>
      </c>
    </row>
    <row r="43" spans="1:31" ht="15.75" thickBot="1" x14ac:dyDescent="0.3">
      <c r="A43" s="151"/>
      <c r="B43" s="152"/>
      <c r="C43" s="68"/>
      <c r="D43" s="153"/>
      <c r="E43" s="154"/>
      <c r="F43" s="154"/>
      <c r="G43" s="154"/>
      <c r="H43" s="155"/>
      <c r="I43" s="68"/>
      <c r="J43" s="68"/>
      <c r="K43" s="156"/>
      <c r="L43" s="157"/>
      <c r="M43" s="157"/>
      <c r="N43" s="158"/>
      <c r="O43" s="159"/>
      <c r="P43" s="157"/>
      <c r="Q43" s="157"/>
      <c r="R43" s="160"/>
      <c r="S43" s="161"/>
      <c r="T43" s="154"/>
      <c r="U43" s="154"/>
      <c r="V43" s="154"/>
      <c r="W43" s="162"/>
      <c r="X43" s="157"/>
      <c r="Y43" s="157"/>
      <c r="Z43" s="158"/>
      <c r="AA43" s="159"/>
      <c r="AB43" s="157"/>
      <c r="AC43" s="163"/>
      <c r="AD43" s="160"/>
      <c r="AE43" s="164"/>
    </row>
    <row r="44" spans="1:31" ht="16.5" thickBot="1" x14ac:dyDescent="0.3">
      <c r="A44" s="408" t="s">
        <v>41</v>
      </c>
      <c r="B44" s="360" t="s">
        <v>42</v>
      </c>
      <c r="C44" s="361"/>
      <c r="D44" s="362"/>
      <c r="E44" s="404" t="s">
        <v>73</v>
      </c>
      <c r="F44" s="405"/>
      <c r="G44" s="406"/>
      <c r="H44" s="396" t="s">
        <v>23</v>
      </c>
      <c r="I44" s="410" t="s">
        <v>24</v>
      </c>
      <c r="J44" s="410" t="s">
        <v>25</v>
      </c>
      <c r="K44" s="396" t="s">
        <v>26</v>
      </c>
      <c r="L44" s="377" t="s">
        <v>27</v>
      </c>
      <c r="M44" s="377" t="s">
        <v>28</v>
      </c>
      <c r="N44" s="377" t="s">
        <v>29</v>
      </c>
      <c r="O44" s="380" t="s">
        <v>30</v>
      </c>
      <c r="P44" s="398" t="s">
        <v>31</v>
      </c>
      <c r="Q44" s="400" t="s">
        <v>32</v>
      </c>
      <c r="R44" s="398" t="s">
        <v>33</v>
      </c>
      <c r="S44" s="383" t="s">
        <v>34</v>
      </c>
      <c r="T44" s="404" t="s">
        <v>45</v>
      </c>
      <c r="U44" s="405"/>
      <c r="V44" s="406"/>
      <c r="W44" s="396" t="s">
        <v>23</v>
      </c>
      <c r="X44" s="412" t="s">
        <v>26</v>
      </c>
      <c r="Y44" s="377" t="s">
        <v>28</v>
      </c>
      <c r="Z44" s="377" t="s">
        <v>29</v>
      </c>
      <c r="AA44" s="380" t="s">
        <v>30</v>
      </c>
      <c r="AB44" s="398" t="s">
        <v>31</v>
      </c>
      <c r="AC44" s="400" t="s">
        <v>32</v>
      </c>
      <c r="AD44" s="398" t="s">
        <v>33</v>
      </c>
      <c r="AE44" s="383" t="s">
        <v>34</v>
      </c>
    </row>
    <row r="45" spans="1:31" ht="15.75" thickBot="1" x14ac:dyDescent="0.3">
      <c r="A45" s="409"/>
      <c r="B45" s="363"/>
      <c r="C45" s="364"/>
      <c r="D45" s="365"/>
      <c r="E45" s="53" t="s">
        <v>36</v>
      </c>
      <c r="F45" s="54" t="s">
        <v>37</v>
      </c>
      <c r="G45" s="54" t="s">
        <v>38</v>
      </c>
      <c r="H45" s="397"/>
      <c r="I45" s="410"/>
      <c r="J45" s="410"/>
      <c r="K45" s="403"/>
      <c r="L45" s="378"/>
      <c r="M45" s="378"/>
      <c r="N45" s="379"/>
      <c r="O45" s="381"/>
      <c r="P45" s="399"/>
      <c r="Q45" s="401"/>
      <c r="R45" s="399"/>
      <c r="S45" s="384"/>
      <c r="T45" s="53" t="s">
        <v>36</v>
      </c>
      <c r="U45" s="54" t="s">
        <v>37</v>
      </c>
      <c r="V45" s="54" t="s">
        <v>38</v>
      </c>
      <c r="W45" s="397"/>
      <c r="X45" s="413"/>
      <c r="Y45" s="378"/>
      <c r="Z45" s="379"/>
      <c r="AA45" s="381"/>
      <c r="AB45" s="399"/>
      <c r="AC45" s="401"/>
      <c r="AD45" s="399"/>
      <c r="AE45" s="384"/>
    </row>
    <row r="46" spans="1:31" x14ac:dyDescent="0.25">
      <c r="A46" s="67">
        <v>100</v>
      </c>
      <c r="B46" s="114">
        <v>100</v>
      </c>
      <c r="C46" s="68">
        <v>1E-3</v>
      </c>
      <c r="D46" s="69" t="s">
        <v>39</v>
      </c>
      <c r="E46" s="148"/>
      <c r="F46" s="149"/>
      <c r="G46" s="150"/>
      <c r="H46" s="88">
        <f t="shared" ref="H46:H51" si="59">(E46+F46+G46)/3</f>
        <v>0</v>
      </c>
      <c r="I46" s="116">
        <f>B46-(B46*1.2%+A46*0.5%)</f>
        <v>98.3</v>
      </c>
      <c r="J46" s="117">
        <f>B46+(B46*1.2%+A46*0.5%)</f>
        <v>101.7</v>
      </c>
      <c r="K46" s="56">
        <f>IF(SUM(E46:G46)=0,0,STDEV(E46:G46)/SQRT(3))*C46</f>
        <v>0</v>
      </c>
      <c r="L46" s="57">
        <f>SQRT(((0.00000005)/SQRT(3))^2+((0.0011*B46*C46+0.000025)/2)^2+(0.000018/SQRT(3))^2+(0.000017/2)^2)</f>
        <v>6.8822240833420507E-5</v>
      </c>
      <c r="M46" s="119">
        <f>SQRT(K46^2+(0.00000005/SQRT(3))^2)</f>
        <v>2.8867513459481289E-8</v>
      </c>
      <c r="N46" s="120">
        <f t="shared" ref="N46:N51" si="60">SQRT(L46^2+M46^2)</f>
        <v>6.8822246887664649E-5</v>
      </c>
      <c r="O46" s="121">
        <f t="shared" ref="O46:O51" si="61">IF(Q46&lt;=1.5,(13.968),IF(Q46&lt;=2.5,(4.527),IF(Q46&lt;=3.5,(3.307),IF(Q46&lt;=4.5,(2.869),IF(Q46&lt;=5.5,(2.649),IF(Q46&lt;=6.5,(2.517),IF(Q46&lt;=7.5,(2.429),IF(Q46&lt;=8.5,(2.2366),IF(Q46&lt;=9.5,(2.32),IF(Q46&lt;=10.5,(2.284),IF(Q46&lt;=11.5,(2.255),IF(Q46&lt;=12.5,(2.231),IF(Q46&lt;=13.5,(2.212),IF(Q46&lt;=14.5,(2.195),IF(Q46&lt;=15.5,(2.181),IF(Q46&lt;=16.5,(2.169),IF(Q46&lt;=17.5,(2.158),IF(Q46&lt;=18.5,(2.149),IF(Q46&lt;=19.5,(2.14),IF(Q46&lt;=22.5,(2.133),IF(Q46&lt;=27.5,(2.105),IF(Q46&lt;=32.5,(2.087),IF(Q46&lt;=37.5,(2.2074),IF(Q46&lt;=45,(2.064),IF(Q46&lt;=55,(2.051),IF(Q46&lt;=65,(2.043),IF(Q46&lt;=75,(2.036),IF(Q46&lt;=85,(2.032),IF(Q46&lt;=95,(2.028),IF(Q46&lt;=125,(2.025),IF(Q46&lt;=175,(2.017),IF(Q46&lt;=500,(2.013),IF(Q46&lt;=1200,(2.003),(2))))))))))))))))))))))))))))))))))</f>
        <v>2</v>
      </c>
      <c r="P46" s="119">
        <f>N46*O46*1000</f>
        <v>0.13764449377532931</v>
      </c>
      <c r="Q46" s="119" t="str">
        <f t="shared" ref="Q46:Q50" si="62">IF(K46=0,"INFINITOS",(N46^4)/((K46^4)/2))</f>
        <v>INFINITOS</v>
      </c>
      <c r="R46" s="122">
        <f t="shared" ref="R46:R51" si="63">IF(H46&lt;=B46,H46-P46,H46+P46)</f>
        <v>-0.13764449377532931</v>
      </c>
      <c r="S46" s="123" t="str">
        <f t="shared" ref="S46:S51" si="64">IF(I46&lt;R46,IF(R46&lt;J46,"A","Reprov"),"Reprov")</f>
        <v>Reprov</v>
      </c>
      <c r="T46" s="148"/>
      <c r="U46" s="149"/>
      <c r="V46" s="150"/>
      <c r="W46" s="124">
        <f>(T46+U46+V46)/3</f>
        <v>0</v>
      </c>
      <c r="X46" s="125">
        <f t="shared" ref="X46" si="65">IF(SUM(T46:V46)=0,0,STDEV(T46:V46)/SQRT(3))*C46</f>
        <v>0</v>
      </c>
      <c r="Y46" s="125">
        <f>SQRT(X46^2+(0.00000005/SQRT(3))^2)</f>
        <v>2.8867513459481289E-8</v>
      </c>
      <c r="Z46" s="126">
        <f t="shared" ref="Z46:Z51" si="66">SQRT(L46^2+Y46^2)</f>
        <v>6.8822246887664649E-5</v>
      </c>
      <c r="AA46" s="127">
        <f t="shared" ref="AA46:AA51" si="67">IF(AC46&lt;=1.5,(13.968),IF(AC46&lt;=2.5,(4.527),IF(AC46&lt;=3.5,(3.307),IF(AC46&lt;=4.5,(2.869),IF(AC46&lt;=5.5,(2.649),IF(AC46&lt;=6.5,(2.517),IF(AC46&lt;=7.5,(2.429),IF(AC46&lt;=8.5,(2.2366),IF(AC46&lt;=9.5,(2.32),IF(AC46&lt;=10.5,(2.284),IF(AC46&lt;=11.5,(2.255),IF(AC46&lt;=12.5,(2.231),IF(AC46&lt;=13.5,(2.212),IF(AC46&lt;=14.5,(2.195),IF(AC46&lt;=15.5,(2.181),IF(AC46&lt;=16.5,(2.169),IF(AC46&lt;=17.5,(2.158),IF(AC46&lt;=18.5,(2.149),IF(AC46&lt;=19.5,(2.14),IF(AC46&lt;=22.5,(2.133),IF(AC46&lt;=27.5,(2.105),IF(AC46&lt;=32.5,(2.087),IF(AC46&lt;=37.5,(2.2074),IF(AC46&lt;=45,(2.064),IF(AC46&lt;=55,(2.051),IF(AC46&lt;=65,(2.043),IF(AC46&lt;=75,(2.036),IF(AC46&lt;=85,(2.032),IF(AC46&lt;=95,(2.028),IF(AC46&lt;=125,(2.025),IF(AC46&lt;=175,(2.017),IF(AC46&lt;=500,(2.013),IF(AC46&lt;=1200,(2.003),(2))))))))))))))))))))))))))))))))))</f>
        <v>2</v>
      </c>
      <c r="AB46" s="125">
        <f t="shared" ref="AB46" si="68">AA46*Z46*1000</f>
        <v>0.13764449377532931</v>
      </c>
      <c r="AC46" s="128" t="str">
        <f t="shared" ref="AC46:AC51" si="69">IF(X46=0,"INFINITOS",(Z46^4)/((X46^4)/2))</f>
        <v>INFINITOS</v>
      </c>
      <c r="AD46" s="129">
        <f t="shared" ref="AD46:AD51" si="70">IF(W46&lt;=B46,W46-AB46,W46+AB46)</f>
        <v>-0.13764449377532931</v>
      </c>
      <c r="AE46" s="130" t="str">
        <f t="shared" ref="AE46:AE51" si="71">IF(I46&lt;AD46,IF(AD46&lt;J46,"A","Reprov"),"Reprov")</f>
        <v>Reprov</v>
      </c>
    </row>
    <row r="47" spans="1:31" x14ac:dyDescent="0.25">
      <c r="A47" s="67">
        <v>1</v>
      </c>
      <c r="B47" s="89">
        <v>0.15</v>
      </c>
      <c r="C47" s="68">
        <v>1</v>
      </c>
      <c r="D47" s="69" t="s">
        <v>40</v>
      </c>
      <c r="E47" s="70"/>
      <c r="F47" s="70"/>
      <c r="G47" s="70"/>
      <c r="H47" s="115">
        <f t="shared" si="59"/>
        <v>0</v>
      </c>
      <c r="I47" s="132">
        <f t="shared" ref="I47:I51" si="72">B47-(B47*1.2%+A47*0.5%)</f>
        <v>0.14319999999999999</v>
      </c>
      <c r="J47" s="88">
        <f t="shared" ref="J47:J51" si="73">B47+(B47*1.2%+A47*0.5%)</f>
        <v>0.15679999999999999</v>
      </c>
      <c r="K47" s="71">
        <f t="shared" ref="K47:K51" si="74">IF(SUM(E47:G47)=0,0,STDEV(E47:G47)/SQRT(3))</f>
        <v>0</v>
      </c>
      <c r="L47" s="119">
        <f>SQRT(((0.00000005)/SQRT(3))^2+((0.0011*B47+0.000025)/2)^2+(0.000041/SQRT(3))^2+(0.000033/2)^2)</f>
        <v>9.9285367334097475E-5</v>
      </c>
      <c r="M47" s="72">
        <f>SQRT(K47^2+(0.0000005/SQRT(3))^2)</f>
        <v>2.8867513459481289E-7</v>
      </c>
      <c r="N47" s="73">
        <f t="shared" si="60"/>
        <v>9.9285786998945649E-5</v>
      </c>
      <c r="O47" s="74">
        <f t="shared" si="61"/>
        <v>2</v>
      </c>
      <c r="P47" s="72">
        <f t="shared" ref="P47:P51" si="75">N47*O47</f>
        <v>1.985715739978913E-4</v>
      </c>
      <c r="Q47" s="72" t="str">
        <f t="shared" si="62"/>
        <v>INFINITOS</v>
      </c>
      <c r="R47" s="76">
        <f t="shared" si="63"/>
        <v>-1.985715739978913E-4</v>
      </c>
      <c r="S47" s="77" t="str">
        <f t="shared" si="64"/>
        <v>Reprov</v>
      </c>
      <c r="T47" s="87"/>
      <c r="U47" s="87"/>
      <c r="V47" s="87"/>
      <c r="W47" s="79">
        <f>(T47+U47+V47)/3</f>
        <v>0</v>
      </c>
      <c r="X47" s="80">
        <f t="shared" ref="X47:X51" si="76">IF(SUM(T47:V47)=0,0,STDEV(T47:V47)/SQRT(3))</f>
        <v>0</v>
      </c>
      <c r="Y47" s="80">
        <f>SQRT(X47^2+(0.0000005/SQRT(3))^2)</f>
        <v>2.8867513459481289E-7</v>
      </c>
      <c r="Z47" s="81">
        <f t="shared" si="66"/>
        <v>9.9285786998945649E-5</v>
      </c>
      <c r="AA47" s="82">
        <f t="shared" si="67"/>
        <v>2</v>
      </c>
      <c r="AB47" s="80">
        <f t="shared" ref="AB47:AB51" si="77">AA47*Z47</f>
        <v>1.985715739978913E-4</v>
      </c>
      <c r="AC47" s="83" t="str">
        <f t="shared" si="69"/>
        <v>INFINITOS</v>
      </c>
      <c r="AD47" s="84">
        <f t="shared" si="70"/>
        <v>-1.985715739978913E-4</v>
      </c>
      <c r="AE47" s="85" t="str">
        <f t="shared" si="71"/>
        <v>Reprov</v>
      </c>
    </row>
    <row r="48" spans="1:31" x14ac:dyDescent="0.25">
      <c r="A48" s="67">
        <v>1</v>
      </c>
      <c r="B48" s="89">
        <v>0.5</v>
      </c>
      <c r="C48" s="68">
        <v>1</v>
      </c>
      <c r="D48" s="69" t="s">
        <v>40</v>
      </c>
      <c r="E48" s="70"/>
      <c r="F48" s="70"/>
      <c r="G48" s="70"/>
      <c r="H48" s="115">
        <f t="shared" si="59"/>
        <v>0</v>
      </c>
      <c r="I48" s="132">
        <f t="shared" si="72"/>
        <v>0.48899999999999999</v>
      </c>
      <c r="J48" s="88">
        <f>B48+(B48*1.2%+A48*0.5%)</f>
        <v>0.51100000000000001</v>
      </c>
      <c r="K48" s="71">
        <f t="shared" si="74"/>
        <v>0</v>
      </c>
      <c r="L48" s="119">
        <f>SQRT(((0.00000005)/SQRT(3))^2+((0.00043*B48+0.00013)/2)^2+(0.000158/SQRT(3))^2+(0.000065/2)^2)</f>
        <v>1.9782273420076535E-4</v>
      </c>
      <c r="M48" s="72">
        <f>SQRT(K48^2+(0.0000005/SQRT(3))^2)</f>
        <v>2.8867513459481289E-7</v>
      </c>
      <c r="N48" s="73">
        <f t="shared" si="60"/>
        <v>1.9782294482693355E-4</v>
      </c>
      <c r="O48" s="74">
        <f t="shared" si="61"/>
        <v>2</v>
      </c>
      <c r="P48" s="72">
        <f t="shared" si="75"/>
        <v>3.9564588965386709E-4</v>
      </c>
      <c r="Q48" s="72" t="str">
        <f t="shared" si="62"/>
        <v>INFINITOS</v>
      </c>
      <c r="R48" s="76">
        <f t="shared" si="63"/>
        <v>-3.9564588965386709E-4</v>
      </c>
      <c r="S48" s="77" t="str">
        <f t="shared" si="64"/>
        <v>Reprov</v>
      </c>
      <c r="T48" s="87"/>
      <c r="U48" s="87"/>
      <c r="V48" s="87"/>
      <c r="W48" s="79">
        <f t="shared" ref="W48:W49" si="78">(T48+U48+V48)/3</f>
        <v>0</v>
      </c>
      <c r="X48" s="80">
        <f t="shared" si="76"/>
        <v>0</v>
      </c>
      <c r="Y48" s="80">
        <f>SQRT(X48^2+(0.0000005/SQRT(3))^2)</f>
        <v>2.8867513459481289E-7</v>
      </c>
      <c r="Z48" s="81">
        <f t="shared" si="66"/>
        <v>1.9782294482693355E-4</v>
      </c>
      <c r="AA48" s="82">
        <f t="shared" si="67"/>
        <v>2</v>
      </c>
      <c r="AB48" s="80">
        <f t="shared" si="77"/>
        <v>3.9564588965386709E-4</v>
      </c>
      <c r="AC48" s="83" t="str">
        <f t="shared" si="69"/>
        <v>INFINITOS</v>
      </c>
      <c r="AD48" s="84">
        <f t="shared" si="70"/>
        <v>-3.9564588965386709E-4</v>
      </c>
      <c r="AE48" s="85" t="str">
        <f t="shared" si="71"/>
        <v>Reprov</v>
      </c>
    </row>
    <row r="49" spans="1:31" x14ac:dyDescent="0.25">
      <c r="A49" s="67">
        <v>1</v>
      </c>
      <c r="B49" s="89">
        <v>1</v>
      </c>
      <c r="C49" s="68">
        <v>1</v>
      </c>
      <c r="D49" s="69" t="s">
        <v>40</v>
      </c>
      <c r="E49" s="70"/>
      <c r="F49" s="70"/>
      <c r="G49" s="70"/>
      <c r="H49" s="115">
        <f t="shared" si="59"/>
        <v>0</v>
      </c>
      <c r="I49" s="132">
        <f t="shared" si="72"/>
        <v>0.98299999999999998</v>
      </c>
      <c r="J49" s="88">
        <f t="shared" si="73"/>
        <v>1.0169999999999999</v>
      </c>
      <c r="K49" s="71">
        <f t="shared" si="74"/>
        <v>0</v>
      </c>
      <c r="L49" s="119">
        <f>SQRT(((0.00000005)/SQRT(3))^2+((0.00043*B49+0.00013)/2)^2+(0.000158/SQRT(3))^2+(0.000065/2)^2)</f>
        <v>2.9627282049939487E-4</v>
      </c>
      <c r="M49" s="72">
        <f>SQRT(K49^2+(0.0000005/SQRT(3))^2)</f>
        <v>2.8867513459481289E-7</v>
      </c>
      <c r="N49" s="73">
        <f t="shared" si="60"/>
        <v>2.9627296113550423E-4</v>
      </c>
      <c r="O49" s="74">
        <f t="shared" si="61"/>
        <v>2</v>
      </c>
      <c r="P49" s="72">
        <f t="shared" si="75"/>
        <v>5.9254592227100846E-4</v>
      </c>
      <c r="Q49" s="72" t="str">
        <f t="shared" si="62"/>
        <v>INFINITOS</v>
      </c>
      <c r="R49" s="76">
        <f t="shared" si="63"/>
        <v>-5.9254592227100846E-4</v>
      </c>
      <c r="S49" s="77" t="str">
        <f t="shared" si="64"/>
        <v>Reprov</v>
      </c>
      <c r="T49" s="87"/>
      <c r="U49" s="87"/>
      <c r="V49" s="87"/>
      <c r="W49" s="79">
        <f t="shared" si="78"/>
        <v>0</v>
      </c>
      <c r="X49" s="80">
        <f t="shared" si="76"/>
        <v>0</v>
      </c>
      <c r="Y49" s="80">
        <f>SQRT(X49^2+(0.0000005/SQRT(3))^2)</f>
        <v>2.8867513459481289E-7</v>
      </c>
      <c r="Z49" s="81">
        <f t="shared" si="66"/>
        <v>2.9627296113550423E-4</v>
      </c>
      <c r="AA49" s="82">
        <f t="shared" si="67"/>
        <v>2</v>
      </c>
      <c r="AB49" s="80">
        <f t="shared" si="77"/>
        <v>5.9254592227100846E-4</v>
      </c>
      <c r="AC49" s="83" t="str">
        <f t="shared" si="69"/>
        <v>INFINITOS</v>
      </c>
      <c r="AD49" s="84">
        <f t="shared" si="70"/>
        <v>-5.9254592227100846E-4</v>
      </c>
      <c r="AE49" s="85" t="str">
        <f t="shared" si="71"/>
        <v>Reprov</v>
      </c>
    </row>
    <row r="50" spans="1:31" x14ac:dyDescent="0.25">
      <c r="A50" s="67">
        <v>10</v>
      </c>
      <c r="B50" s="114">
        <v>9.9985700000000008</v>
      </c>
      <c r="C50" s="68">
        <v>1</v>
      </c>
      <c r="D50" s="69" t="s">
        <v>40</v>
      </c>
      <c r="E50" s="78"/>
      <c r="F50" s="78"/>
      <c r="G50" s="78"/>
      <c r="H50" s="115">
        <f t="shared" si="59"/>
        <v>0</v>
      </c>
      <c r="I50" s="116">
        <f t="shared" si="72"/>
        <v>9.8285871600000014</v>
      </c>
      <c r="J50" s="117">
        <f t="shared" si="73"/>
        <v>10.16855284</v>
      </c>
      <c r="K50" s="71">
        <f t="shared" si="74"/>
        <v>0</v>
      </c>
      <c r="L50" s="119">
        <f>SQRT(((0.000005)/SQRT(3))^2+((0.0005*B50+0.0015)/2)^2+(0)^2+(0.00065/2)^2)</f>
        <v>3.2658551270899304E-3</v>
      </c>
      <c r="M50" s="72">
        <f>SQRT(K50^2+(0.000005/SQRT(3))^2)</f>
        <v>2.8867513459481293E-6</v>
      </c>
      <c r="N50" s="73">
        <f t="shared" si="60"/>
        <v>3.2658564029168398E-3</v>
      </c>
      <c r="O50" s="74">
        <f t="shared" si="61"/>
        <v>2</v>
      </c>
      <c r="P50" s="72">
        <f t="shared" si="75"/>
        <v>6.5317128058336796E-3</v>
      </c>
      <c r="Q50" s="72" t="str">
        <f t="shared" si="62"/>
        <v>INFINITOS</v>
      </c>
      <c r="R50" s="76">
        <f t="shared" si="63"/>
        <v>-6.5317128058336796E-3</v>
      </c>
      <c r="S50" s="77" t="str">
        <f t="shared" si="64"/>
        <v>Reprov</v>
      </c>
      <c r="T50" s="87"/>
      <c r="U50" s="87"/>
      <c r="V50" s="87"/>
      <c r="W50" s="79">
        <f>(T50+U50+V50)/3</f>
        <v>0</v>
      </c>
      <c r="X50" s="80">
        <f t="shared" si="76"/>
        <v>0</v>
      </c>
      <c r="Y50" s="80">
        <f>SQRT(X50^2+(0.000005/SQRT(3))^2)</f>
        <v>2.8867513459481293E-6</v>
      </c>
      <c r="Z50" s="81">
        <f t="shared" si="66"/>
        <v>3.2658564029168398E-3</v>
      </c>
      <c r="AA50" s="82">
        <f t="shared" si="67"/>
        <v>2</v>
      </c>
      <c r="AB50" s="80">
        <f t="shared" si="77"/>
        <v>6.5317128058336796E-3</v>
      </c>
      <c r="AC50" s="83" t="str">
        <f t="shared" si="69"/>
        <v>INFINITOS</v>
      </c>
      <c r="AD50" s="84">
        <f t="shared" si="70"/>
        <v>-6.5317128058336796E-3</v>
      </c>
      <c r="AE50" s="85" t="str">
        <f t="shared" si="71"/>
        <v>Reprov</v>
      </c>
    </row>
    <row r="51" spans="1:31" ht="15.75" thickBot="1" x14ac:dyDescent="0.3">
      <c r="A51" s="67">
        <v>100</v>
      </c>
      <c r="B51" s="114">
        <v>30.035</v>
      </c>
      <c r="C51" s="68">
        <v>1</v>
      </c>
      <c r="D51" s="69" t="s">
        <v>40</v>
      </c>
      <c r="E51" s="91"/>
      <c r="F51" s="91"/>
      <c r="G51" s="91"/>
      <c r="H51" s="115">
        <f t="shared" si="59"/>
        <v>0</v>
      </c>
      <c r="I51" s="116">
        <f t="shared" si="72"/>
        <v>29.174579999999999</v>
      </c>
      <c r="J51" s="117">
        <f t="shared" si="73"/>
        <v>30.895420000000001</v>
      </c>
      <c r="K51" s="71">
        <f t="shared" si="74"/>
        <v>0</v>
      </c>
      <c r="L51" s="119">
        <f>SQRT(((0.00005)/SQRT(3))^2+((0.0015*B51+0.09)/2)^2+(0)^2+(0.0071/2)^2)</f>
        <v>6.7619507336240142E-2</v>
      </c>
      <c r="M51" s="72">
        <f>SQRT(K51^2+(0.00005/SQRT(3))^2)</f>
        <v>2.8867513459481293E-5</v>
      </c>
      <c r="N51" s="73">
        <f t="shared" si="60"/>
        <v>6.7619513498169803E-2</v>
      </c>
      <c r="O51" s="74">
        <f t="shared" si="61"/>
        <v>2</v>
      </c>
      <c r="P51" s="72">
        <f t="shared" si="75"/>
        <v>0.13523902699633961</v>
      </c>
      <c r="Q51" s="72">
        <f>(N51^4)/(((K51^4)/2)+(0.0071^4/3))</f>
        <v>24681.754437662785</v>
      </c>
      <c r="R51" s="76">
        <f t="shared" si="63"/>
        <v>-0.13523902699633961</v>
      </c>
      <c r="S51" s="77" t="str">
        <f t="shared" si="64"/>
        <v>Reprov</v>
      </c>
      <c r="T51" s="87"/>
      <c r="U51" s="87"/>
      <c r="V51" s="87"/>
      <c r="W51" s="79">
        <f>(T51+U51+V51)/3</f>
        <v>0</v>
      </c>
      <c r="X51" s="80">
        <f t="shared" si="76"/>
        <v>0</v>
      </c>
      <c r="Y51" s="80">
        <f>SQRT(X51^2+(0.00005/SQRT(3))^2)</f>
        <v>2.8867513459481293E-5</v>
      </c>
      <c r="Z51" s="81">
        <f t="shared" si="66"/>
        <v>6.7619513498169803E-2</v>
      </c>
      <c r="AA51" s="82">
        <f t="shared" si="67"/>
        <v>2</v>
      </c>
      <c r="AB51" s="80">
        <f t="shared" si="77"/>
        <v>0.13523902699633961</v>
      </c>
      <c r="AC51" s="83" t="str">
        <f t="shared" si="69"/>
        <v>INFINITOS</v>
      </c>
      <c r="AD51" s="84">
        <f t="shared" si="70"/>
        <v>-0.13523902699633961</v>
      </c>
      <c r="AE51" s="85" t="str">
        <f t="shared" si="71"/>
        <v>Reprov</v>
      </c>
    </row>
    <row r="52" spans="1:31" ht="15.75" thickBot="1" x14ac:dyDescent="0.3">
      <c r="A52" s="165"/>
      <c r="B52" s="166"/>
      <c r="C52" s="138"/>
      <c r="D52" s="167"/>
      <c r="E52" s="140"/>
      <c r="F52" s="140"/>
      <c r="G52" s="140"/>
      <c r="H52" s="141"/>
      <c r="I52" s="138"/>
      <c r="J52" s="138"/>
      <c r="K52" s="143"/>
      <c r="L52" s="143"/>
      <c r="M52" s="143"/>
      <c r="N52" s="144"/>
      <c r="O52" s="144"/>
      <c r="P52" s="138"/>
      <c r="Q52" s="138"/>
      <c r="R52" s="145"/>
      <c r="S52" s="146"/>
      <c r="T52" s="140"/>
      <c r="U52" s="140"/>
      <c r="V52" s="140"/>
      <c r="W52" s="143"/>
      <c r="X52" s="143"/>
      <c r="Y52" s="143"/>
      <c r="Z52" s="144"/>
      <c r="AA52" s="144"/>
      <c r="AB52" s="138"/>
      <c r="AC52" s="145"/>
      <c r="AD52" s="145"/>
      <c r="AE52" s="147"/>
    </row>
    <row r="53" spans="1:31" ht="16.5" thickBot="1" x14ac:dyDescent="0.3">
      <c r="A53" s="408" t="s">
        <v>41</v>
      </c>
      <c r="B53" s="360" t="s">
        <v>42</v>
      </c>
      <c r="C53" s="361"/>
      <c r="D53" s="362"/>
      <c r="E53" s="404" t="s">
        <v>46</v>
      </c>
      <c r="F53" s="405"/>
      <c r="G53" s="406"/>
      <c r="H53" s="414" t="s">
        <v>23</v>
      </c>
      <c r="I53" s="416" t="s">
        <v>24</v>
      </c>
      <c r="J53" s="420" t="s">
        <v>25</v>
      </c>
      <c r="K53" s="414" t="s">
        <v>26</v>
      </c>
      <c r="L53" s="377" t="s">
        <v>27</v>
      </c>
      <c r="M53" s="377" t="s">
        <v>28</v>
      </c>
      <c r="N53" s="377" t="s">
        <v>29</v>
      </c>
      <c r="O53" s="380" t="s">
        <v>30</v>
      </c>
      <c r="P53" s="398" t="s">
        <v>31</v>
      </c>
      <c r="Q53" s="400" t="s">
        <v>32</v>
      </c>
      <c r="R53" s="398" t="s">
        <v>33</v>
      </c>
      <c r="S53" s="383" t="s">
        <v>34</v>
      </c>
      <c r="T53" s="404" t="s">
        <v>47</v>
      </c>
      <c r="U53" s="405"/>
      <c r="V53" s="411"/>
      <c r="W53" s="422" t="s">
        <v>23</v>
      </c>
      <c r="X53" s="412" t="s">
        <v>26</v>
      </c>
      <c r="Y53" s="418" t="s">
        <v>28</v>
      </c>
      <c r="Z53" s="377" t="s">
        <v>29</v>
      </c>
      <c r="AA53" s="380" t="s">
        <v>30</v>
      </c>
      <c r="AB53" s="398" t="s">
        <v>31</v>
      </c>
      <c r="AC53" s="400" t="s">
        <v>32</v>
      </c>
      <c r="AD53" s="398" t="s">
        <v>33</v>
      </c>
      <c r="AE53" s="383" t="s">
        <v>34</v>
      </c>
    </row>
    <row r="54" spans="1:31" ht="15.75" thickBot="1" x14ac:dyDescent="0.3">
      <c r="A54" s="409"/>
      <c r="B54" s="363"/>
      <c r="C54" s="364"/>
      <c r="D54" s="365"/>
      <c r="E54" s="53" t="s">
        <v>36</v>
      </c>
      <c r="F54" s="54" t="s">
        <v>37</v>
      </c>
      <c r="G54" s="54" t="s">
        <v>38</v>
      </c>
      <c r="H54" s="415"/>
      <c r="I54" s="417"/>
      <c r="J54" s="407"/>
      <c r="K54" s="421"/>
      <c r="L54" s="379"/>
      <c r="M54" s="379"/>
      <c r="N54" s="379"/>
      <c r="O54" s="381"/>
      <c r="P54" s="399"/>
      <c r="Q54" s="401"/>
      <c r="R54" s="399"/>
      <c r="S54" s="384"/>
      <c r="T54" s="53" t="s">
        <v>36</v>
      </c>
      <c r="U54" s="54" t="s">
        <v>37</v>
      </c>
      <c r="V54" s="54" t="s">
        <v>38</v>
      </c>
      <c r="W54" s="423"/>
      <c r="X54" s="413"/>
      <c r="Y54" s="419"/>
      <c r="Z54" s="379"/>
      <c r="AA54" s="381"/>
      <c r="AB54" s="399"/>
      <c r="AC54" s="401"/>
      <c r="AD54" s="399"/>
      <c r="AE54" s="384"/>
    </row>
    <row r="55" spans="1:31" ht="15.75" thickBot="1" x14ac:dyDescent="0.3">
      <c r="A55" s="92">
        <v>10</v>
      </c>
      <c r="B55" s="168">
        <v>10</v>
      </c>
      <c r="C55" s="94">
        <v>1</v>
      </c>
      <c r="D55" s="133" t="s">
        <v>40</v>
      </c>
      <c r="E55" s="169"/>
      <c r="F55" s="170"/>
      <c r="G55" s="171"/>
      <c r="H55" s="172">
        <f t="shared" ref="H55" si="79">(E55+F55+G55)/3</f>
        <v>0</v>
      </c>
      <c r="I55" s="173">
        <f>B55-(B55*0.06%+A55*0.03%+0.00003)</f>
        <v>9.9909700000000008</v>
      </c>
      <c r="J55" s="174">
        <f>B55+(B55*0.06%+B55*0.03%+0.00003)</f>
        <v>10.009029999999999</v>
      </c>
      <c r="K55" s="175">
        <f t="shared" ref="K55" si="80">IF(SUM(E55:G55)=0,0,STDEV(E55:G55)/SQRT(3))</f>
        <v>0</v>
      </c>
      <c r="L55" s="176">
        <f>SQRT(((0.000005)/SQRT(3))^2+((0.00024*B55+0.0004)/2)^2+(0.00003/SQRT(3))^2+(0.00039/2.28)^2)</f>
        <v>1.4105202359779943E-3</v>
      </c>
      <c r="M55" s="176">
        <f>SQRT(K55^2+(0.000005/SQRT(3))^2)</f>
        <v>2.8867513459481293E-6</v>
      </c>
      <c r="N55" s="177">
        <f t="shared" ref="N55" si="81">SQRT(L55^2+M55^2)</f>
        <v>1.4105231899677331E-3</v>
      </c>
      <c r="O55" s="178">
        <f t="shared" ref="O55" si="82">IF(Q55&lt;=1.5,(13.968),IF(Q55&lt;=2.5,(4.527),IF(Q55&lt;=3.5,(3.307),IF(Q55&lt;=4.5,(2.869),IF(Q55&lt;=5.5,(2.649),IF(Q55&lt;=6.5,(2.517),IF(Q55&lt;=7.5,(2.429),IF(Q55&lt;=8.5,(2.2366),IF(Q55&lt;=9.5,(2.32),IF(Q55&lt;=10.5,(2.284),IF(Q55&lt;=11.5,(2.255),IF(Q55&lt;=12.5,(2.231),IF(Q55&lt;=13.5,(2.212),IF(Q55&lt;=14.5,(2.195),IF(Q55&lt;=15.5,(2.181),IF(Q55&lt;=16.5,(2.169),IF(Q55&lt;=17.5,(2.158),IF(Q55&lt;=18.5,(2.149),IF(Q55&lt;=19.5,(2.14),IF(Q55&lt;=22.5,(2.133),IF(Q55&lt;=27.5,(2.105),IF(Q55&lt;=32.5,(2.087),IF(Q55&lt;=37.5,(2.2074),IF(Q55&lt;=45,(2.064),IF(Q55&lt;=55,(2.051),IF(Q55&lt;=65,(2.043),IF(Q55&lt;=75,(2.036),IF(Q55&lt;=85,(2.032),IF(Q55&lt;=95,(2.028),IF(Q55&lt;=125,(2.025),IF(Q55&lt;=175,(2.017),IF(Q55&lt;=500,(2.013),IF(Q55&lt;=1200,(2.003),(2))))))))))))))))))))))))))))))))))</f>
        <v>2</v>
      </c>
      <c r="P55" s="176">
        <f>N55*O55</f>
        <v>2.8210463799354661E-3</v>
      </c>
      <c r="Q55" s="176">
        <f>(N55^4)/(((K55^4)/2)+(0.00039^4/10))</f>
        <v>1711.0491879476035</v>
      </c>
      <c r="R55" s="179">
        <f t="shared" ref="R55" si="83">IF(H55&lt;=B55,H55-P55,H55+P55)</f>
        <v>-2.8210463799354661E-3</v>
      </c>
      <c r="S55" s="180" t="str">
        <f t="shared" ref="S55" si="84">IF(I55&lt;R55,IF(R55&lt;J55,"A","Reprov"),"Reprov")</f>
        <v>Reprov</v>
      </c>
      <c r="T55" s="181"/>
      <c r="U55" s="182"/>
      <c r="V55" s="183"/>
      <c r="W55" s="184">
        <f>(T55+U55+V55)/3</f>
        <v>0</v>
      </c>
      <c r="X55" s="185">
        <f>IF(SUM(T55:V55)=0,0,STDEV(T55:V55)/SQRT(3))</f>
        <v>0</v>
      </c>
      <c r="Y55" s="185">
        <f>SQRT(X55^2+(0.000005/SQRT(3))^2)</f>
        <v>2.8867513459481293E-6</v>
      </c>
      <c r="Z55" s="186">
        <f t="shared" ref="Z55" si="85">SQRT(L55^2+Y55^2)</f>
        <v>1.4105231899677331E-3</v>
      </c>
      <c r="AA55" s="187">
        <f t="shared" ref="AA55" si="86">IF(AC55&lt;=1.5,(13.968),IF(AC55&lt;=2.5,(4.527),IF(AC55&lt;=3.5,(3.307),IF(AC55&lt;=4.5,(2.869),IF(AC55&lt;=5.5,(2.649),IF(AC55&lt;=6.5,(2.517),IF(AC55&lt;=7.5,(2.429),IF(AC55&lt;=8.5,(2.2366),IF(AC55&lt;=9.5,(2.32),IF(AC55&lt;=10.5,(2.284),IF(AC55&lt;=11.5,(2.255),IF(AC55&lt;=12.5,(2.231),IF(AC55&lt;=13.5,(2.212),IF(AC55&lt;=14.5,(2.195),IF(AC55&lt;=15.5,(2.181),IF(AC55&lt;=16.5,(2.169),IF(AC55&lt;=17.5,(2.158),IF(AC55&lt;=18.5,(2.149),IF(AC55&lt;=19.5,(2.14),IF(AC55&lt;=22.5,(2.133),IF(AC55&lt;=27.5,(2.105),IF(AC55&lt;=32.5,(2.087),IF(AC55&lt;=37.5,(2.2074),IF(AC55&lt;=45,(2.064),IF(AC55&lt;=55,(2.051),IF(AC55&lt;=65,(2.043),IF(AC55&lt;=75,(2.036),IF(AC55&lt;=85,(2.032),IF(AC55&lt;=95,(2.028),IF(AC55&lt;=125,(2.025),IF(AC55&lt;=175,(2.017),IF(AC55&lt;=500,(2.013),IF(AC55&lt;=1200,(2.003),(2))))))))))))))))))))))))))))))))))</f>
        <v>2</v>
      </c>
      <c r="AB55" s="185">
        <f t="shared" ref="AB55" si="87">AA55*Z55</f>
        <v>2.8210463799354661E-3</v>
      </c>
      <c r="AC55" s="188">
        <f>(Z55^4)/(((X55^4)/2)+(0.00039^4/10))</f>
        <v>1711.0491879476035</v>
      </c>
      <c r="AD55" s="189">
        <f t="shared" ref="AD55" si="88">IF(W55&lt;=B55,W55-AB55,W55+AB55)</f>
        <v>-2.8210463799354661E-3</v>
      </c>
      <c r="AE55" s="190" t="str">
        <f t="shared" ref="AE55" si="89">IF(I55&lt;AD55,IF(AD55&lt;J55,"A","Reprov"),"Reprov")</f>
        <v>Reprov</v>
      </c>
    </row>
    <row r="56" spans="1:31" ht="15.75" thickBot="1" x14ac:dyDescent="0.3">
      <c r="A56" s="151"/>
      <c r="B56" s="152"/>
      <c r="C56" s="68"/>
      <c r="D56" s="153"/>
      <c r="E56" s="154"/>
      <c r="F56" s="154"/>
      <c r="G56" s="154"/>
      <c r="H56" s="155"/>
      <c r="I56" s="68"/>
      <c r="J56" s="68"/>
      <c r="K56" s="156"/>
      <c r="L56" s="157"/>
      <c r="M56" s="157"/>
      <c r="N56" s="158"/>
      <c r="O56" s="159"/>
      <c r="P56" s="157"/>
      <c r="Q56" s="157"/>
      <c r="R56" s="160"/>
      <c r="S56" s="161"/>
      <c r="T56" s="154"/>
      <c r="U56" s="154"/>
      <c r="V56" s="154"/>
      <c r="W56" s="162"/>
      <c r="X56" s="157"/>
      <c r="Y56" s="157"/>
      <c r="Z56" s="158"/>
      <c r="AA56" s="159"/>
      <c r="AB56" s="157"/>
      <c r="AC56" s="163"/>
      <c r="AD56" s="160"/>
      <c r="AE56" s="164"/>
    </row>
    <row r="57" spans="1:31" ht="16.5" thickBot="1" x14ac:dyDescent="0.3">
      <c r="A57" s="408" t="s">
        <v>48</v>
      </c>
      <c r="B57" s="360" t="s">
        <v>49</v>
      </c>
      <c r="C57" s="361"/>
      <c r="D57" s="362"/>
      <c r="E57" s="404" t="s">
        <v>74</v>
      </c>
      <c r="F57" s="405"/>
      <c r="G57" s="406"/>
      <c r="H57" s="424" t="s">
        <v>23</v>
      </c>
      <c r="I57" s="416" t="s">
        <v>24</v>
      </c>
      <c r="J57" s="420" t="s">
        <v>25</v>
      </c>
      <c r="K57" s="414" t="s">
        <v>26</v>
      </c>
      <c r="L57" s="380" t="s">
        <v>27</v>
      </c>
      <c r="M57" s="380" t="s">
        <v>28</v>
      </c>
      <c r="N57" s="380" t="s">
        <v>29</v>
      </c>
      <c r="O57" s="380" t="s">
        <v>30</v>
      </c>
      <c r="P57" s="400" t="s">
        <v>31</v>
      </c>
      <c r="Q57" s="400" t="s">
        <v>32</v>
      </c>
      <c r="R57" s="400" t="s">
        <v>33</v>
      </c>
      <c r="S57" s="383" t="s">
        <v>34</v>
      </c>
      <c r="T57" s="404" t="s">
        <v>50</v>
      </c>
      <c r="U57" s="405"/>
      <c r="V57" s="406"/>
      <c r="W57" s="424" t="s">
        <v>23</v>
      </c>
      <c r="X57" s="425" t="s">
        <v>26</v>
      </c>
      <c r="Y57" s="427" t="s">
        <v>28</v>
      </c>
      <c r="Z57" s="380" t="s">
        <v>29</v>
      </c>
      <c r="AA57" s="380" t="s">
        <v>30</v>
      </c>
      <c r="AB57" s="400" t="s">
        <v>31</v>
      </c>
      <c r="AC57" s="400" t="s">
        <v>32</v>
      </c>
      <c r="AD57" s="400" t="s">
        <v>33</v>
      </c>
      <c r="AE57" s="383" t="s">
        <v>34</v>
      </c>
    </row>
    <row r="58" spans="1:31" ht="15.75" thickBot="1" x14ac:dyDescent="0.3">
      <c r="A58" s="409"/>
      <c r="B58" s="363"/>
      <c r="C58" s="364"/>
      <c r="D58" s="365"/>
      <c r="E58" s="191" t="s">
        <v>36</v>
      </c>
      <c r="F58" s="192" t="s">
        <v>37</v>
      </c>
      <c r="G58" s="192" t="s">
        <v>38</v>
      </c>
      <c r="H58" s="421"/>
      <c r="I58" s="417"/>
      <c r="J58" s="407"/>
      <c r="K58" s="421"/>
      <c r="L58" s="381"/>
      <c r="M58" s="381"/>
      <c r="N58" s="381"/>
      <c r="O58" s="381"/>
      <c r="P58" s="401"/>
      <c r="Q58" s="401"/>
      <c r="R58" s="401"/>
      <c r="S58" s="384"/>
      <c r="T58" s="191" t="s">
        <v>36</v>
      </c>
      <c r="U58" s="192" t="s">
        <v>37</v>
      </c>
      <c r="V58" s="192" t="s">
        <v>38</v>
      </c>
      <c r="W58" s="421"/>
      <c r="X58" s="426"/>
      <c r="Y58" s="428"/>
      <c r="Z58" s="381"/>
      <c r="AA58" s="381"/>
      <c r="AB58" s="401"/>
      <c r="AC58" s="401"/>
      <c r="AD58" s="401"/>
      <c r="AE58" s="384"/>
    </row>
    <row r="59" spans="1:31" x14ac:dyDescent="0.25">
      <c r="A59" s="55">
        <v>100</v>
      </c>
      <c r="B59" s="193">
        <v>100</v>
      </c>
      <c r="C59" s="194">
        <v>1E-3</v>
      </c>
      <c r="D59" s="195" t="s">
        <v>51</v>
      </c>
      <c r="E59" s="196"/>
      <c r="F59" s="196"/>
      <c r="G59" s="196"/>
      <c r="H59" s="197">
        <f t="shared" ref="H59:H66" si="90">(E59+F59+G59)/3</f>
        <v>0</v>
      </c>
      <c r="I59" s="198">
        <f>B59-(B59*0.05%+A59*0.025%)</f>
        <v>99.924999999999997</v>
      </c>
      <c r="J59" s="198">
        <f>B59+(B59*0.05%+B59*0.025%)</f>
        <v>100.075</v>
      </c>
      <c r="K59" s="199">
        <f>IF(SUM(E59:G59)=0,0,STDEV(E59:G59)/SQRT(3))*C59</f>
        <v>0</v>
      </c>
      <c r="L59" s="61">
        <f>SQRT(((0.00005)/SQRT(3))^2+((0.00005*B59+0.008)/2)^2+(0.0019/SQRT(3))^2+(0.001/2)^2)</f>
        <v>6.6109126954352285E-3</v>
      </c>
      <c r="M59" s="61">
        <f>SQRT(K59^2+(0.000005/SQRT(3))^2)</f>
        <v>2.8867513459481293E-6</v>
      </c>
      <c r="N59" s="200">
        <f t="shared" ref="N59:N66" si="91">SQRT(L59^2+M59^2)</f>
        <v>6.610913325706215E-3</v>
      </c>
      <c r="O59" s="201">
        <f t="shared" ref="O59:O66" si="92">IF(Q59&lt;=1.5,(13.968),IF(Q59&lt;=2.5,(4.527),IF(Q59&lt;=3.5,(3.307),IF(Q59&lt;=4.5,(2.869),IF(Q59&lt;=5.5,(2.649),IF(Q59&lt;=6.5,(2.517),IF(Q59&lt;=7.5,(2.429),IF(Q59&lt;=8.5,(2.2366),IF(Q59&lt;=9.5,(2.32),IF(Q59&lt;=10.5,(2.284),IF(Q59&lt;=11.5,(2.255),IF(Q59&lt;=12.5,(2.231),IF(Q59&lt;=13.5,(2.212),IF(Q59&lt;=14.5,(2.195),IF(Q59&lt;=15.5,(2.181),IF(Q59&lt;=16.5,(2.169),IF(Q59&lt;=17.5,(2.158),IF(Q59&lt;=18.5,(2.149),IF(Q59&lt;=19.5,(2.14),IF(Q59&lt;=22.5,(2.133),IF(Q59&lt;=27.5,(2.105),IF(Q59&lt;=32.5,(2.087),IF(Q59&lt;=37.5,(2.2074),IF(Q59&lt;=45,(2.064),IF(Q59&lt;=55,(2.051),IF(Q59&lt;=65,(2.043),IF(Q59&lt;=75,(2.036),IF(Q59&lt;=85,(2.032),IF(Q59&lt;=95,(2.028),IF(Q59&lt;=125,(2.025),IF(Q59&lt;=175,(2.017),IF(Q59&lt;=500,(2.013),IF(Q59&lt;=1200,(2.003),(2))))))))))))))))))))))))))))))))))</f>
        <v>2</v>
      </c>
      <c r="P59" s="61">
        <f t="shared" ref="P59:P66" si="93">N59*O59</f>
        <v>1.322182665141243E-2</v>
      </c>
      <c r="Q59" s="61" t="str">
        <f t="shared" ref="Q59:Q63" si="94">IF(K59=0,"INFINITOS",(N59^4)/((K59^4)/2))</f>
        <v>INFINITOS</v>
      </c>
      <c r="R59" s="202">
        <f t="shared" ref="R59:R66" si="95">IF(H59&lt;=B59,H59-P59,H59+P59)</f>
        <v>-1.322182665141243E-2</v>
      </c>
      <c r="S59" s="66" t="str">
        <f t="shared" ref="S59:S66" si="96">IF(I59&lt;R59,IF(R59&lt;J59,"A","Reprov"),"Reprov")</f>
        <v>Reprov</v>
      </c>
      <c r="T59" s="203"/>
      <c r="U59" s="203"/>
      <c r="V59" s="203"/>
      <c r="W59" s="60">
        <f t="shared" ref="W59:W66" si="97">(T59+U59+V59)/3</f>
        <v>0</v>
      </c>
      <c r="X59" s="61">
        <f t="shared" ref="X59:X62" si="98">IF(SUM(T59:V59)=0,0,STDEV(T59:V59)/SQRT(3))*C59</f>
        <v>0</v>
      </c>
      <c r="Y59" s="61">
        <f>SQRT(X59^2+(0.000005/SQRT(3))^2)</f>
        <v>2.8867513459481293E-6</v>
      </c>
      <c r="Z59" s="200">
        <f t="shared" ref="Z59:Z66" si="99">SQRT(L59^2+Y59^2)</f>
        <v>6.610913325706215E-3</v>
      </c>
      <c r="AA59" s="201">
        <f t="shared" ref="AA59:AA66" si="100">IF(AC59&lt;=1.5,(13.968),IF(AC59&lt;=2.5,(4.527),IF(AC59&lt;=3.5,(3.307),IF(AC59&lt;=4.5,(2.869),IF(AC59&lt;=5.5,(2.649),IF(AC59&lt;=6.5,(2.517),IF(AC59&lt;=7.5,(2.429),IF(AC59&lt;=8.5,(2.2366),IF(AC59&lt;=9.5,(2.32),IF(AC59&lt;=10.5,(2.284),IF(AC59&lt;=11.5,(2.255),IF(AC59&lt;=12.5,(2.231),IF(AC59&lt;=13.5,(2.212),IF(AC59&lt;=14.5,(2.195),IF(AC59&lt;=15.5,(2.181),IF(AC59&lt;=16.5,(2.169),IF(AC59&lt;=17.5,(2.158),IF(AC59&lt;=18.5,(2.149),IF(AC59&lt;=19.5,(2.14),IF(AC59&lt;=22.5,(2.133),IF(AC59&lt;=27.5,(2.105),IF(AC59&lt;=32.5,(2.087),IF(AC59&lt;=37.5,(2.2074),IF(AC59&lt;=45,(2.064),IF(AC59&lt;=55,(2.051),IF(AC59&lt;=65,(2.043),IF(AC59&lt;=75,(2.036),IF(AC59&lt;=85,(2.032),IF(AC59&lt;=95,(2.028),IF(AC59&lt;=125,(2.025),IF(AC59&lt;=175,(2.017),IF(AC59&lt;=500,(2.013),IF(AC59&lt;=1200,(2.003),(2))))))))))))))))))))))))))))))))))</f>
        <v>2</v>
      </c>
      <c r="AB59" s="61">
        <f t="shared" ref="AB59:AB66" si="101">AA59*Z59</f>
        <v>1.322182665141243E-2</v>
      </c>
      <c r="AC59" s="64" t="str">
        <f t="shared" ref="AC59:AC63" si="102">IF(W59=0,"INFINITOS",(Z59^4)/((W59^4)/2))</f>
        <v>INFINITOS</v>
      </c>
      <c r="AD59" s="65">
        <f t="shared" ref="AD59:AD66" si="103">IF(W59&lt;=B59,W59-AB59,W59+AB59)</f>
        <v>-1.322182665141243E-2</v>
      </c>
      <c r="AE59" s="66" t="str">
        <f t="shared" ref="AE59:AE66" si="104">IF(I59&lt;AD59,IF(AD59&lt;J59,"A","Reprov"),"Reprov")</f>
        <v>Reprov</v>
      </c>
    </row>
    <row r="60" spans="1:31" x14ac:dyDescent="0.25">
      <c r="A60" s="204">
        <v>1</v>
      </c>
      <c r="B60" s="205">
        <v>1</v>
      </c>
      <c r="C60" s="206">
        <v>1E-3</v>
      </c>
      <c r="D60" s="207" t="s">
        <v>52</v>
      </c>
      <c r="E60" s="208"/>
      <c r="F60" s="208"/>
      <c r="G60" s="208"/>
      <c r="H60" s="209">
        <f t="shared" si="90"/>
        <v>0</v>
      </c>
      <c r="I60" s="210">
        <f>B60-(B60*0.05%+A60*0.06%)</f>
        <v>0.99890000000000001</v>
      </c>
      <c r="J60" s="210">
        <f>B60+(B60*0.05%+B60*0.06%)</f>
        <v>1.0011000000000001</v>
      </c>
      <c r="K60" s="211">
        <f>IF(SUM(E60:G60)=0,0,STDEV(E60:G60)/SQRT(3))*C60</f>
        <v>0</v>
      </c>
      <c r="L60" s="212">
        <f>SQRT(((0.0000005)/SQRT(3))^2+((0.00005*B60+0.000008)/2)^2+(0.000003/SQRT(3))^2+(0.00001/2)^2)</f>
        <v>2.948021935694057E-5</v>
      </c>
      <c r="M60" s="212">
        <f>SQRT(K60^2+(0.000005/SQRT(3))^2)</f>
        <v>2.8867513459481293E-6</v>
      </c>
      <c r="N60" s="213">
        <f t="shared" si="91"/>
        <v>2.9621219871346735E-5</v>
      </c>
      <c r="O60" s="214">
        <f t="shared" si="92"/>
        <v>2</v>
      </c>
      <c r="P60" s="212">
        <f t="shared" si="93"/>
        <v>5.9242439742693471E-5</v>
      </c>
      <c r="Q60" s="212" t="str">
        <f t="shared" si="94"/>
        <v>INFINITOS</v>
      </c>
      <c r="R60" s="215">
        <f t="shared" si="95"/>
        <v>-5.9242439742693471E-5</v>
      </c>
      <c r="S60" s="216" t="str">
        <f t="shared" si="96"/>
        <v>Reprov</v>
      </c>
      <c r="T60" s="217"/>
      <c r="U60" s="217"/>
      <c r="V60" s="217"/>
      <c r="W60" s="218">
        <f t="shared" si="97"/>
        <v>0</v>
      </c>
      <c r="X60" s="212">
        <f t="shared" si="98"/>
        <v>0</v>
      </c>
      <c r="Y60" s="212">
        <f>SQRT(X60^2+(0.000005/SQRT(3))^2)</f>
        <v>2.8867513459481293E-6</v>
      </c>
      <c r="Z60" s="213">
        <f t="shared" si="99"/>
        <v>2.9621219871346735E-5</v>
      </c>
      <c r="AA60" s="214">
        <f t="shared" si="100"/>
        <v>2</v>
      </c>
      <c r="AB60" s="212">
        <f t="shared" si="101"/>
        <v>5.9242439742693471E-5</v>
      </c>
      <c r="AC60" s="219" t="str">
        <f t="shared" si="102"/>
        <v>INFINITOS</v>
      </c>
      <c r="AD60" s="220">
        <f t="shared" si="103"/>
        <v>-5.9242439742693471E-5</v>
      </c>
      <c r="AE60" s="216" t="str">
        <f t="shared" si="104"/>
        <v>Reprov</v>
      </c>
    </row>
    <row r="61" spans="1:31" x14ac:dyDescent="0.25">
      <c r="A61" s="204">
        <v>10</v>
      </c>
      <c r="B61" s="205">
        <v>10</v>
      </c>
      <c r="C61" s="206">
        <v>1E-3</v>
      </c>
      <c r="D61" s="207" t="s">
        <v>52</v>
      </c>
      <c r="E61" s="221"/>
      <c r="F61" s="221"/>
      <c r="G61" s="221"/>
      <c r="H61" s="209">
        <f t="shared" si="90"/>
        <v>0</v>
      </c>
      <c r="I61" s="210">
        <f>B61-(B61*0.05%+A61*0.02%)</f>
        <v>9.9930000000000003</v>
      </c>
      <c r="J61" s="210">
        <f>B61+(B61*0.05%+B61*0.02%)</f>
        <v>10.007</v>
      </c>
      <c r="K61" s="211">
        <f>IF(SUM(E61:G61)=0,0,STDEV(E61:G61)/SQRT(3))*C61</f>
        <v>0</v>
      </c>
      <c r="L61" s="212">
        <f>SQRT(((0.000005)/SQRT(3))^2+((0.00005*B61+0.00008)/2)^2+(0.00004/SQRT(3))^2+(0.0001/2)^2)</f>
        <v>2.9519767388424097E-4</v>
      </c>
      <c r="M61" s="212">
        <f>SQRT(K61^2+(0.000005/SQRT(3))^2)</f>
        <v>2.8867513459481293E-6</v>
      </c>
      <c r="N61" s="213">
        <f t="shared" si="91"/>
        <v>2.9521178838251024E-4</v>
      </c>
      <c r="O61" s="214">
        <f t="shared" si="92"/>
        <v>2</v>
      </c>
      <c r="P61" s="212">
        <f t="shared" si="93"/>
        <v>5.9042357676502048E-4</v>
      </c>
      <c r="Q61" s="212" t="str">
        <f t="shared" si="94"/>
        <v>INFINITOS</v>
      </c>
      <c r="R61" s="215">
        <f t="shared" si="95"/>
        <v>-5.9042357676502048E-4</v>
      </c>
      <c r="S61" s="216" t="str">
        <f t="shared" si="96"/>
        <v>Reprov</v>
      </c>
      <c r="T61" s="217"/>
      <c r="U61" s="217"/>
      <c r="V61" s="217"/>
      <c r="W61" s="218">
        <f t="shared" si="97"/>
        <v>0</v>
      </c>
      <c r="X61" s="212">
        <f t="shared" si="98"/>
        <v>0</v>
      </c>
      <c r="Y61" s="212">
        <f>SQRT(X61^2+(0.000005/SQRT(3))^2)</f>
        <v>2.8867513459481293E-6</v>
      </c>
      <c r="Z61" s="213">
        <f t="shared" si="99"/>
        <v>2.9521178838251024E-4</v>
      </c>
      <c r="AA61" s="214">
        <f t="shared" si="100"/>
        <v>2</v>
      </c>
      <c r="AB61" s="212">
        <f t="shared" si="101"/>
        <v>5.9042357676502048E-4</v>
      </c>
      <c r="AC61" s="219" t="str">
        <f t="shared" si="102"/>
        <v>INFINITOS</v>
      </c>
      <c r="AD61" s="220">
        <f t="shared" si="103"/>
        <v>-5.9042357676502048E-4</v>
      </c>
      <c r="AE61" s="216" t="str">
        <f t="shared" si="104"/>
        <v>Reprov</v>
      </c>
    </row>
    <row r="62" spans="1:31" x14ac:dyDescent="0.25">
      <c r="A62" s="67">
        <v>100</v>
      </c>
      <c r="B62" s="222">
        <v>100</v>
      </c>
      <c r="C62" s="223">
        <v>1E-3</v>
      </c>
      <c r="D62" s="90" t="s">
        <v>52</v>
      </c>
      <c r="E62" s="91"/>
      <c r="F62" s="91"/>
      <c r="G62" s="91"/>
      <c r="H62" s="115">
        <f t="shared" si="90"/>
        <v>0</v>
      </c>
      <c r="I62" s="117">
        <f>B62-(B62*0.05%+A62*0.005%)</f>
        <v>99.944999999999993</v>
      </c>
      <c r="J62" s="117">
        <f>B62+(B62*0.05%+B62*0.005%)</f>
        <v>100.05500000000001</v>
      </c>
      <c r="K62" s="211">
        <f>IF(SUM(E62:G62)=0,0,STDEV(E62:G62)/SQRT(3))*C62</f>
        <v>0</v>
      </c>
      <c r="L62" s="80">
        <f>SQRT(((0.00005)/SQRT(3))^2+((0.00006*B62+0.0008)/2)^2+(0)+(0.001/2)^2)</f>
        <v>3.436689298341259E-3</v>
      </c>
      <c r="M62" s="80">
        <f>SQRT(K62^2+(0.00005/SQRT(3))^2)</f>
        <v>2.8867513459481293E-5</v>
      </c>
      <c r="N62" s="81">
        <f t="shared" si="91"/>
        <v>3.4368105369174296E-3</v>
      </c>
      <c r="O62" s="82">
        <f t="shared" si="92"/>
        <v>2</v>
      </c>
      <c r="P62" s="80">
        <f t="shared" si="93"/>
        <v>6.8736210738348591E-3</v>
      </c>
      <c r="Q62" s="80" t="str">
        <f t="shared" si="94"/>
        <v>INFINITOS</v>
      </c>
      <c r="R62" s="224">
        <f t="shared" si="95"/>
        <v>-6.8736210738348591E-3</v>
      </c>
      <c r="S62" s="85" t="str">
        <f t="shared" si="96"/>
        <v>Reprov</v>
      </c>
      <c r="T62" s="87"/>
      <c r="U62" s="87"/>
      <c r="V62" s="87"/>
      <c r="W62" s="79">
        <f t="shared" si="97"/>
        <v>0</v>
      </c>
      <c r="X62" s="80">
        <f t="shared" si="98"/>
        <v>0</v>
      </c>
      <c r="Y62" s="80">
        <f>SQRT(X62^2+(0.00005/SQRT(3))^2)</f>
        <v>2.8867513459481293E-5</v>
      </c>
      <c r="Z62" s="81">
        <f t="shared" si="99"/>
        <v>3.4368105369174296E-3</v>
      </c>
      <c r="AA62" s="82">
        <f t="shared" si="100"/>
        <v>2</v>
      </c>
      <c r="AB62" s="80">
        <f t="shared" si="101"/>
        <v>6.8736210738348591E-3</v>
      </c>
      <c r="AC62" s="83" t="str">
        <f t="shared" si="102"/>
        <v>INFINITOS</v>
      </c>
      <c r="AD62" s="84">
        <f t="shared" si="103"/>
        <v>-6.8736210738348591E-3</v>
      </c>
      <c r="AE62" s="85" t="str">
        <f t="shared" si="104"/>
        <v>Reprov</v>
      </c>
    </row>
    <row r="63" spans="1:31" x14ac:dyDescent="0.25">
      <c r="A63" s="67">
        <v>1</v>
      </c>
      <c r="B63" s="225">
        <v>0.15</v>
      </c>
      <c r="C63" s="223">
        <v>1</v>
      </c>
      <c r="D63" s="226" t="s">
        <v>53</v>
      </c>
      <c r="E63" s="70"/>
      <c r="F63" s="70"/>
      <c r="G63" s="70"/>
      <c r="H63" s="115">
        <f t="shared" si="90"/>
        <v>0</v>
      </c>
      <c r="I63" s="88">
        <f>B63-(B63*0.1%+A63*0.01%)</f>
        <v>0.14974999999999999</v>
      </c>
      <c r="J63" s="88">
        <f>B63+(B63*0.1%+B63*0.01%)</f>
        <v>0.15016499999999999</v>
      </c>
      <c r="K63" s="211">
        <f>IF(SUM(E63:G63)=0,0,STDEV(E63:G63)/SQRT(3))</f>
        <v>0</v>
      </c>
      <c r="L63" s="80">
        <f>SQRT(((0.00000005)/SQRT(3))^2+((200*(B63^2)*1/1000000+0.00006*B63+0.0000008)/2)^2+(0.0000004/SQRT(3))^2+(0.000002/2)^2)</f>
        <v>7.2233417935652651E-6</v>
      </c>
      <c r="M63" s="80">
        <f>SQRT(K63^2+(0.0000005/SQRT(3))^2)</f>
        <v>2.8867513459481289E-7</v>
      </c>
      <c r="N63" s="81">
        <f t="shared" si="91"/>
        <v>7.2291078287711269E-6</v>
      </c>
      <c r="O63" s="82">
        <f t="shared" si="92"/>
        <v>2</v>
      </c>
      <c r="P63" s="80">
        <f t="shared" si="93"/>
        <v>1.4458215657542254E-5</v>
      </c>
      <c r="Q63" s="80" t="str">
        <f t="shared" si="94"/>
        <v>INFINITOS</v>
      </c>
      <c r="R63" s="224">
        <f t="shared" si="95"/>
        <v>-1.4458215657542254E-5</v>
      </c>
      <c r="S63" s="85" t="str">
        <f t="shared" si="96"/>
        <v>Reprov</v>
      </c>
      <c r="T63" s="87"/>
      <c r="U63" s="87"/>
      <c r="V63" s="87"/>
      <c r="W63" s="79">
        <f t="shared" si="97"/>
        <v>0</v>
      </c>
      <c r="X63" s="80">
        <f>IF(SUM(T63:V63)=0,0,STDEV(T63:V63)/SQRT(3))</f>
        <v>0</v>
      </c>
      <c r="Y63" s="80">
        <f>SQRT(X63^2+(0.0000005/SQRT(3))^2)</f>
        <v>2.8867513459481289E-7</v>
      </c>
      <c r="Z63" s="81">
        <f t="shared" si="99"/>
        <v>7.2291078287711269E-6</v>
      </c>
      <c r="AA63" s="82">
        <f t="shared" si="100"/>
        <v>2</v>
      </c>
      <c r="AB63" s="80">
        <f t="shared" si="101"/>
        <v>1.4458215657542254E-5</v>
      </c>
      <c r="AC63" s="83" t="str">
        <f t="shared" si="102"/>
        <v>INFINITOS</v>
      </c>
      <c r="AD63" s="84">
        <f t="shared" si="103"/>
        <v>-1.4458215657542254E-5</v>
      </c>
      <c r="AE63" s="85" t="str">
        <f t="shared" si="104"/>
        <v>Reprov</v>
      </c>
    </row>
    <row r="64" spans="1:31" x14ac:dyDescent="0.25">
      <c r="A64" s="67">
        <v>1</v>
      </c>
      <c r="B64" s="225">
        <v>0.5</v>
      </c>
      <c r="C64" s="223">
        <v>1</v>
      </c>
      <c r="D64" s="226" t="s">
        <v>53</v>
      </c>
      <c r="E64" s="70"/>
      <c r="F64" s="70"/>
      <c r="G64" s="70"/>
      <c r="H64" s="115">
        <f t="shared" si="90"/>
        <v>0</v>
      </c>
      <c r="I64" s="88">
        <f t="shared" ref="I64:I65" si="105">B64-(B64*0.1%+A64*0.01%)</f>
        <v>0.49940000000000001</v>
      </c>
      <c r="J64" s="88">
        <f t="shared" ref="J64:J65" si="106">B64+(B64*0.1%+B64*0.01%)</f>
        <v>0.50055000000000005</v>
      </c>
      <c r="K64" s="211">
        <f>IF(SUM(E64:G64)=0,0,STDEV(E64:G64)/SQRT(3))</f>
        <v>0</v>
      </c>
      <c r="L64" s="80">
        <f>SQRT(((0.0000005)/SQRT(3))^2+((0.00008*B64+0.00008)/2)^2+(0.000003/SQRT(3))^2+(0.00001/2.03)^2)</f>
        <v>6.0227484399147148E-5</v>
      </c>
      <c r="M64" s="80">
        <f>SQRT(K64^2+(0.0000005/SQRT(3))^2)</f>
        <v>2.8867513459481289E-7</v>
      </c>
      <c r="N64" s="81">
        <f t="shared" si="91"/>
        <v>6.0228176216641708E-5</v>
      </c>
      <c r="O64" s="82">
        <f t="shared" si="92"/>
        <v>2</v>
      </c>
      <c r="P64" s="80">
        <f t="shared" si="93"/>
        <v>1.2045635243328342E-4</v>
      </c>
      <c r="Q64" s="80">
        <f t="shared" ref="Q64:Q65" si="107">(N64^4)/(((K64^4)/2)+(0.00001^4/78))</f>
        <v>102634.51922714949</v>
      </c>
      <c r="R64" s="224">
        <f t="shared" si="95"/>
        <v>-1.2045635243328342E-4</v>
      </c>
      <c r="S64" s="85" t="str">
        <f t="shared" si="96"/>
        <v>Reprov</v>
      </c>
      <c r="T64" s="87"/>
      <c r="U64" s="87"/>
      <c r="V64" s="87"/>
      <c r="W64" s="79">
        <f t="shared" si="97"/>
        <v>0</v>
      </c>
      <c r="X64" s="80">
        <f>IF(SUM(T64:V64)=0,0,STDEV(T64:V64)/SQRT(3))</f>
        <v>0</v>
      </c>
      <c r="Y64" s="80">
        <f>SQRT(X64^2+(0.0000005/SQRT(3))^2)</f>
        <v>2.8867513459481289E-7</v>
      </c>
      <c r="Z64" s="81">
        <f t="shared" si="99"/>
        <v>6.0228176216641708E-5</v>
      </c>
      <c r="AA64" s="82">
        <f t="shared" si="100"/>
        <v>2</v>
      </c>
      <c r="AB64" s="80">
        <f t="shared" si="101"/>
        <v>1.2045635243328342E-4</v>
      </c>
      <c r="AC64" s="83">
        <f t="shared" ref="AC64:AC65" si="108">(Z64^4)/(((W64^4)/2)+(0.00001^4/78))</f>
        <v>102634.51922714949</v>
      </c>
      <c r="AD64" s="84">
        <f t="shared" si="103"/>
        <v>-1.2045635243328342E-4</v>
      </c>
      <c r="AE64" s="85" t="str">
        <f t="shared" si="104"/>
        <v>Reprov</v>
      </c>
    </row>
    <row r="65" spans="1:31" x14ac:dyDescent="0.25">
      <c r="A65" s="67">
        <v>1</v>
      </c>
      <c r="B65" s="225">
        <v>1</v>
      </c>
      <c r="C65" s="223">
        <v>1</v>
      </c>
      <c r="D65" s="226" t="s">
        <v>53</v>
      </c>
      <c r="E65" s="70"/>
      <c r="F65" s="70"/>
      <c r="G65" s="70"/>
      <c r="H65" s="115">
        <f t="shared" si="90"/>
        <v>0</v>
      </c>
      <c r="I65" s="88">
        <f t="shared" si="105"/>
        <v>0.99890000000000001</v>
      </c>
      <c r="J65" s="88">
        <f t="shared" si="106"/>
        <v>1.0011000000000001</v>
      </c>
      <c r="K65" s="211">
        <f>IF(SUM(E65:G65)=0,0,STDEV(E65:G65)/SQRT(3))</f>
        <v>0</v>
      </c>
      <c r="L65" s="80">
        <f>SQRT(((0.0000005)/SQRT(3))^2+((0.00008*B65+0.000025)/2)^2+(0.000003/SQRT(3))^2+(0.00001/2.03)^2)</f>
        <v>5.2759832041521057E-5</v>
      </c>
      <c r="M65" s="80">
        <f>SQRT(K65^2+(0.0000005/SQRT(3))^2)</f>
        <v>2.8867513459481289E-7</v>
      </c>
      <c r="N65" s="81">
        <f t="shared" si="91"/>
        <v>5.2760621777826359E-5</v>
      </c>
      <c r="O65" s="82">
        <f t="shared" si="92"/>
        <v>2</v>
      </c>
      <c r="P65" s="80">
        <f t="shared" si="93"/>
        <v>1.0552124355565272E-4</v>
      </c>
      <c r="Q65" s="80">
        <f t="shared" si="107"/>
        <v>60441.35928298525</v>
      </c>
      <c r="R65" s="224">
        <f t="shared" si="95"/>
        <v>-1.0552124355565272E-4</v>
      </c>
      <c r="S65" s="85" t="str">
        <f t="shared" si="96"/>
        <v>Reprov</v>
      </c>
      <c r="T65" s="87"/>
      <c r="U65" s="87"/>
      <c r="V65" s="87"/>
      <c r="W65" s="79">
        <f t="shared" si="97"/>
        <v>0</v>
      </c>
      <c r="X65" s="80">
        <f>IF(SUM(T65:V65)=0,0,STDEV(T65:V65)/SQRT(3))</f>
        <v>0</v>
      </c>
      <c r="Y65" s="80">
        <f>SQRT(X65^2+(0.0000005/SQRT(3))^2)</f>
        <v>2.8867513459481289E-7</v>
      </c>
      <c r="Z65" s="81">
        <f t="shared" si="99"/>
        <v>5.2760621777826359E-5</v>
      </c>
      <c r="AA65" s="82">
        <f t="shared" si="100"/>
        <v>2</v>
      </c>
      <c r="AB65" s="80">
        <f t="shared" si="101"/>
        <v>1.0552124355565272E-4</v>
      </c>
      <c r="AC65" s="83">
        <f t="shared" si="108"/>
        <v>60441.35928298525</v>
      </c>
      <c r="AD65" s="84">
        <f t="shared" si="103"/>
        <v>-1.0552124355565272E-4</v>
      </c>
      <c r="AE65" s="85" t="str">
        <f t="shared" si="104"/>
        <v>Reprov</v>
      </c>
    </row>
    <row r="66" spans="1:31" ht="15.75" thickBot="1" x14ac:dyDescent="0.3">
      <c r="A66" s="67">
        <v>2</v>
      </c>
      <c r="B66" s="225">
        <v>2</v>
      </c>
      <c r="C66" s="223">
        <v>1</v>
      </c>
      <c r="D66" s="226" t="s">
        <v>53</v>
      </c>
      <c r="E66" s="78"/>
      <c r="F66" s="78"/>
      <c r="G66" s="78"/>
      <c r="H66" s="115">
        <f t="shared" si="90"/>
        <v>0</v>
      </c>
      <c r="I66" s="88">
        <f>B66-(B66*0.12%+A66*0.02%)</f>
        <v>1.9972000000000001</v>
      </c>
      <c r="J66" s="88">
        <f>B66+(B66*0.12%+B66*0.02%)</f>
        <v>2.0028000000000001</v>
      </c>
      <c r="K66" s="211">
        <f t="shared" ref="K66" si="109">IF(SUM(E66:G66)=0,0,STDEV(E66:G66)/SQRT(3))</f>
        <v>0</v>
      </c>
      <c r="L66" s="80">
        <f>SQRT(((0.0000005)/SQRT(3))^2+((10*(B66^2)*1/1000000+0.00008*B66+0.000025)/2)^2+(0.000016/SQRT(3))^2+(0.000054/2.02)^2)</f>
        <v>1.1600130381458786E-4</v>
      </c>
      <c r="M66" s="80">
        <f>SQRT(K66^2+(0.0000005/SQRT(3))^2)</f>
        <v>2.8867513459481289E-7</v>
      </c>
      <c r="N66" s="81">
        <f t="shared" si="91"/>
        <v>1.1600166300539682E-4</v>
      </c>
      <c r="O66" s="82">
        <f t="shared" si="92"/>
        <v>2</v>
      </c>
      <c r="P66" s="80">
        <f t="shared" si="93"/>
        <v>2.3200332601079363E-4</v>
      </c>
      <c r="Q66" s="80">
        <f>(N66^4)/(((K66^4)/2)+(0.000054^4/167))</f>
        <v>3556.2992092851955</v>
      </c>
      <c r="R66" s="224">
        <f t="shared" si="95"/>
        <v>-2.3200332601079363E-4</v>
      </c>
      <c r="S66" s="85" t="str">
        <f t="shared" si="96"/>
        <v>Reprov</v>
      </c>
      <c r="T66" s="87"/>
      <c r="U66" s="87"/>
      <c r="V66" s="87"/>
      <c r="W66" s="79">
        <f t="shared" si="97"/>
        <v>0</v>
      </c>
      <c r="X66" s="80">
        <f>IF(SUM(T66:V66)=0,0,STDEV(T66:V66)/SQRT(3))</f>
        <v>0</v>
      </c>
      <c r="Y66" s="80">
        <f>SQRT(X66^2+(0.0000005/SQRT(3))^2)</f>
        <v>2.8867513459481289E-7</v>
      </c>
      <c r="Z66" s="81">
        <f t="shared" si="99"/>
        <v>1.1600166300539682E-4</v>
      </c>
      <c r="AA66" s="82">
        <f t="shared" si="100"/>
        <v>2</v>
      </c>
      <c r="AB66" s="80">
        <f t="shared" si="101"/>
        <v>2.3200332601079363E-4</v>
      </c>
      <c r="AC66" s="83">
        <f>(Z66^4)/(((W66^4)/2)+(0.000054^4/167))</f>
        <v>3556.2992092851955</v>
      </c>
      <c r="AD66" s="84">
        <f t="shared" si="103"/>
        <v>-2.3200332601079363E-4</v>
      </c>
      <c r="AE66" s="85" t="str">
        <f t="shared" si="104"/>
        <v>Reprov</v>
      </c>
    </row>
    <row r="67" spans="1:31" ht="15.75" thickBot="1" x14ac:dyDescent="0.3">
      <c r="A67" s="227"/>
      <c r="B67" s="228"/>
      <c r="C67" s="229"/>
      <c r="D67" s="230"/>
      <c r="E67" s="231"/>
      <c r="F67" s="231"/>
      <c r="G67" s="231"/>
      <c r="H67" s="232"/>
      <c r="I67" s="232"/>
      <c r="J67" s="233"/>
      <c r="K67" s="234"/>
      <c r="L67" s="234"/>
      <c r="M67" s="234"/>
      <c r="N67" s="235"/>
      <c r="O67" s="235"/>
      <c r="P67" s="229"/>
      <c r="Q67" s="229"/>
      <c r="R67" s="236"/>
      <c r="S67" s="237"/>
      <c r="T67" s="231"/>
      <c r="U67" s="231"/>
      <c r="V67" s="231"/>
      <c r="W67" s="234"/>
      <c r="X67" s="234"/>
      <c r="Y67" s="234"/>
      <c r="Z67" s="235"/>
      <c r="AA67" s="235"/>
      <c r="AB67" s="229"/>
      <c r="AC67" s="236"/>
      <c r="AD67" s="236"/>
      <c r="AE67" s="238"/>
    </row>
    <row r="68" spans="1:31" ht="16.5" thickBot="1" x14ac:dyDescent="0.3">
      <c r="A68" s="408" t="s">
        <v>54</v>
      </c>
      <c r="B68" s="360" t="s">
        <v>49</v>
      </c>
      <c r="C68" s="361"/>
      <c r="D68" s="362"/>
      <c r="E68" s="404" t="s">
        <v>75</v>
      </c>
      <c r="F68" s="405"/>
      <c r="G68" s="406"/>
      <c r="H68" s="396" t="s">
        <v>23</v>
      </c>
      <c r="I68" s="410" t="s">
        <v>24</v>
      </c>
      <c r="J68" s="410" t="s">
        <v>25</v>
      </c>
      <c r="K68" s="414" t="s">
        <v>26</v>
      </c>
      <c r="L68" s="377" t="s">
        <v>27</v>
      </c>
      <c r="M68" s="377" t="s">
        <v>28</v>
      </c>
      <c r="N68" s="377" t="s">
        <v>29</v>
      </c>
      <c r="O68" s="380" t="s">
        <v>30</v>
      </c>
      <c r="P68" s="398" t="s">
        <v>31</v>
      </c>
      <c r="Q68" s="400" t="s">
        <v>32</v>
      </c>
      <c r="R68" s="398" t="s">
        <v>33</v>
      </c>
      <c r="S68" s="383" t="s">
        <v>34</v>
      </c>
      <c r="T68" s="404" t="s">
        <v>55</v>
      </c>
      <c r="U68" s="405"/>
      <c r="V68" s="406"/>
      <c r="W68" s="396" t="s">
        <v>23</v>
      </c>
      <c r="X68" s="412" t="s">
        <v>26</v>
      </c>
      <c r="Y68" s="377" t="s">
        <v>28</v>
      </c>
      <c r="Z68" s="377" t="s">
        <v>29</v>
      </c>
      <c r="AA68" s="380" t="s">
        <v>30</v>
      </c>
      <c r="AB68" s="398" t="s">
        <v>31</v>
      </c>
      <c r="AC68" s="400" t="s">
        <v>32</v>
      </c>
      <c r="AD68" s="398" t="s">
        <v>33</v>
      </c>
      <c r="AE68" s="383" t="s">
        <v>34</v>
      </c>
    </row>
    <row r="69" spans="1:31" ht="15.75" thickBot="1" x14ac:dyDescent="0.3">
      <c r="A69" s="409"/>
      <c r="B69" s="363"/>
      <c r="C69" s="364"/>
      <c r="D69" s="365"/>
      <c r="E69" s="53" t="s">
        <v>36</v>
      </c>
      <c r="F69" s="54" t="s">
        <v>37</v>
      </c>
      <c r="G69" s="54" t="s">
        <v>38</v>
      </c>
      <c r="H69" s="397"/>
      <c r="I69" s="410"/>
      <c r="J69" s="410"/>
      <c r="K69" s="421"/>
      <c r="L69" s="378"/>
      <c r="M69" s="378"/>
      <c r="N69" s="379"/>
      <c r="O69" s="381"/>
      <c r="P69" s="399"/>
      <c r="Q69" s="401"/>
      <c r="R69" s="399"/>
      <c r="S69" s="384"/>
      <c r="T69" s="53" t="s">
        <v>36</v>
      </c>
      <c r="U69" s="54" t="s">
        <v>37</v>
      </c>
      <c r="V69" s="54" t="s">
        <v>38</v>
      </c>
      <c r="W69" s="397"/>
      <c r="X69" s="413"/>
      <c r="Y69" s="378"/>
      <c r="Z69" s="379"/>
      <c r="AA69" s="381"/>
      <c r="AB69" s="399"/>
      <c r="AC69" s="401"/>
      <c r="AD69" s="399"/>
      <c r="AE69" s="384"/>
    </row>
    <row r="70" spans="1:31" x14ac:dyDescent="0.25">
      <c r="A70" s="67">
        <v>10</v>
      </c>
      <c r="B70" s="222">
        <v>10</v>
      </c>
      <c r="C70" s="206">
        <v>1E-3</v>
      </c>
      <c r="D70" s="90" t="s">
        <v>52</v>
      </c>
      <c r="E70" s="239"/>
      <c r="F70" s="240"/>
      <c r="G70" s="241"/>
      <c r="H70" s="115">
        <f t="shared" ref="H70:H75" si="110">(E70+F70+G70)/3</f>
        <v>0</v>
      </c>
      <c r="I70" s="88">
        <f t="shared" ref="I70:I71" si="111">B70-(B70*0.3%+A70*0.04%)</f>
        <v>9.9659999999999993</v>
      </c>
      <c r="J70" s="88">
        <f t="shared" ref="J70:J71" si="112">B70+(B70*0.3%+B70*0.04%)</f>
        <v>10.034000000000001</v>
      </c>
      <c r="K70" s="71">
        <f t="shared" ref="K70:K74" si="113">IF(SUM(E70:G70)=0,0,STDEV(E70:G70)/SQRT(3))</f>
        <v>0</v>
      </c>
      <c r="L70" s="72">
        <f>SQRT(((0.00005)/SQRT(3))^2+((0.00014*B70+0.00035)/2)^2+(0.0002/SQRT(3))^2+(0.0007/2)^2)</f>
        <v>9.4989034454860449E-4</v>
      </c>
      <c r="M70" s="72">
        <f>SQRT(K70^2+(0.000005/SQRT(3))^2)</f>
        <v>2.8867513459481293E-6</v>
      </c>
      <c r="N70" s="73">
        <f t="shared" ref="N70:N75" si="114">SQRT(L70^2+M70^2)</f>
        <v>9.4989473100970509E-4</v>
      </c>
      <c r="O70" s="74">
        <f t="shared" ref="O70:O75" si="115">IF(Q70&lt;=1.5,(13.968),IF(Q70&lt;=2.5,(4.527),IF(Q70&lt;=3.5,(3.307),IF(Q70&lt;=4.5,(2.869),IF(Q70&lt;=5.5,(2.649),IF(Q70&lt;=6.5,(2.517),IF(Q70&lt;=7.5,(2.429),IF(Q70&lt;=8.5,(2.2366),IF(Q70&lt;=9.5,(2.32),IF(Q70&lt;=10.5,(2.284),IF(Q70&lt;=11.5,(2.255),IF(Q70&lt;=12.5,(2.231),IF(Q70&lt;=13.5,(2.212),IF(Q70&lt;=14.5,(2.195),IF(Q70&lt;=15.5,(2.181),IF(Q70&lt;=16.5,(2.169),IF(Q70&lt;=17.5,(2.158),IF(Q70&lt;=18.5,(2.149),IF(Q70&lt;=19.5,(2.14),IF(Q70&lt;=22.5,(2.133),IF(Q70&lt;=27.5,(2.105),IF(Q70&lt;=32.5,(2.087),IF(Q70&lt;=37.5,(2.2074),IF(Q70&lt;=45,(2.064),IF(Q70&lt;=55,(2.051),IF(Q70&lt;=65,(2.043),IF(Q70&lt;=75,(2.036),IF(Q70&lt;=85,(2.032),IF(Q70&lt;=95,(2.028),IF(Q70&lt;=125,(2.025),IF(Q70&lt;=175,(2.017),IF(Q70&lt;=500,(2.013),IF(Q70&lt;=1200,(2.003),(2))))))))))))))))))))))))))))))))))</f>
        <v>2</v>
      </c>
      <c r="P70" s="72">
        <f t="shared" ref="P70:P75" si="116">N70*O70</f>
        <v>1.8997894620194102E-3</v>
      </c>
      <c r="Q70" s="72" t="str">
        <f t="shared" ref="Q70:Q75" si="117">IF(K70=0,"INFINITOS",(N70^4)/((K70^4)/2))</f>
        <v>INFINITOS</v>
      </c>
      <c r="R70" s="76">
        <f t="shared" ref="R70:R75" si="118">IF(H70&lt;=B70,H70-P70,H70+P70)</f>
        <v>-1.8997894620194102E-3</v>
      </c>
      <c r="S70" s="242" t="str">
        <f t="shared" ref="S70:S75" si="119">IF(I70&lt;R70,IF(R70&lt;J70,"A","Reprov"),"Reprov")</f>
        <v>Reprov</v>
      </c>
      <c r="T70" s="243"/>
      <c r="U70" s="244"/>
      <c r="V70" s="245"/>
      <c r="W70" s="246">
        <f t="shared" ref="W70:W73" si="120">(T70+U70+V70)/3</f>
        <v>0</v>
      </c>
      <c r="X70" s="247">
        <f t="shared" ref="X70:X71" si="121">IF(SUM(T70:V70)=0,0,STDEV(T70:V70)/SQRT(3))</f>
        <v>0</v>
      </c>
      <c r="Y70" s="247">
        <f t="shared" ref="Y70:Y75" si="122">SQRT(X70^2+(0.0000005/SQRT(3))^2)</f>
        <v>2.8867513459481289E-7</v>
      </c>
      <c r="Z70" s="248">
        <f t="shared" ref="Z70:Z75" si="123">SQRT(L70^2+Y70^2)</f>
        <v>9.4989038841331573E-4</v>
      </c>
      <c r="AA70" s="249">
        <f t="shared" ref="AA70:AA75" si="124">IF(AC70&lt;=1.5,(13.968),IF(AC70&lt;=2.5,(4.527),IF(AC70&lt;=3.5,(3.307),IF(AC70&lt;=4.5,(2.869),IF(AC70&lt;=5.5,(2.649),IF(AC70&lt;=6.5,(2.517),IF(AC70&lt;=7.5,(2.429),IF(AC70&lt;=8.5,(2.2366),IF(AC70&lt;=9.5,(2.32),IF(AC70&lt;=10.5,(2.284),IF(AC70&lt;=11.5,(2.255),IF(AC70&lt;=12.5,(2.231),IF(AC70&lt;=13.5,(2.212),IF(AC70&lt;=14.5,(2.195),IF(AC70&lt;=15.5,(2.181),IF(AC70&lt;=16.5,(2.169),IF(AC70&lt;=17.5,(2.158),IF(AC70&lt;=18.5,(2.149),IF(AC70&lt;=19.5,(2.14),IF(AC70&lt;=22.5,(2.133),IF(AC70&lt;=27.5,(2.105),IF(AC70&lt;=32.5,(2.087),IF(AC70&lt;=37.5,(2.2074),IF(AC70&lt;=45,(2.064),IF(AC70&lt;=55,(2.051),IF(AC70&lt;=65,(2.043),IF(AC70&lt;=75,(2.036),IF(AC70&lt;=85,(2.032),IF(AC70&lt;=95,(2.028),IF(AC70&lt;=125,(2.025),IF(AC70&lt;=175,(2.017),IF(AC70&lt;=500,(2.013),IF(AC70&lt;=1200,(2.003),(2))))))))))))))))))))))))))))))))))</f>
        <v>2</v>
      </c>
      <c r="AB70" s="247">
        <f t="shared" ref="AB70:AB75" si="125">AA70*Z70</f>
        <v>1.8997807768266315E-3</v>
      </c>
      <c r="AC70" s="250" t="str">
        <f t="shared" ref="AC70:AC75" si="126">IF(W70=0,"INFINITOS",(Z70^4)/((W70^4)/2))</f>
        <v>INFINITOS</v>
      </c>
      <c r="AD70" s="251">
        <f t="shared" ref="AD70:AD75" si="127">IF(W70&lt;=B70,W70-AB70,W70+AB70)</f>
        <v>-1.8997807768266315E-3</v>
      </c>
      <c r="AE70" s="252" t="str">
        <f t="shared" ref="AE70:AE75" si="128">IF(I70&lt;AD70,IF(AD70&lt;J70,"A","Reprov"),"Reprov")</f>
        <v>Reprov</v>
      </c>
    </row>
    <row r="71" spans="1:31" x14ac:dyDescent="0.25">
      <c r="A71" s="67">
        <v>100</v>
      </c>
      <c r="B71" s="222">
        <v>100</v>
      </c>
      <c r="C71" s="223">
        <v>1E-3</v>
      </c>
      <c r="D71" s="90" t="s">
        <v>52</v>
      </c>
      <c r="E71" s="253"/>
      <c r="F71" s="253"/>
      <c r="G71" s="254"/>
      <c r="H71" s="115">
        <f t="shared" si="110"/>
        <v>0</v>
      </c>
      <c r="I71" s="117">
        <f t="shared" si="111"/>
        <v>99.66</v>
      </c>
      <c r="J71" s="117">
        <f t="shared" si="112"/>
        <v>100.34</v>
      </c>
      <c r="K71" s="71">
        <f t="shared" si="113"/>
        <v>0</v>
      </c>
      <c r="L71" s="72">
        <f>SQRT(((0.0005)/SQRT(3))^2+((0.0006*B71+0.00004)/2)^2+(0.002/SQRT(3))^2+(0.008/2)^2)</f>
        <v>3.0308696221821661E-2</v>
      </c>
      <c r="M71" s="72">
        <f>SQRT(K71^2+(0.00005/SQRT(3))^2)</f>
        <v>2.8867513459481293E-5</v>
      </c>
      <c r="N71" s="73">
        <f t="shared" si="114"/>
        <v>3.0308709969248115E-2</v>
      </c>
      <c r="O71" s="74">
        <f t="shared" si="115"/>
        <v>2</v>
      </c>
      <c r="P71" s="72">
        <f t="shared" si="116"/>
        <v>6.0617419938496231E-2</v>
      </c>
      <c r="Q71" s="72" t="str">
        <f t="shared" si="117"/>
        <v>INFINITOS</v>
      </c>
      <c r="R71" s="76">
        <f t="shared" si="118"/>
        <v>-6.0617419938496231E-2</v>
      </c>
      <c r="S71" s="255" t="str">
        <f t="shared" si="119"/>
        <v>Reprov</v>
      </c>
      <c r="T71" s="243"/>
      <c r="U71" s="244"/>
      <c r="V71" s="245"/>
      <c r="W71" s="246">
        <f t="shared" si="120"/>
        <v>0</v>
      </c>
      <c r="X71" s="247">
        <f t="shared" si="121"/>
        <v>0</v>
      </c>
      <c r="Y71" s="247">
        <f t="shared" si="122"/>
        <v>2.8867513459481289E-7</v>
      </c>
      <c r="Z71" s="248">
        <f t="shared" si="123"/>
        <v>3.0308696223196405E-2</v>
      </c>
      <c r="AA71" s="249">
        <f t="shared" si="124"/>
        <v>2</v>
      </c>
      <c r="AB71" s="247">
        <f t="shared" si="125"/>
        <v>6.0617392446392811E-2</v>
      </c>
      <c r="AC71" s="250" t="str">
        <f t="shared" si="126"/>
        <v>INFINITOS</v>
      </c>
      <c r="AD71" s="251">
        <f t="shared" si="127"/>
        <v>-6.0617392446392811E-2</v>
      </c>
      <c r="AE71" s="252" t="str">
        <f t="shared" si="128"/>
        <v>Reprov</v>
      </c>
    </row>
    <row r="72" spans="1:31" x14ac:dyDescent="0.25">
      <c r="A72" s="67">
        <v>1</v>
      </c>
      <c r="B72" s="225">
        <v>0.15</v>
      </c>
      <c r="C72" s="223">
        <v>1</v>
      </c>
      <c r="D72" s="226" t="s">
        <v>53</v>
      </c>
      <c r="E72" s="256"/>
      <c r="F72" s="256"/>
      <c r="G72" s="257"/>
      <c r="H72" s="115">
        <f t="shared" si="110"/>
        <v>0</v>
      </c>
      <c r="I72" s="88">
        <f>B72-(B72*0.3%+A72*0.04%)</f>
        <v>0.14915</v>
      </c>
      <c r="J72" s="88">
        <f>B72+(B72*0.3%+B72*0.04%)</f>
        <v>0.15051</v>
      </c>
      <c r="K72" s="71">
        <f t="shared" si="113"/>
        <v>0</v>
      </c>
      <c r="L72" s="72">
        <f>SQRT(((0.0000005)/SQRT(3))^2+((0.00006*B72+0.0000008)/2)^2+(0.000002/SQRT(3))^2+(0.000008/2)^2)</f>
        <v>6.4363550761798929E-6</v>
      </c>
      <c r="M72" s="72">
        <f>SQRT(K72^2+(0.0000005/SQRT(3))^2)</f>
        <v>2.8867513459481289E-7</v>
      </c>
      <c r="N72" s="73">
        <f t="shared" si="114"/>
        <v>6.4428254671378467E-6</v>
      </c>
      <c r="O72" s="74">
        <f t="shared" si="115"/>
        <v>2</v>
      </c>
      <c r="P72" s="72">
        <f t="shared" si="116"/>
        <v>1.2885650934275693E-5</v>
      </c>
      <c r="Q72" s="72" t="str">
        <f t="shared" si="117"/>
        <v>INFINITOS</v>
      </c>
      <c r="R72" s="76">
        <f t="shared" si="118"/>
        <v>-1.2885650934275693E-5</v>
      </c>
      <c r="S72" s="258" t="str">
        <f t="shared" si="119"/>
        <v>Reprov</v>
      </c>
      <c r="T72" s="259"/>
      <c r="U72" s="259"/>
      <c r="V72" s="260"/>
      <c r="W72" s="261">
        <f t="shared" si="120"/>
        <v>0</v>
      </c>
      <c r="X72" s="262">
        <f>IF(SUM(T72:V72)=0,0,STDEV(T72:V72)/SQRT(3))</f>
        <v>0</v>
      </c>
      <c r="Y72" s="262">
        <f t="shared" si="122"/>
        <v>2.8867513459481289E-7</v>
      </c>
      <c r="Z72" s="263">
        <f t="shared" si="123"/>
        <v>6.4428254671378467E-6</v>
      </c>
      <c r="AA72" s="264">
        <f t="shared" si="124"/>
        <v>2</v>
      </c>
      <c r="AB72" s="262">
        <f t="shared" si="125"/>
        <v>1.2885650934275693E-5</v>
      </c>
      <c r="AC72" s="265" t="str">
        <f t="shared" si="126"/>
        <v>INFINITOS</v>
      </c>
      <c r="AD72" s="266">
        <f t="shared" si="127"/>
        <v>-1.2885650934275693E-5</v>
      </c>
      <c r="AE72" s="267" t="str">
        <f t="shared" si="128"/>
        <v>Reprov</v>
      </c>
    </row>
    <row r="73" spans="1:31" x14ac:dyDescent="0.25">
      <c r="A73" s="67">
        <v>1</v>
      </c>
      <c r="B73" s="225">
        <v>0.5</v>
      </c>
      <c r="C73" s="223">
        <v>1</v>
      </c>
      <c r="D73" s="226" t="s">
        <v>53</v>
      </c>
      <c r="E73" s="268"/>
      <c r="F73" s="269"/>
      <c r="G73" s="270"/>
      <c r="H73" s="115">
        <f t="shared" si="110"/>
        <v>0</v>
      </c>
      <c r="I73" s="88">
        <f t="shared" ref="I73:I75" si="129">B73-(B73*0.3%+A73*0.04%)</f>
        <v>0.49809999999999999</v>
      </c>
      <c r="J73" s="88">
        <f t="shared" ref="J73:J75" si="130">B73+(B73*0.3%+B73*0.04%)</f>
        <v>0.50170000000000003</v>
      </c>
      <c r="K73" s="71">
        <f t="shared" si="113"/>
        <v>0</v>
      </c>
      <c r="L73" s="72">
        <f>SQRT(((0.000005)/SQRT(3))^2+((0.00065*B73+0.000035)/2)^2+(0.00002/SQRT(3))^2+(0.00009/2.03)^2)</f>
        <v>1.8576128958337125E-4</v>
      </c>
      <c r="M73" s="72">
        <f t="shared" ref="M73:M74" si="131">SQRT(K73^2+(0.0000005/SQRT(3))^2)</f>
        <v>2.8867513459481289E-7</v>
      </c>
      <c r="N73" s="73">
        <f t="shared" si="114"/>
        <v>1.8576151388543982E-4</v>
      </c>
      <c r="O73" s="74">
        <f t="shared" si="115"/>
        <v>2</v>
      </c>
      <c r="P73" s="72">
        <f t="shared" si="116"/>
        <v>3.7152302777087963E-4</v>
      </c>
      <c r="Q73" s="72" t="str">
        <f t="shared" si="117"/>
        <v>INFINITOS</v>
      </c>
      <c r="R73" s="76">
        <f t="shared" si="118"/>
        <v>-3.7152302777087963E-4</v>
      </c>
      <c r="S73" s="242" t="str">
        <f t="shared" si="119"/>
        <v>Reprov</v>
      </c>
      <c r="T73" s="243"/>
      <c r="U73" s="244"/>
      <c r="V73" s="245"/>
      <c r="W73" s="246">
        <f t="shared" si="120"/>
        <v>0</v>
      </c>
      <c r="X73" s="247">
        <f t="shared" ref="X73:X75" si="132">IF(SUM(T73:V73)=0,0,STDEV(T73:V73)/SQRT(3))</f>
        <v>0</v>
      </c>
      <c r="Y73" s="247">
        <f t="shared" si="122"/>
        <v>2.8867513459481289E-7</v>
      </c>
      <c r="Z73" s="248">
        <f t="shared" si="123"/>
        <v>1.8576151388543982E-4</v>
      </c>
      <c r="AA73" s="249">
        <f t="shared" si="124"/>
        <v>2</v>
      </c>
      <c r="AB73" s="247">
        <f t="shared" si="125"/>
        <v>3.7152302777087963E-4</v>
      </c>
      <c r="AC73" s="250" t="str">
        <f t="shared" si="126"/>
        <v>INFINITOS</v>
      </c>
      <c r="AD73" s="251">
        <f t="shared" si="127"/>
        <v>-3.7152302777087963E-4</v>
      </c>
      <c r="AE73" s="252" t="str">
        <f t="shared" si="128"/>
        <v>Reprov</v>
      </c>
    </row>
    <row r="74" spans="1:31" x14ac:dyDescent="0.25">
      <c r="A74" s="67">
        <v>1</v>
      </c>
      <c r="B74" s="225">
        <v>1</v>
      </c>
      <c r="C74" s="223">
        <v>1</v>
      </c>
      <c r="D74" s="226" t="s">
        <v>53</v>
      </c>
      <c r="E74" s="257"/>
      <c r="F74" s="256"/>
      <c r="G74" s="271"/>
      <c r="H74" s="115">
        <f t="shared" si="110"/>
        <v>0</v>
      </c>
      <c r="I74" s="88">
        <f t="shared" si="129"/>
        <v>0.99660000000000004</v>
      </c>
      <c r="J74" s="88">
        <f t="shared" si="130"/>
        <v>1.0034000000000001</v>
      </c>
      <c r="K74" s="71">
        <f t="shared" si="113"/>
        <v>0</v>
      </c>
      <c r="L74" s="72">
        <f>SQRT(((0.000005)/SQRT(3))^2+((0.00065*B74+0.000035)/2)^2+(0.00002/SQRT(3))^2+(0.00009/2.03)^2)</f>
        <v>3.4556259448568377E-4</v>
      </c>
      <c r="M74" s="72">
        <f t="shared" si="131"/>
        <v>2.8867513459481289E-7</v>
      </c>
      <c r="N74" s="73">
        <f t="shared" si="114"/>
        <v>3.4556271506198472E-4</v>
      </c>
      <c r="O74" s="74">
        <f t="shared" si="115"/>
        <v>2</v>
      </c>
      <c r="P74" s="72">
        <f t="shared" si="116"/>
        <v>6.9112543012396944E-4</v>
      </c>
      <c r="Q74" s="72" t="str">
        <f t="shared" si="117"/>
        <v>INFINITOS</v>
      </c>
      <c r="R74" s="76">
        <f t="shared" si="118"/>
        <v>-6.9112543012396944E-4</v>
      </c>
      <c r="S74" s="272" t="str">
        <f t="shared" si="119"/>
        <v>Reprov</v>
      </c>
      <c r="T74" s="273"/>
      <c r="U74" s="274"/>
      <c r="V74" s="275"/>
      <c r="W74" s="276">
        <f>(T74+U74+V74)/3</f>
        <v>0</v>
      </c>
      <c r="X74" s="277">
        <f t="shared" si="132"/>
        <v>0</v>
      </c>
      <c r="Y74" s="277">
        <f t="shared" si="122"/>
        <v>2.8867513459481289E-7</v>
      </c>
      <c r="Z74" s="278">
        <f t="shared" si="123"/>
        <v>3.4556271506198472E-4</v>
      </c>
      <c r="AA74" s="279">
        <f t="shared" si="124"/>
        <v>2</v>
      </c>
      <c r="AB74" s="277">
        <f t="shared" si="125"/>
        <v>6.9112543012396944E-4</v>
      </c>
      <c r="AC74" s="280" t="str">
        <f t="shared" si="126"/>
        <v>INFINITOS</v>
      </c>
      <c r="AD74" s="281">
        <f t="shared" si="127"/>
        <v>-6.9112543012396944E-4</v>
      </c>
      <c r="AE74" s="282" t="str">
        <f t="shared" si="128"/>
        <v>Reprov</v>
      </c>
    </row>
    <row r="75" spans="1:31" ht="15.75" thickBot="1" x14ac:dyDescent="0.3">
      <c r="A75" s="67">
        <v>2</v>
      </c>
      <c r="B75" s="225">
        <v>2</v>
      </c>
      <c r="C75" s="223">
        <v>1</v>
      </c>
      <c r="D75" s="226" t="s">
        <v>53</v>
      </c>
      <c r="E75" s="170"/>
      <c r="F75" s="170"/>
      <c r="G75" s="170"/>
      <c r="H75" s="134">
        <f t="shared" si="110"/>
        <v>0</v>
      </c>
      <c r="I75" s="172">
        <f t="shared" si="129"/>
        <v>1.9932000000000001</v>
      </c>
      <c r="J75" s="172">
        <f t="shared" si="130"/>
        <v>2.0068000000000001</v>
      </c>
      <c r="K75" s="97">
        <f t="shared" ref="K75" si="133">IF(SUM(E75:G75)=0,0,STDEV(E75:G75)/SQRT(3))</f>
        <v>0</v>
      </c>
      <c r="L75" s="98">
        <f>SQRT(((0.000005)/SQRT(3))^2+((0.00065*B75+0.000035)/2)^2+(0.00016/SQRT(3))^2+(0.00026/2)^2)</f>
        <v>6.862928796561033E-4</v>
      </c>
      <c r="M75" s="98">
        <f>SQRT(K75^2+(0.000005/SQRT(3))^2)</f>
        <v>2.8867513459481293E-6</v>
      </c>
      <c r="N75" s="99">
        <f t="shared" si="114"/>
        <v>6.8629895089530771E-4</v>
      </c>
      <c r="O75" s="100">
        <f t="shared" si="115"/>
        <v>2</v>
      </c>
      <c r="P75" s="98">
        <f t="shared" si="116"/>
        <v>1.3725979017906154E-3</v>
      </c>
      <c r="Q75" s="98" t="str">
        <f t="shared" si="117"/>
        <v>INFINITOS</v>
      </c>
      <c r="R75" s="102">
        <f t="shared" si="118"/>
        <v>-1.3725979017906154E-3</v>
      </c>
      <c r="S75" s="180" t="str">
        <f t="shared" si="119"/>
        <v>Reprov</v>
      </c>
      <c r="T75" s="182"/>
      <c r="U75" s="182"/>
      <c r="V75" s="182"/>
      <c r="W75" s="184">
        <f>(T75+U75+V75)/3</f>
        <v>0</v>
      </c>
      <c r="X75" s="185">
        <f t="shared" si="132"/>
        <v>0</v>
      </c>
      <c r="Y75" s="185">
        <f t="shared" si="122"/>
        <v>2.8867513459481289E-7</v>
      </c>
      <c r="Z75" s="186">
        <f t="shared" si="123"/>
        <v>6.8629294036876118E-4</v>
      </c>
      <c r="AA75" s="187">
        <f t="shared" si="124"/>
        <v>2</v>
      </c>
      <c r="AB75" s="185">
        <f t="shared" si="125"/>
        <v>1.3725858807375224E-3</v>
      </c>
      <c r="AC75" s="283" t="str">
        <f t="shared" si="126"/>
        <v>INFINITOS</v>
      </c>
      <c r="AD75" s="189">
        <f t="shared" si="127"/>
        <v>-1.3725858807375224E-3</v>
      </c>
      <c r="AE75" s="190" t="str">
        <f t="shared" si="128"/>
        <v>Reprov</v>
      </c>
    </row>
    <row r="76" spans="1:31" ht="15.75" thickBot="1" x14ac:dyDescent="0.3">
      <c r="A76" s="284"/>
      <c r="B76" s="285"/>
      <c r="C76" s="285"/>
      <c r="D76" s="286"/>
      <c r="E76" s="287"/>
      <c r="F76" s="287"/>
      <c r="G76" s="287"/>
      <c r="H76" s="288"/>
      <c r="I76" s="289"/>
      <c r="J76" s="289"/>
      <c r="K76" s="290"/>
      <c r="L76" s="291"/>
      <c r="M76" s="291"/>
      <c r="N76" s="292"/>
      <c r="O76" s="293"/>
      <c r="P76" s="291"/>
      <c r="Q76" s="291"/>
      <c r="R76" s="294"/>
      <c r="S76" s="295"/>
      <c r="T76" s="287"/>
      <c r="U76" s="287"/>
      <c r="V76" s="287"/>
      <c r="W76" s="296"/>
      <c r="X76" s="291"/>
      <c r="Y76" s="291"/>
      <c r="Z76" s="297"/>
      <c r="AA76" s="298"/>
      <c r="AB76" s="291"/>
      <c r="AC76" s="294"/>
      <c r="AD76" s="294"/>
      <c r="AE76" s="299"/>
    </row>
    <row r="77" spans="1:31" ht="16.5" thickBot="1" x14ac:dyDescent="0.3">
      <c r="A77" s="408" t="s">
        <v>54</v>
      </c>
      <c r="B77" s="360" t="s">
        <v>49</v>
      </c>
      <c r="C77" s="361"/>
      <c r="D77" s="362"/>
      <c r="E77" s="404" t="s">
        <v>76</v>
      </c>
      <c r="F77" s="405"/>
      <c r="G77" s="406"/>
      <c r="H77" s="396" t="s">
        <v>23</v>
      </c>
      <c r="I77" s="410" t="s">
        <v>24</v>
      </c>
      <c r="J77" s="410" t="s">
        <v>25</v>
      </c>
      <c r="K77" s="414" t="s">
        <v>26</v>
      </c>
      <c r="L77" s="377" t="s">
        <v>27</v>
      </c>
      <c r="M77" s="377" t="s">
        <v>28</v>
      </c>
      <c r="N77" s="377" t="s">
        <v>29</v>
      </c>
      <c r="O77" s="380" t="s">
        <v>30</v>
      </c>
      <c r="P77" s="398" t="s">
        <v>31</v>
      </c>
      <c r="Q77" s="400" t="s">
        <v>32</v>
      </c>
      <c r="R77" s="398" t="s">
        <v>33</v>
      </c>
      <c r="S77" s="383" t="s">
        <v>34</v>
      </c>
      <c r="T77" s="404" t="s">
        <v>55</v>
      </c>
      <c r="U77" s="405"/>
      <c r="V77" s="406"/>
      <c r="W77" s="396" t="s">
        <v>23</v>
      </c>
      <c r="X77" s="412" t="s">
        <v>26</v>
      </c>
      <c r="Y77" s="377" t="s">
        <v>28</v>
      </c>
      <c r="Z77" s="377" t="s">
        <v>29</v>
      </c>
      <c r="AA77" s="380" t="s">
        <v>30</v>
      </c>
      <c r="AB77" s="398" t="s">
        <v>31</v>
      </c>
      <c r="AC77" s="400" t="s">
        <v>32</v>
      </c>
      <c r="AD77" s="398" t="s">
        <v>33</v>
      </c>
      <c r="AE77" s="383" t="s">
        <v>34</v>
      </c>
    </row>
    <row r="78" spans="1:31" ht="15.75" thickBot="1" x14ac:dyDescent="0.3">
      <c r="A78" s="409"/>
      <c r="B78" s="363"/>
      <c r="C78" s="364"/>
      <c r="D78" s="365"/>
      <c r="E78" s="53" t="s">
        <v>36</v>
      </c>
      <c r="F78" s="54" t="s">
        <v>37</v>
      </c>
      <c r="G78" s="54" t="s">
        <v>38</v>
      </c>
      <c r="H78" s="397"/>
      <c r="I78" s="410"/>
      <c r="J78" s="410"/>
      <c r="K78" s="421"/>
      <c r="L78" s="378"/>
      <c r="M78" s="378"/>
      <c r="N78" s="379"/>
      <c r="O78" s="381"/>
      <c r="P78" s="399"/>
      <c r="Q78" s="401"/>
      <c r="R78" s="399"/>
      <c r="S78" s="384"/>
      <c r="T78" s="53" t="s">
        <v>36</v>
      </c>
      <c r="U78" s="54" t="s">
        <v>37</v>
      </c>
      <c r="V78" s="54" t="s">
        <v>38</v>
      </c>
      <c r="W78" s="397"/>
      <c r="X78" s="413"/>
      <c r="Y78" s="378"/>
      <c r="Z78" s="379"/>
      <c r="AA78" s="381"/>
      <c r="AB78" s="399"/>
      <c r="AC78" s="401"/>
      <c r="AD78" s="399"/>
      <c r="AE78" s="384"/>
    </row>
    <row r="79" spans="1:31" x14ac:dyDescent="0.25">
      <c r="A79" s="67">
        <v>1</v>
      </c>
      <c r="B79" s="225">
        <v>1</v>
      </c>
      <c r="C79" s="223">
        <v>1</v>
      </c>
      <c r="D79" s="226" t="s">
        <v>53</v>
      </c>
      <c r="E79" s="257"/>
      <c r="F79" s="256"/>
      <c r="G79" s="271"/>
      <c r="H79" s="115">
        <f t="shared" ref="H79:H80" si="134">(E79+F79+G79)/3</f>
        <v>0</v>
      </c>
      <c r="I79" s="88">
        <f t="shared" ref="I79:I80" si="135">B79-(B79*0.3%+A79*0.04%)</f>
        <v>0.99660000000000004</v>
      </c>
      <c r="J79" s="88">
        <f t="shared" ref="J79:J80" si="136">B79+(B79*0.3%+B79*0.04%)</f>
        <v>1.0034000000000001</v>
      </c>
      <c r="K79" s="71">
        <f t="shared" ref="K79" si="137">IF(SUM(E79:G79)=0,0,STDEV(E79:G79)/SQRT(3))</f>
        <v>0</v>
      </c>
      <c r="L79" s="72">
        <f>SQRT(((0.0000005)/SQRT(3))^2+((0.00075*B79+0.00008)/2)^2+(0.0003/SQRT(3))^2+(0.00009/2)^2)</f>
        <v>4.5194035373413309E-4</v>
      </c>
      <c r="M79" s="72">
        <f>SQRT(K79^2+(0.0000005/SQRT(3))^2)</f>
        <v>2.8867513459481289E-7</v>
      </c>
      <c r="N79" s="73">
        <f t="shared" ref="N79:N80" si="138">SQRT(L79^2+M79^2)</f>
        <v>4.5194044592918069E-4</v>
      </c>
      <c r="O79" s="74">
        <f t="shared" ref="O79:O80" si="139">IF(Q79&lt;=1.5,(13.968),IF(Q79&lt;=2.5,(4.527),IF(Q79&lt;=3.5,(3.307),IF(Q79&lt;=4.5,(2.869),IF(Q79&lt;=5.5,(2.649),IF(Q79&lt;=6.5,(2.517),IF(Q79&lt;=7.5,(2.429),IF(Q79&lt;=8.5,(2.2366),IF(Q79&lt;=9.5,(2.32),IF(Q79&lt;=10.5,(2.284),IF(Q79&lt;=11.5,(2.255),IF(Q79&lt;=12.5,(2.231),IF(Q79&lt;=13.5,(2.212),IF(Q79&lt;=14.5,(2.195),IF(Q79&lt;=15.5,(2.181),IF(Q79&lt;=16.5,(2.169),IF(Q79&lt;=17.5,(2.158),IF(Q79&lt;=18.5,(2.149),IF(Q79&lt;=19.5,(2.14),IF(Q79&lt;=22.5,(2.133),IF(Q79&lt;=27.5,(2.105),IF(Q79&lt;=32.5,(2.087),IF(Q79&lt;=37.5,(2.2074),IF(Q79&lt;=45,(2.064),IF(Q79&lt;=55,(2.051),IF(Q79&lt;=65,(2.043),IF(Q79&lt;=75,(2.036),IF(Q79&lt;=85,(2.032),IF(Q79&lt;=95,(2.028),IF(Q79&lt;=125,(2.025),IF(Q79&lt;=175,(2.017),IF(Q79&lt;=500,(2.013),IF(Q79&lt;=1200,(2.003),(2))))))))))))))))))))))))))))))))))</f>
        <v>2</v>
      </c>
      <c r="P79" s="72">
        <f t="shared" ref="P79:P80" si="140">N79*O79</f>
        <v>9.0388089185836139E-4</v>
      </c>
      <c r="Q79" s="72" t="str">
        <f t="shared" ref="Q79:Q80" si="141">IF(K79=0,"INFINITOS",(N79^4)/((K79^4)/2))</f>
        <v>INFINITOS</v>
      </c>
      <c r="R79" s="76">
        <f t="shared" ref="R79:R80" si="142">IF(H79&lt;=B79,H79-P79,H79+P79)</f>
        <v>-9.0388089185836139E-4</v>
      </c>
      <c r="S79" s="272" t="str">
        <f t="shared" ref="S79:S80" si="143">IF(I79&lt;R79,IF(R79&lt;J79,"A","Reprov"),"Reprov")</f>
        <v>Reprov</v>
      </c>
      <c r="T79" s="273"/>
      <c r="U79" s="274"/>
      <c r="V79" s="275"/>
      <c r="W79" s="276">
        <f>(T79+U79+V79)/3</f>
        <v>0</v>
      </c>
      <c r="X79" s="277">
        <f t="shared" ref="X79:X80" si="144">IF(SUM(T79:V79)=0,0,STDEV(T79:V79)/SQRT(3))</f>
        <v>0</v>
      </c>
      <c r="Y79" s="277">
        <f t="shared" ref="Y79:Y80" si="145">SQRT(X79^2+(0.0000005/SQRT(3))^2)</f>
        <v>2.8867513459481289E-7</v>
      </c>
      <c r="Z79" s="278">
        <f t="shared" ref="Z79:Z80" si="146">SQRT(L79^2+Y79^2)</f>
        <v>4.5194044592918069E-4</v>
      </c>
      <c r="AA79" s="279">
        <f t="shared" ref="AA79:AA80" si="147">IF(AC79&lt;=1.5,(13.968),IF(AC79&lt;=2.5,(4.527),IF(AC79&lt;=3.5,(3.307),IF(AC79&lt;=4.5,(2.869),IF(AC79&lt;=5.5,(2.649),IF(AC79&lt;=6.5,(2.517),IF(AC79&lt;=7.5,(2.429),IF(AC79&lt;=8.5,(2.2366),IF(AC79&lt;=9.5,(2.32),IF(AC79&lt;=10.5,(2.284),IF(AC79&lt;=11.5,(2.255),IF(AC79&lt;=12.5,(2.231),IF(AC79&lt;=13.5,(2.212),IF(AC79&lt;=14.5,(2.195),IF(AC79&lt;=15.5,(2.181),IF(AC79&lt;=16.5,(2.169),IF(AC79&lt;=17.5,(2.158),IF(AC79&lt;=18.5,(2.149),IF(AC79&lt;=19.5,(2.14),IF(AC79&lt;=22.5,(2.133),IF(AC79&lt;=27.5,(2.105),IF(AC79&lt;=32.5,(2.087),IF(AC79&lt;=37.5,(2.2074),IF(AC79&lt;=45,(2.064),IF(AC79&lt;=55,(2.051),IF(AC79&lt;=65,(2.043),IF(AC79&lt;=75,(2.036),IF(AC79&lt;=85,(2.032),IF(AC79&lt;=95,(2.028),IF(AC79&lt;=125,(2.025),IF(AC79&lt;=175,(2.017),IF(AC79&lt;=500,(2.013),IF(AC79&lt;=1200,(2.003),(2))))))))))))))))))))))))))))))))))</f>
        <v>2</v>
      </c>
      <c r="AB79" s="277">
        <f t="shared" ref="AB79:AB80" si="148">AA79*Z79</f>
        <v>9.0388089185836139E-4</v>
      </c>
      <c r="AC79" s="280" t="str">
        <f t="shared" ref="AC79:AC80" si="149">IF(W79=0,"INFINITOS",(Z79^4)/((W79^4)/2))</f>
        <v>INFINITOS</v>
      </c>
      <c r="AD79" s="281">
        <f t="shared" ref="AD79:AD80" si="150">IF(W79&lt;=B79,W79-AB79,W79+AB79)</f>
        <v>-9.0388089185836139E-4</v>
      </c>
      <c r="AE79" s="282" t="str">
        <f t="shared" ref="AE79:AE80" si="151">IF(I79&lt;AD79,IF(AD79&lt;J79,"A","Reprov"),"Reprov")</f>
        <v>Reprov</v>
      </c>
    </row>
    <row r="80" spans="1:31" ht="15.75" thickBot="1" x14ac:dyDescent="0.3">
      <c r="A80" s="67">
        <v>2</v>
      </c>
      <c r="B80" s="225">
        <v>2</v>
      </c>
      <c r="C80" s="223">
        <v>1</v>
      </c>
      <c r="D80" s="226" t="s">
        <v>53</v>
      </c>
      <c r="E80" s="170"/>
      <c r="F80" s="170"/>
      <c r="G80" s="170"/>
      <c r="H80" s="134">
        <f t="shared" si="134"/>
        <v>0</v>
      </c>
      <c r="I80" s="172">
        <f t="shared" si="135"/>
        <v>1.9932000000000001</v>
      </c>
      <c r="J80" s="172">
        <f t="shared" si="136"/>
        <v>2.0068000000000001</v>
      </c>
      <c r="K80" s="97">
        <f t="shared" ref="K80" si="152">IF(SUM(E80:G80)=0,0,STDEV(E80:G80)/SQRT(3))</f>
        <v>0</v>
      </c>
      <c r="L80" s="98">
        <f>SQRT(((0.000005)/SQRT(3))^2+((0.00065*B80+0.000035)/2)^2+(0.0006/SQRT(3))^2+(0.00026/2)^2)</f>
        <v>7.6319367354121413E-4</v>
      </c>
      <c r="M80" s="98">
        <f>SQRT(K80^2+(0.000005/SQRT(3))^2)</f>
        <v>2.8867513459481293E-6</v>
      </c>
      <c r="N80" s="99">
        <f t="shared" si="138"/>
        <v>7.6319913303584579E-4</v>
      </c>
      <c r="O80" s="100">
        <f t="shared" si="139"/>
        <v>2</v>
      </c>
      <c r="P80" s="98">
        <f t="shared" si="140"/>
        <v>1.5263982660716916E-3</v>
      </c>
      <c r="Q80" s="98" t="str">
        <f t="shared" si="141"/>
        <v>INFINITOS</v>
      </c>
      <c r="R80" s="102">
        <f t="shared" si="142"/>
        <v>-1.5263982660716916E-3</v>
      </c>
      <c r="S80" s="180" t="str">
        <f t="shared" si="143"/>
        <v>Reprov</v>
      </c>
      <c r="T80" s="182"/>
      <c r="U80" s="182"/>
      <c r="V80" s="182"/>
      <c r="W80" s="184">
        <f>(T80+U80+V80)/3</f>
        <v>0</v>
      </c>
      <c r="X80" s="185">
        <f t="shared" si="144"/>
        <v>0</v>
      </c>
      <c r="Y80" s="185">
        <f t="shared" si="145"/>
        <v>2.8867513459481289E-7</v>
      </c>
      <c r="Z80" s="186">
        <f t="shared" si="146"/>
        <v>7.6319372813635374E-4</v>
      </c>
      <c r="AA80" s="187">
        <f t="shared" si="147"/>
        <v>2</v>
      </c>
      <c r="AB80" s="185">
        <f t="shared" si="148"/>
        <v>1.5263874562727075E-3</v>
      </c>
      <c r="AC80" s="283" t="str">
        <f t="shared" si="149"/>
        <v>INFINITOS</v>
      </c>
      <c r="AD80" s="189">
        <f t="shared" si="150"/>
        <v>-1.5263874562727075E-3</v>
      </c>
      <c r="AE80" s="190" t="str">
        <f t="shared" si="151"/>
        <v>Reprov</v>
      </c>
    </row>
    <row r="81" spans="1:31" ht="15.75" thickBot="1" x14ac:dyDescent="0.3">
      <c r="A81" s="284"/>
      <c r="B81" s="285"/>
      <c r="C81" s="285"/>
      <c r="D81" s="286"/>
      <c r="E81" s="287"/>
      <c r="F81" s="287"/>
      <c r="G81" s="287"/>
      <c r="H81" s="288"/>
      <c r="I81" s="289"/>
      <c r="J81" s="289"/>
      <c r="K81" s="290"/>
      <c r="L81" s="291"/>
      <c r="M81" s="291"/>
      <c r="N81" s="292"/>
      <c r="O81" s="293"/>
      <c r="P81" s="291"/>
      <c r="Q81" s="291"/>
      <c r="R81" s="294"/>
      <c r="S81" s="295"/>
      <c r="T81" s="287"/>
      <c r="U81" s="287"/>
      <c r="V81" s="287"/>
      <c r="W81" s="296"/>
      <c r="X81" s="291"/>
      <c r="Y81" s="291"/>
      <c r="Z81" s="297"/>
      <c r="AA81" s="298"/>
      <c r="AB81" s="291"/>
      <c r="AC81" s="294"/>
      <c r="AD81" s="294"/>
      <c r="AE81" s="299"/>
    </row>
    <row r="82" spans="1:31" ht="16.5" thickBot="1" x14ac:dyDescent="0.3">
      <c r="A82" s="408" t="s">
        <v>54</v>
      </c>
      <c r="B82" s="360" t="s">
        <v>49</v>
      </c>
      <c r="C82" s="361"/>
      <c r="D82" s="362"/>
      <c r="E82" s="404" t="s">
        <v>77</v>
      </c>
      <c r="F82" s="405"/>
      <c r="G82" s="406"/>
      <c r="H82" s="396" t="s">
        <v>23</v>
      </c>
      <c r="I82" s="410" t="s">
        <v>24</v>
      </c>
      <c r="J82" s="410" t="s">
        <v>25</v>
      </c>
      <c r="K82" s="414" t="s">
        <v>26</v>
      </c>
      <c r="L82" s="377" t="s">
        <v>27</v>
      </c>
      <c r="M82" s="377" t="s">
        <v>28</v>
      </c>
      <c r="N82" s="377" t="s">
        <v>29</v>
      </c>
      <c r="O82" s="380" t="s">
        <v>30</v>
      </c>
      <c r="P82" s="398" t="s">
        <v>31</v>
      </c>
      <c r="Q82" s="400" t="s">
        <v>32</v>
      </c>
      <c r="R82" s="398" t="s">
        <v>33</v>
      </c>
      <c r="S82" s="383" t="s">
        <v>34</v>
      </c>
      <c r="T82" s="404" t="s">
        <v>55</v>
      </c>
      <c r="U82" s="405"/>
      <c r="V82" s="406"/>
      <c r="W82" s="396" t="s">
        <v>23</v>
      </c>
      <c r="X82" s="412" t="s">
        <v>26</v>
      </c>
      <c r="Y82" s="377" t="s">
        <v>28</v>
      </c>
      <c r="Z82" s="377" t="s">
        <v>29</v>
      </c>
      <c r="AA82" s="380" t="s">
        <v>30</v>
      </c>
      <c r="AB82" s="398" t="s">
        <v>31</v>
      </c>
      <c r="AC82" s="400" t="s">
        <v>32</v>
      </c>
      <c r="AD82" s="398" t="s">
        <v>33</v>
      </c>
      <c r="AE82" s="383" t="s">
        <v>34</v>
      </c>
    </row>
    <row r="83" spans="1:31" ht="15.75" thickBot="1" x14ac:dyDescent="0.3">
      <c r="A83" s="409"/>
      <c r="B83" s="363"/>
      <c r="C83" s="364"/>
      <c r="D83" s="365"/>
      <c r="E83" s="53" t="s">
        <v>36</v>
      </c>
      <c r="F83" s="54" t="s">
        <v>37</v>
      </c>
      <c r="G83" s="54" t="s">
        <v>38</v>
      </c>
      <c r="H83" s="397"/>
      <c r="I83" s="410"/>
      <c r="J83" s="410"/>
      <c r="K83" s="421"/>
      <c r="L83" s="378"/>
      <c r="M83" s="378"/>
      <c r="N83" s="379"/>
      <c r="O83" s="381"/>
      <c r="P83" s="399"/>
      <c r="Q83" s="401"/>
      <c r="R83" s="399"/>
      <c r="S83" s="384"/>
      <c r="T83" s="53" t="s">
        <v>36</v>
      </c>
      <c r="U83" s="54" t="s">
        <v>37</v>
      </c>
      <c r="V83" s="54" t="s">
        <v>38</v>
      </c>
      <c r="W83" s="397"/>
      <c r="X83" s="413"/>
      <c r="Y83" s="378"/>
      <c r="Z83" s="379"/>
      <c r="AA83" s="381"/>
      <c r="AB83" s="399"/>
      <c r="AC83" s="401"/>
      <c r="AD83" s="399"/>
      <c r="AE83" s="384"/>
    </row>
    <row r="84" spans="1:31" x14ac:dyDescent="0.25">
      <c r="A84" s="67">
        <v>10</v>
      </c>
      <c r="B84" s="222">
        <v>10</v>
      </c>
      <c r="C84" s="206">
        <v>1E-3</v>
      </c>
      <c r="D84" s="90" t="s">
        <v>52</v>
      </c>
      <c r="E84" s="239"/>
      <c r="F84" s="240"/>
      <c r="G84" s="241"/>
      <c r="H84" s="115">
        <f t="shared" ref="H84:H85" si="153">(E84+F84+G84)/3</f>
        <v>0</v>
      </c>
      <c r="I84" s="117">
        <f t="shared" ref="I84:I85" si="154">B84-(B84*0.3%+A84*0.04%)</f>
        <v>9.9659999999999993</v>
      </c>
      <c r="J84" s="117">
        <f t="shared" ref="J84:J85" si="155">B84+(B84*0.3%+B84*0.04%)</f>
        <v>10.034000000000001</v>
      </c>
      <c r="K84" s="71">
        <f t="shared" ref="K84:K85" si="156">IF(SUM(E84:G84)=0,0,STDEV(E84:G84)/SQRT(3))</f>
        <v>0</v>
      </c>
      <c r="L84" s="72">
        <f>SQRT(((0.00005)/SQRT(3))^2+((0.0016*B84+0.008)/2)^2+(0.0002/SQRT(3))^2+(0.0007/2)^2)</f>
        <v>1.200569309397282E-2</v>
      </c>
      <c r="M84" s="72">
        <f>SQRT(K84^2+(0.000005/SQRT(3))^2)</f>
        <v>2.8867513459481293E-6</v>
      </c>
      <c r="N84" s="73">
        <f t="shared" ref="N84:N85" si="157">SQRT(L84^2+M84^2)</f>
        <v>1.2005693441030385E-2</v>
      </c>
      <c r="O84" s="74">
        <f t="shared" ref="O84:O85" si="158">IF(Q84&lt;=1.5,(13.968),IF(Q84&lt;=2.5,(4.527),IF(Q84&lt;=3.5,(3.307),IF(Q84&lt;=4.5,(2.869),IF(Q84&lt;=5.5,(2.649),IF(Q84&lt;=6.5,(2.517),IF(Q84&lt;=7.5,(2.429),IF(Q84&lt;=8.5,(2.2366),IF(Q84&lt;=9.5,(2.32),IF(Q84&lt;=10.5,(2.284),IF(Q84&lt;=11.5,(2.255),IF(Q84&lt;=12.5,(2.231),IF(Q84&lt;=13.5,(2.212),IF(Q84&lt;=14.5,(2.195),IF(Q84&lt;=15.5,(2.181),IF(Q84&lt;=16.5,(2.169),IF(Q84&lt;=17.5,(2.158),IF(Q84&lt;=18.5,(2.149),IF(Q84&lt;=19.5,(2.14),IF(Q84&lt;=22.5,(2.133),IF(Q84&lt;=27.5,(2.105),IF(Q84&lt;=32.5,(2.087),IF(Q84&lt;=37.5,(2.2074),IF(Q84&lt;=45,(2.064),IF(Q84&lt;=55,(2.051),IF(Q84&lt;=65,(2.043),IF(Q84&lt;=75,(2.036),IF(Q84&lt;=85,(2.032),IF(Q84&lt;=95,(2.028),IF(Q84&lt;=125,(2.025),IF(Q84&lt;=175,(2.017),IF(Q84&lt;=500,(2.013),IF(Q84&lt;=1200,(2.003),(2))))))))))))))))))))))))))))))))))</f>
        <v>2</v>
      </c>
      <c r="P84" s="72">
        <f t="shared" ref="P84:P85" si="159">N84*O84</f>
        <v>2.4011386882060771E-2</v>
      </c>
      <c r="Q84" s="72" t="str">
        <f t="shared" ref="Q84:Q85" si="160">IF(K84=0,"INFINITOS",(N84^4)/((K84^4)/2))</f>
        <v>INFINITOS</v>
      </c>
      <c r="R84" s="76">
        <f t="shared" ref="R84:R85" si="161">IF(H84&lt;=B84,H84-P84,H84+P84)</f>
        <v>-2.4011386882060771E-2</v>
      </c>
      <c r="S84" s="242" t="str">
        <f t="shared" ref="S84:S85" si="162">IF(I84&lt;R84,IF(R84&lt;J84,"A","Reprov"),"Reprov")</f>
        <v>Reprov</v>
      </c>
      <c r="T84" s="243"/>
      <c r="U84" s="244"/>
      <c r="V84" s="245"/>
      <c r="W84" s="246">
        <f t="shared" ref="W84:W85" si="163">(T84+U84+V84)/3</f>
        <v>0</v>
      </c>
      <c r="X84" s="247">
        <f t="shared" ref="X84:X85" si="164">IF(SUM(T84:V84)=0,0,STDEV(T84:V84)/SQRT(3))</f>
        <v>0</v>
      </c>
      <c r="Y84" s="247">
        <f t="shared" ref="Y84:Y85" si="165">SQRT(X84^2+(0.0000005/SQRT(3))^2)</f>
        <v>2.8867513459481289E-7</v>
      </c>
      <c r="Z84" s="248">
        <f t="shared" ref="Z84:Z85" si="166">SQRT(L84^2+Y84^2)</f>
        <v>1.2005693097443395E-2</v>
      </c>
      <c r="AA84" s="249">
        <f t="shared" ref="AA84:AA85" si="167">IF(AC84&lt;=1.5,(13.968),IF(AC84&lt;=2.5,(4.527),IF(AC84&lt;=3.5,(3.307),IF(AC84&lt;=4.5,(2.869),IF(AC84&lt;=5.5,(2.649),IF(AC84&lt;=6.5,(2.517),IF(AC84&lt;=7.5,(2.429),IF(AC84&lt;=8.5,(2.2366),IF(AC84&lt;=9.5,(2.32),IF(AC84&lt;=10.5,(2.284),IF(AC84&lt;=11.5,(2.255),IF(AC84&lt;=12.5,(2.231),IF(AC84&lt;=13.5,(2.212),IF(AC84&lt;=14.5,(2.195),IF(AC84&lt;=15.5,(2.181),IF(AC84&lt;=16.5,(2.169),IF(AC84&lt;=17.5,(2.158),IF(AC84&lt;=18.5,(2.149),IF(AC84&lt;=19.5,(2.14),IF(AC84&lt;=22.5,(2.133),IF(AC84&lt;=27.5,(2.105),IF(AC84&lt;=32.5,(2.087),IF(AC84&lt;=37.5,(2.2074),IF(AC84&lt;=45,(2.064),IF(AC84&lt;=55,(2.051),IF(AC84&lt;=65,(2.043),IF(AC84&lt;=75,(2.036),IF(AC84&lt;=85,(2.032),IF(AC84&lt;=95,(2.028),IF(AC84&lt;=125,(2.025),IF(AC84&lt;=175,(2.017),IF(AC84&lt;=500,(2.013),IF(AC84&lt;=1200,(2.003),(2))))))))))))))))))))))))))))))))))</f>
        <v>2</v>
      </c>
      <c r="AB84" s="247">
        <f t="shared" ref="AB84:AB85" si="168">AA84*Z84</f>
        <v>2.401138619488679E-2</v>
      </c>
      <c r="AC84" s="250" t="str">
        <f t="shared" ref="AC84:AC85" si="169">IF(W84=0,"INFINITOS",(Z84^4)/((W84^4)/2))</f>
        <v>INFINITOS</v>
      </c>
      <c r="AD84" s="251">
        <f t="shared" ref="AD84:AD85" si="170">IF(W84&lt;=B84,W84-AB84,W84+AB84)</f>
        <v>-2.401138619488679E-2</v>
      </c>
      <c r="AE84" s="252" t="str">
        <f t="shared" ref="AE84:AE85" si="171">IF(I84&lt;AD84,IF(AD84&lt;J84,"A","Reprov"),"Reprov")</f>
        <v>Reprov</v>
      </c>
    </row>
    <row r="85" spans="1:31" ht="15.75" thickBot="1" x14ac:dyDescent="0.3">
      <c r="A85" s="67">
        <v>100</v>
      </c>
      <c r="B85" s="222">
        <v>100</v>
      </c>
      <c r="C85" s="223">
        <v>1E-3</v>
      </c>
      <c r="D85" s="90" t="s">
        <v>52</v>
      </c>
      <c r="E85" s="253"/>
      <c r="F85" s="253"/>
      <c r="G85" s="254"/>
      <c r="H85" s="115">
        <f t="shared" si="153"/>
        <v>0</v>
      </c>
      <c r="I85" s="117">
        <f t="shared" si="154"/>
        <v>99.66</v>
      </c>
      <c r="J85" s="117">
        <f t="shared" si="155"/>
        <v>100.34</v>
      </c>
      <c r="K85" s="71">
        <f t="shared" si="156"/>
        <v>0</v>
      </c>
      <c r="L85" s="72">
        <f>SQRT(((0.0005)/SQRT(3))^2+((0.0016*B85+0.08)/2)^2+(0.007/SQRT(3))^2+(0.008/2)^2)</f>
        <v>0.12013499351424074</v>
      </c>
      <c r="M85" s="72">
        <f>SQRT(K85^2+(0.00005/SQRT(3))^2)</f>
        <v>2.8867513459481293E-5</v>
      </c>
      <c r="N85" s="73">
        <f t="shared" si="157"/>
        <v>0.12013499698256123</v>
      </c>
      <c r="O85" s="74">
        <f t="shared" si="158"/>
        <v>2</v>
      </c>
      <c r="P85" s="72">
        <f t="shared" si="159"/>
        <v>0.24026999396512247</v>
      </c>
      <c r="Q85" s="72" t="str">
        <f t="shared" si="160"/>
        <v>INFINITOS</v>
      </c>
      <c r="R85" s="76">
        <f t="shared" si="161"/>
        <v>-0.24026999396512247</v>
      </c>
      <c r="S85" s="255" t="str">
        <f t="shared" si="162"/>
        <v>Reprov</v>
      </c>
      <c r="T85" s="243"/>
      <c r="U85" s="244"/>
      <c r="V85" s="245"/>
      <c r="W85" s="246">
        <f t="shared" si="163"/>
        <v>0</v>
      </c>
      <c r="X85" s="247">
        <f t="shared" si="164"/>
        <v>0</v>
      </c>
      <c r="Y85" s="247">
        <f t="shared" si="165"/>
        <v>2.8867513459481289E-7</v>
      </c>
      <c r="Z85" s="248">
        <f t="shared" si="166"/>
        <v>0.12013499351458756</v>
      </c>
      <c r="AA85" s="249">
        <f t="shared" si="167"/>
        <v>2</v>
      </c>
      <c r="AB85" s="247">
        <f t="shared" si="168"/>
        <v>0.24026998702917512</v>
      </c>
      <c r="AC85" s="250" t="str">
        <f t="shared" si="169"/>
        <v>INFINITOS</v>
      </c>
      <c r="AD85" s="251">
        <f t="shared" si="170"/>
        <v>-0.24026998702917512</v>
      </c>
      <c r="AE85" s="252" t="str">
        <f t="shared" si="171"/>
        <v>Reprov</v>
      </c>
    </row>
    <row r="86" spans="1:31" ht="15.75" thickBot="1" x14ac:dyDescent="0.3">
      <c r="A86" s="284"/>
      <c r="B86" s="285"/>
      <c r="C86" s="285"/>
      <c r="D86" s="286"/>
      <c r="E86" s="287"/>
      <c r="F86" s="287"/>
      <c r="G86" s="287"/>
      <c r="H86" s="288"/>
      <c r="I86" s="289"/>
      <c r="J86" s="289"/>
      <c r="K86" s="290"/>
      <c r="L86" s="291"/>
      <c r="M86" s="291"/>
      <c r="N86" s="292"/>
      <c r="O86" s="293"/>
      <c r="P86" s="291"/>
      <c r="Q86" s="291"/>
      <c r="R86" s="294"/>
      <c r="S86" s="295"/>
      <c r="T86" s="287"/>
      <c r="U86" s="287"/>
      <c r="V86" s="287"/>
      <c r="W86" s="296"/>
      <c r="X86" s="291"/>
      <c r="Y86" s="291"/>
      <c r="Z86" s="297"/>
      <c r="AA86" s="298"/>
      <c r="AB86" s="291"/>
      <c r="AC86" s="294"/>
      <c r="AD86" s="294"/>
      <c r="AE86" s="299"/>
    </row>
    <row r="87" spans="1:31" ht="16.5" thickBot="1" x14ac:dyDescent="0.3">
      <c r="A87" s="432" t="s">
        <v>56</v>
      </c>
      <c r="B87" s="434" t="s">
        <v>49</v>
      </c>
      <c r="C87" s="435"/>
      <c r="D87" s="436"/>
      <c r="E87" s="404" t="s">
        <v>57</v>
      </c>
      <c r="F87" s="405"/>
      <c r="G87" s="406"/>
      <c r="H87" s="396" t="s">
        <v>23</v>
      </c>
      <c r="I87" s="420" t="s">
        <v>24</v>
      </c>
      <c r="J87" s="420" t="s">
        <v>25</v>
      </c>
      <c r="K87" s="414" t="s">
        <v>26</v>
      </c>
      <c r="L87" s="377" t="s">
        <v>27</v>
      </c>
      <c r="M87" s="377" t="s">
        <v>28</v>
      </c>
      <c r="N87" s="377" t="s">
        <v>29</v>
      </c>
      <c r="O87" s="380" t="s">
        <v>30</v>
      </c>
      <c r="P87" s="398" t="s">
        <v>31</v>
      </c>
      <c r="Q87" s="400" t="s">
        <v>32</v>
      </c>
      <c r="R87" s="398" t="s">
        <v>33</v>
      </c>
      <c r="S87" s="383" t="s">
        <v>34</v>
      </c>
      <c r="T87" s="404" t="s">
        <v>58</v>
      </c>
      <c r="U87" s="405"/>
      <c r="V87" s="406"/>
      <c r="W87" s="396" t="s">
        <v>23</v>
      </c>
      <c r="X87" s="412" t="s">
        <v>26</v>
      </c>
      <c r="Y87" s="377" t="s">
        <v>28</v>
      </c>
      <c r="Z87" s="377" t="s">
        <v>29</v>
      </c>
      <c r="AA87" s="380" t="s">
        <v>30</v>
      </c>
      <c r="AB87" s="398" t="s">
        <v>31</v>
      </c>
      <c r="AC87" s="400" t="s">
        <v>32</v>
      </c>
      <c r="AD87" s="398" t="s">
        <v>33</v>
      </c>
      <c r="AE87" s="383" t="s">
        <v>34</v>
      </c>
    </row>
    <row r="88" spans="1:31" ht="15.75" thickBot="1" x14ac:dyDescent="0.3">
      <c r="A88" s="433"/>
      <c r="B88" s="363"/>
      <c r="C88" s="364"/>
      <c r="D88" s="365"/>
      <c r="E88" s="300" t="s">
        <v>36</v>
      </c>
      <c r="F88" s="300" t="s">
        <v>37</v>
      </c>
      <c r="G88" s="300" t="s">
        <v>38</v>
      </c>
      <c r="H88" s="397"/>
      <c r="I88" s="420"/>
      <c r="J88" s="420"/>
      <c r="K88" s="421"/>
      <c r="L88" s="378"/>
      <c r="M88" s="378"/>
      <c r="N88" s="379"/>
      <c r="O88" s="381"/>
      <c r="P88" s="399"/>
      <c r="Q88" s="401"/>
      <c r="R88" s="399"/>
      <c r="S88" s="384"/>
      <c r="T88" s="192" t="s">
        <v>36</v>
      </c>
      <c r="U88" s="192" t="s">
        <v>37</v>
      </c>
      <c r="V88" s="192" t="s">
        <v>38</v>
      </c>
      <c r="W88" s="397"/>
      <c r="X88" s="413"/>
      <c r="Y88" s="378"/>
      <c r="Z88" s="379"/>
      <c r="AA88" s="381"/>
      <c r="AB88" s="399"/>
      <c r="AC88" s="401"/>
      <c r="AD88" s="399"/>
      <c r="AE88" s="384"/>
    </row>
    <row r="89" spans="1:31" x14ac:dyDescent="0.25">
      <c r="A89" s="55">
        <v>19</v>
      </c>
      <c r="B89" s="301">
        <v>18.998740000000002</v>
      </c>
      <c r="C89" s="194">
        <v>1</v>
      </c>
      <c r="D89" s="302" t="s">
        <v>59</v>
      </c>
      <c r="E89" s="196"/>
      <c r="F89" s="196"/>
      <c r="G89" s="196"/>
      <c r="H89" s="303">
        <f t="shared" ref="H89:H97" si="172">(E89+F89+G89)/3</f>
        <v>0</v>
      </c>
      <c r="I89" s="304">
        <f>B89-(B89*0.01%+A89*0.004%)</f>
        <v>18.996080126000003</v>
      </c>
      <c r="J89" s="304">
        <f>B89+(B89*0.01%+A89*0.004%)</f>
        <v>19.001399874000001</v>
      </c>
      <c r="K89" s="56">
        <f t="shared" ref="K89:K97" si="173">IF(SUM(E89:G89)=0,0,STDEV(E89:G89)/SQRT(3))</f>
        <v>0</v>
      </c>
      <c r="L89" s="61">
        <f>SQRT(((0.0000005)/SQRT(3))^2+((0.000027*B89)/2)^2+(0.000089/2)^2)</f>
        <v>2.6031491984262719E-4</v>
      </c>
      <c r="M89" s="61">
        <f>SQRT(K89^2+(0.00005/SQRT(3))^2)</f>
        <v>2.8867513459481293E-5</v>
      </c>
      <c r="N89" s="200">
        <f t="shared" ref="N89:N97" si="174">SQRT(L89^2+M89^2)</f>
        <v>2.6191065428120091E-4</v>
      </c>
      <c r="O89" s="201">
        <f t="shared" ref="O89:O97" si="175">IF(Q89&lt;=1.5,(13.968),IF(Q89&lt;=2.5,(4.527),IF(Q89&lt;=3.5,(3.307),IF(Q89&lt;=4.5,(2.869),IF(Q89&lt;=5.5,(2.649),IF(Q89&lt;=6.5,(2.517),IF(Q89&lt;=7.5,(2.429),IF(Q89&lt;=8.5,(2.2366),IF(Q89&lt;=9.5,(2.32),IF(Q89&lt;=10.5,(2.284),IF(Q89&lt;=11.5,(2.255),IF(Q89&lt;=12.5,(2.231),IF(Q89&lt;=13.5,(2.212),IF(Q89&lt;=14.5,(2.195),IF(Q89&lt;=15.5,(2.181),IF(Q89&lt;=16.5,(2.169),IF(Q89&lt;=17.5,(2.158),IF(Q89&lt;=18.5,(2.149),IF(Q89&lt;=19.5,(2.14),IF(Q89&lt;=22.5,(2.133),IF(Q89&lt;=27.5,(2.105),IF(Q89&lt;=32.5,(2.087),IF(Q89&lt;=37.5,(2.2074),IF(Q89&lt;=45,(2.064),IF(Q89&lt;=55,(2.051),IF(Q89&lt;=65,(2.043),IF(Q89&lt;=75,(2.036),IF(Q89&lt;=85,(2.032),IF(Q89&lt;=95,(2.028),IF(Q89&lt;=125,(2.025),IF(Q89&lt;=175,(2.017),IF(Q89&lt;=500,(2.013),IF(Q89&lt;=1200,(2.003),(2))))))))))))))))))))))))))))))))))</f>
        <v>2</v>
      </c>
      <c r="P89" s="61">
        <f t="shared" ref="P89:P97" si="176">N89*O89</f>
        <v>5.2382130856240181E-4</v>
      </c>
      <c r="Q89" s="61" t="str">
        <f t="shared" ref="Q89:Q96" si="177">IF(K89=0,"INFINITOS",(N89^4)/((K89^4)/2))</f>
        <v>INFINITOS</v>
      </c>
      <c r="R89" s="202">
        <f t="shared" ref="R89:R97" si="178">IF(H89&lt;=B89,H89-P89,H89+P89)</f>
        <v>-5.2382130856240181E-4</v>
      </c>
      <c r="S89" s="66" t="str">
        <f t="shared" ref="S89:S97" si="179">IF(I89&lt;R89,IF(R89&lt;J89,"A","Reprov"),"Reprov")</f>
        <v>Reprov</v>
      </c>
      <c r="T89" s="203"/>
      <c r="U89" s="203"/>
      <c r="V89" s="203"/>
      <c r="W89" s="60">
        <f t="shared" ref="W89:W97" si="180">(T89+U89+V89)/3</f>
        <v>0</v>
      </c>
      <c r="X89" s="61">
        <f>IF(SUM(T89:V89)=0,0,STDEV(T89:V89)/SQRT(3))</f>
        <v>0</v>
      </c>
      <c r="Y89" s="61">
        <f>SQRT(X89^2+(0.00005/SQRT(3))^2)</f>
        <v>2.8867513459481293E-5</v>
      </c>
      <c r="Z89" s="200">
        <f t="shared" ref="Z89:Z97" si="181">SQRT(L89^2+Y89^2)</f>
        <v>2.6191065428120091E-4</v>
      </c>
      <c r="AA89" s="201">
        <f t="shared" ref="AA89:AA97" si="182">IF(AC89&lt;=1.5,(13.968),IF(AC89&lt;=2.5,(4.527),IF(AC89&lt;=3.5,(3.307),IF(AC89&lt;=4.5,(2.869),IF(AC89&lt;=5.5,(2.649),IF(AC89&lt;=6.5,(2.517),IF(AC89&lt;=7.5,(2.429),IF(AC89&lt;=8.5,(2.2366),IF(AC89&lt;=9.5,(2.32),IF(AC89&lt;=10.5,(2.284),IF(AC89&lt;=11.5,(2.255),IF(AC89&lt;=12.5,(2.231),IF(AC89&lt;=13.5,(2.212),IF(AC89&lt;=14.5,(2.195),IF(AC89&lt;=15.5,(2.181),IF(AC89&lt;=16.5,(2.169),IF(AC89&lt;=17.5,(2.158),IF(AC89&lt;=18.5,(2.149),IF(AC89&lt;=19.5,(2.14),IF(AC89&lt;=22.5,(2.133),IF(AC89&lt;=27.5,(2.105),IF(AC89&lt;=32.5,(2.087),IF(AC89&lt;=37.5,(2.2074),IF(AC89&lt;=45,(2.064),IF(AC89&lt;=55,(2.051),IF(AC89&lt;=65,(2.043),IF(AC89&lt;=75,(2.036),IF(AC89&lt;=85,(2.032),IF(AC89&lt;=95,(2.028),IF(AC89&lt;=125,(2.025),IF(AC89&lt;=175,(2.017),IF(AC89&lt;=500,(2.013),IF(AC89&lt;=1200,(2.003),(2))))))))))))))))))))))))))))))))))</f>
        <v>2</v>
      </c>
      <c r="AB89" s="61">
        <f t="shared" ref="AB89:AB97" si="183">AA89*Z89</f>
        <v>5.2382130856240181E-4</v>
      </c>
      <c r="AC89" s="202" t="str">
        <f>IF(X89=0,"INFINITOS",(Z89^4)/((X89^4)/2))</f>
        <v>INFINITOS</v>
      </c>
      <c r="AD89" s="65">
        <f t="shared" ref="AD89:AD97" si="184">IF(W89&lt;=B89,W89-AB89,W89+AB89)</f>
        <v>-5.2382130856240181E-4</v>
      </c>
      <c r="AE89" s="66" t="str">
        <f t="shared" ref="AE89:AE97" si="185">IF(I89&lt;AD89,IF(AD89&lt;J89,"A","Reprov"),"Reprov")</f>
        <v>Reprov</v>
      </c>
    </row>
    <row r="90" spans="1:31" x14ac:dyDescent="0.25">
      <c r="A90" s="67">
        <v>100</v>
      </c>
      <c r="B90" s="305">
        <v>99.997280000000003</v>
      </c>
      <c r="C90" s="306">
        <v>1</v>
      </c>
      <c r="D90" s="307" t="s">
        <v>59</v>
      </c>
      <c r="E90" s="91"/>
      <c r="F90" s="91"/>
      <c r="G90" s="91"/>
      <c r="H90" s="308">
        <f t="shared" si="172"/>
        <v>0</v>
      </c>
      <c r="I90" s="115">
        <f>B90-(B90*0.01%+A90*0.004%)</f>
        <v>99.983280272000002</v>
      </c>
      <c r="J90" s="115">
        <f>B90+(B90*0.01%+B90*0.004%)</f>
        <v>100.01127961920001</v>
      </c>
      <c r="K90" s="71">
        <f t="shared" si="173"/>
        <v>0</v>
      </c>
      <c r="L90" s="80">
        <f>SQRT(((0.000005)/SQRT(3))^2+((0.000017*B90)/2)^2+(0.00041/2)^2)</f>
        <v>8.7435349251196331E-4</v>
      </c>
      <c r="M90" s="80">
        <f>SQRT(K90^2+(0.00005/SQRT(3))^2)</f>
        <v>2.8867513459481293E-5</v>
      </c>
      <c r="N90" s="126">
        <f t="shared" si="174"/>
        <v>8.7482990529656746E-4</v>
      </c>
      <c r="O90" s="127">
        <f t="shared" si="175"/>
        <v>2</v>
      </c>
      <c r="P90" s="80">
        <f t="shared" si="176"/>
        <v>1.7496598105931349E-3</v>
      </c>
      <c r="Q90" s="80">
        <f>(N90^4)/(((K90^4)/2)+(0.00041^4/980))</f>
        <v>20313.517435027705</v>
      </c>
      <c r="R90" s="224">
        <f t="shared" si="178"/>
        <v>-1.7496598105931349E-3</v>
      </c>
      <c r="S90" s="85" t="str">
        <f t="shared" si="179"/>
        <v>Reprov</v>
      </c>
      <c r="T90" s="87"/>
      <c r="U90" s="87"/>
      <c r="V90" s="87"/>
      <c r="W90" s="79">
        <f t="shared" si="180"/>
        <v>0</v>
      </c>
      <c r="X90" s="80">
        <f t="shared" ref="X90:X97" si="186">IF(SUM(T90:V90)=0,0,STDEV(T90:V90)/SQRT(3))</f>
        <v>0</v>
      </c>
      <c r="Y90" s="80">
        <f>SQRT(X90^2+(0.00005/SQRT(3))^2)</f>
        <v>2.8867513459481293E-5</v>
      </c>
      <c r="Z90" s="81">
        <f t="shared" si="181"/>
        <v>8.7482990529656746E-4</v>
      </c>
      <c r="AA90" s="82">
        <f t="shared" si="182"/>
        <v>2</v>
      </c>
      <c r="AB90" s="80">
        <f t="shared" si="183"/>
        <v>1.7496598105931349E-3</v>
      </c>
      <c r="AC90" s="224">
        <f>(Z90^4)/(((X90^4)/2)+(0.00041^4/980))</f>
        <v>20313.517435027705</v>
      </c>
      <c r="AD90" s="84">
        <f t="shared" si="184"/>
        <v>-1.7496598105931349E-3</v>
      </c>
      <c r="AE90" s="85" t="str">
        <f t="shared" si="185"/>
        <v>Reprov</v>
      </c>
    </row>
    <row r="91" spans="1:31" x14ac:dyDescent="0.25">
      <c r="A91" s="67">
        <v>1</v>
      </c>
      <c r="B91" s="309">
        <v>0.18999416999999999</v>
      </c>
      <c r="C91" s="306">
        <v>1000</v>
      </c>
      <c r="D91" s="307" t="s">
        <v>60</v>
      </c>
      <c r="E91" s="70"/>
      <c r="F91" s="70"/>
      <c r="G91" s="70"/>
      <c r="H91" s="308">
        <f t="shared" si="172"/>
        <v>0</v>
      </c>
      <c r="I91" s="310">
        <f>B91-(B91*0.01%+A91*0.001%)</f>
        <v>0.189965170583</v>
      </c>
      <c r="J91" s="310">
        <f>B91+(B91*0.01%+B91*0.001%)</f>
        <v>0.1900150693587</v>
      </c>
      <c r="K91" s="71">
        <f t="shared" si="173"/>
        <v>0</v>
      </c>
      <c r="L91" s="80">
        <f>SQRT(((0.000005)/SQRT(3))^2+((0.000017*B91)/2)^2+(0.00084/(2*C91))^2)</f>
        <v>3.3343362567592124E-6</v>
      </c>
      <c r="M91" s="80">
        <f>SQRT(K91^2+(0.0000005/SQRT(3))^2)</f>
        <v>2.8867513459481289E-7</v>
      </c>
      <c r="N91" s="126">
        <f t="shared" si="174"/>
        <v>3.3468091679198517E-6</v>
      </c>
      <c r="O91" s="127">
        <f t="shared" si="175"/>
        <v>2</v>
      </c>
      <c r="P91" s="80">
        <f t="shared" si="176"/>
        <v>6.6936183358397034E-6</v>
      </c>
      <c r="Q91" s="80" t="str">
        <f t="shared" si="177"/>
        <v>INFINITOS</v>
      </c>
      <c r="R91" s="224">
        <f t="shared" si="178"/>
        <v>-6.6936183358397034E-6</v>
      </c>
      <c r="S91" s="85" t="str">
        <f t="shared" si="179"/>
        <v>Reprov</v>
      </c>
      <c r="T91" s="87"/>
      <c r="U91" s="87"/>
      <c r="V91" s="87"/>
      <c r="W91" s="79">
        <f t="shared" si="180"/>
        <v>0</v>
      </c>
      <c r="X91" s="80">
        <f t="shared" si="186"/>
        <v>0</v>
      </c>
      <c r="Y91" s="80">
        <f>SQRT(X91^2+(0.0000005/SQRT(3))^2)</f>
        <v>2.8867513459481289E-7</v>
      </c>
      <c r="Z91" s="81">
        <f t="shared" si="181"/>
        <v>3.3468091679198517E-6</v>
      </c>
      <c r="AA91" s="82">
        <f t="shared" si="182"/>
        <v>2</v>
      </c>
      <c r="AB91" s="80">
        <f t="shared" si="183"/>
        <v>6.6936183358397034E-6</v>
      </c>
      <c r="AC91" s="224" t="str">
        <f>IF(X91=0,"INFINITOS",(Z91^4)/((X91^4)/2))</f>
        <v>INFINITOS</v>
      </c>
      <c r="AD91" s="84">
        <f t="shared" si="184"/>
        <v>-6.6936183358397034E-6</v>
      </c>
      <c r="AE91" s="85" t="str">
        <f t="shared" si="185"/>
        <v>Reprov</v>
      </c>
    </row>
    <row r="92" spans="1:31" x14ac:dyDescent="0.25">
      <c r="A92" s="67">
        <v>1</v>
      </c>
      <c r="B92" s="305">
        <v>1.0000043000000001</v>
      </c>
      <c r="C92" s="306">
        <v>1000</v>
      </c>
      <c r="D92" s="307" t="s">
        <v>60</v>
      </c>
      <c r="E92" s="78"/>
      <c r="F92" s="78"/>
      <c r="G92" s="78"/>
      <c r="H92" s="308">
        <f t="shared" si="172"/>
        <v>0</v>
      </c>
      <c r="I92" s="311">
        <f>B92-(B92*0.01%+A92*0.001%)</f>
        <v>0.99989429957000009</v>
      </c>
      <c r="J92" s="311">
        <f>B92+(B92*0.01%+B92*0.001%)</f>
        <v>1.000114300473</v>
      </c>
      <c r="K92" s="71">
        <f t="shared" si="173"/>
        <v>0</v>
      </c>
      <c r="L92" s="80">
        <f>SQRT(((0.00000005)/SQRT(3))^2+((0.000013*B92)/2)^2+(0.000004/2)^2)</f>
        <v>6.8008232357645166E-6</v>
      </c>
      <c r="M92" s="80">
        <f>SQRT(K92^2+(0.0000005/SQRT(3))^2)</f>
        <v>2.8867513459481289E-7</v>
      </c>
      <c r="N92" s="126">
        <f t="shared" si="174"/>
        <v>6.8069471877962942E-6</v>
      </c>
      <c r="O92" s="127">
        <f t="shared" si="175"/>
        <v>2.0129999999999999</v>
      </c>
      <c r="P92" s="80">
        <f t="shared" si="176"/>
        <v>1.3702384689033939E-5</v>
      </c>
      <c r="Q92" s="80">
        <f>(N92^4)/(((K92^4)/2)+(0.000004^4/52))</f>
        <v>436.08676148736123</v>
      </c>
      <c r="R92" s="224">
        <f t="shared" si="178"/>
        <v>-1.3702384689033939E-5</v>
      </c>
      <c r="S92" s="85" t="str">
        <f t="shared" si="179"/>
        <v>Reprov</v>
      </c>
      <c r="T92" s="87"/>
      <c r="U92" s="87"/>
      <c r="V92" s="87"/>
      <c r="W92" s="79">
        <f t="shared" si="180"/>
        <v>0</v>
      </c>
      <c r="X92" s="80">
        <f t="shared" si="186"/>
        <v>0</v>
      </c>
      <c r="Y92" s="80">
        <f>SQRT(X92^2+(0.0000005/SQRT(3))^2)</f>
        <v>2.8867513459481289E-7</v>
      </c>
      <c r="Z92" s="81">
        <f t="shared" si="181"/>
        <v>6.8069471877962942E-6</v>
      </c>
      <c r="AA92" s="82">
        <f t="shared" si="182"/>
        <v>2.0129999999999999</v>
      </c>
      <c r="AB92" s="80">
        <f t="shared" si="183"/>
        <v>1.3702384689033939E-5</v>
      </c>
      <c r="AC92" s="224">
        <f>(Z92^4)/(((X92^4)/2)+(0.000004^4/52))</f>
        <v>436.08676148736123</v>
      </c>
      <c r="AD92" s="84">
        <f t="shared" si="184"/>
        <v>-1.3702384689033939E-5</v>
      </c>
      <c r="AE92" s="85" t="str">
        <f t="shared" si="185"/>
        <v>Reprov</v>
      </c>
    </row>
    <row r="93" spans="1:31" x14ac:dyDescent="0.25">
      <c r="A93" s="67">
        <v>10</v>
      </c>
      <c r="B93" s="312">
        <v>10.000007</v>
      </c>
      <c r="C93" s="306">
        <v>1000</v>
      </c>
      <c r="D93" s="307" t="s">
        <v>60</v>
      </c>
      <c r="E93" s="78"/>
      <c r="F93" s="78"/>
      <c r="G93" s="78"/>
      <c r="H93" s="308">
        <f t="shared" si="172"/>
        <v>0</v>
      </c>
      <c r="I93" s="115">
        <f t="shared" ref="I93:I95" si="187">B93-(B93*0.01%+A93*0.001%)</f>
        <v>9.9989069993000008</v>
      </c>
      <c r="J93" s="115">
        <f t="shared" ref="J93:J95" si="188">B93+(B93*0.01%+B93*0.001%)</f>
        <v>10.00110700077</v>
      </c>
      <c r="K93" s="71">
        <f t="shared" si="173"/>
        <v>0</v>
      </c>
      <c r="L93" s="80">
        <f>SQRT(((0.0000005)/SQRT(3))^2+((0.000012*B93)/2)^2+(0.00003/2)^2)</f>
        <v>6.1847298836207047E-5</v>
      </c>
      <c r="M93" s="80">
        <f>SQRT(K93^2+(0.000005/SQRT(3))^2)</f>
        <v>2.8867513459481293E-6</v>
      </c>
      <c r="N93" s="126">
        <f t="shared" si="174"/>
        <v>6.1914632411639431E-5</v>
      </c>
      <c r="O93" s="127">
        <f t="shared" si="175"/>
        <v>2</v>
      </c>
      <c r="P93" s="80">
        <f t="shared" si="176"/>
        <v>1.2382926482327886E-4</v>
      </c>
      <c r="Q93" s="80" t="str">
        <f t="shared" si="177"/>
        <v>INFINITOS</v>
      </c>
      <c r="R93" s="224">
        <f t="shared" si="178"/>
        <v>-1.2382926482327886E-4</v>
      </c>
      <c r="S93" s="85" t="str">
        <f t="shared" si="179"/>
        <v>Reprov</v>
      </c>
      <c r="T93" s="87"/>
      <c r="U93" s="87"/>
      <c r="V93" s="87"/>
      <c r="W93" s="79">
        <f t="shared" si="180"/>
        <v>0</v>
      </c>
      <c r="X93" s="80">
        <f t="shared" si="186"/>
        <v>0</v>
      </c>
      <c r="Y93" s="80">
        <f>SQRT(X93^2+(0.000005/SQRT(3))^2)</f>
        <v>2.8867513459481293E-6</v>
      </c>
      <c r="Z93" s="81">
        <f t="shared" si="181"/>
        <v>6.1914632411639431E-5</v>
      </c>
      <c r="AA93" s="82">
        <f t="shared" si="182"/>
        <v>2</v>
      </c>
      <c r="AB93" s="80">
        <f t="shared" si="183"/>
        <v>1.2382926482327886E-4</v>
      </c>
      <c r="AC93" s="224" t="str">
        <f>IF(X93=0,"INFINITOS",(Z93^4)/((X93^4)/2))</f>
        <v>INFINITOS</v>
      </c>
      <c r="AD93" s="84">
        <f t="shared" si="184"/>
        <v>-1.2382926482327886E-4</v>
      </c>
      <c r="AE93" s="85" t="str">
        <f t="shared" si="185"/>
        <v>Reprov</v>
      </c>
    </row>
    <row r="94" spans="1:31" x14ac:dyDescent="0.25">
      <c r="A94" s="67">
        <v>100</v>
      </c>
      <c r="B94" s="312">
        <v>99.999380000000002</v>
      </c>
      <c r="C94" s="306">
        <v>1000</v>
      </c>
      <c r="D94" s="307" t="s">
        <v>60</v>
      </c>
      <c r="E94" s="91"/>
      <c r="F94" s="91"/>
      <c r="G94" s="91"/>
      <c r="H94" s="308">
        <f t="shared" si="172"/>
        <v>0</v>
      </c>
      <c r="I94" s="313">
        <f t="shared" si="187"/>
        <v>99.988380062000005</v>
      </c>
      <c r="J94" s="313">
        <f t="shared" si="188"/>
        <v>100.0103799318</v>
      </c>
      <c r="K94" s="71">
        <f t="shared" si="173"/>
        <v>0</v>
      </c>
      <c r="L94" s="80">
        <f>SQRT(((0.000005)/SQRT(3))^2+((0.000014*B94)/2)^2+(0.00037/2)^2)</f>
        <v>7.2403539785853631E-4</v>
      </c>
      <c r="M94" s="80">
        <f>SQRT(K94^2+(0.00005/SQRT(3))^2)</f>
        <v>2.8867513459481293E-5</v>
      </c>
      <c r="N94" s="126">
        <f t="shared" si="174"/>
        <v>7.2461064764844734E-4</v>
      </c>
      <c r="O94" s="127">
        <f t="shared" si="175"/>
        <v>2</v>
      </c>
      <c r="P94" s="80">
        <f t="shared" si="176"/>
        <v>1.4492212952968947E-3</v>
      </c>
      <c r="Q94" s="80">
        <f>(N94^4)/(((K94^4)/2)+(0.00037^4/288))</f>
        <v>4236.4729433922957</v>
      </c>
      <c r="R94" s="224">
        <f t="shared" si="178"/>
        <v>-1.4492212952968947E-3</v>
      </c>
      <c r="S94" s="85" t="str">
        <f t="shared" si="179"/>
        <v>Reprov</v>
      </c>
      <c r="T94" s="87"/>
      <c r="U94" s="87"/>
      <c r="V94" s="87"/>
      <c r="W94" s="79">
        <f t="shared" si="180"/>
        <v>0</v>
      </c>
      <c r="X94" s="80">
        <f t="shared" si="186"/>
        <v>0</v>
      </c>
      <c r="Y94" s="80">
        <f>SQRT(X94^2+(0.00005/SQRT(3))^2)</f>
        <v>2.8867513459481293E-5</v>
      </c>
      <c r="Z94" s="81">
        <f t="shared" si="181"/>
        <v>7.2461064764844734E-4</v>
      </c>
      <c r="AA94" s="82">
        <f t="shared" si="182"/>
        <v>2</v>
      </c>
      <c r="AB94" s="80">
        <f t="shared" si="183"/>
        <v>1.4492212952968947E-3</v>
      </c>
      <c r="AC94" s="224">
        <f>(Z94^4)/(((X94^4)/2)+(0.00037^4/288))</f>
        <v>4236.4729433922957</v>
      </c>
      <c r="AD94" s="84">
        <f t="shared" si="184"/>
        <v>-1.4492212952968947E-3</v>
      </c>
      <c r="AE94" s="85" t="str">
        <f t="shared" si="185"/>
        <v>Reprov</v>
      </c>
    </row>
    <row r="95" spans="1:31" x14ac:dyDescent="0.25">
      <c r="A95" s="67">
        <v>1</v>
      </c>
      <c r="B95" s="312">
        <v>0.99997860000000005</v>
      </c>
      <c r="C95" s="312">
        <v>1000000</v>
      </c>
      <c r="D95" s="314" t="s">
        <v>61</v>
      </c>
      <c r="E95" s="78"/>
      <c r="F95" s="78"/>
      <c r="G95" s="78"/>
      <c r="H95" s="308">
        <f t="shared" si="172"/>
        <v>0</v>
      </c>
      <c r="I95" s="311">
        <f t="shared" si="187"/>
        <v>0.99986860214000006</v>
      </c>
      <c r="J95" s="311">
        <f t="shared" si="188"/>
        <v>1.0000885976460001</v>
      </c>
      <c r="K95" s="71">
        <f t="shared" si="173"/>
        <v>0</v>
      </c>
      <c r="L95" s="80">
        <f>SQRT(((0.00000005)/SQRT(3))^2+((0.00002*B95)/2)^2+(0.0000049/2)^2)</f>
        <v>1.0295584168910931E-5</v>
      </c>
      <c r="M95" s="315">
        <f>SQRT(K95^2+(0.0000005/SQRT(3))^2)</f>
        <v>2.8867513459481289E-7</v>
      </c>
      <c r="N95" s="316">
        <f t="shared" si="174"/>
        <v>1.0299630416304399E-5</v>
      </c>
      <c r="O95" s="317">
        <f t="shared" si="175"/>
        <v>2</v>
      </c>
      <c r="P95" s="315">
        <f t="shared" si="176"/>
        <v>2.0599260832608798E-5</v>
      </c>
      <c r="Q95" s="315" t="str">
        <f t="shared" si="177"/>
        <v>INFINITOS</v>
      </c>
      <c r="R95" s="318">
        <f t="shared" si="178"/>
        <v>-2.0599260832608798E-5</v>
      </c>
      <c r="S95" s="319" t="str">
        <f t="shared" si="179"/>
        <v>Reprov</v>
      </c>
      <c r="T95" s="87"/>
      <c r="U95" s="87"/>
      <c r="V95" s="87"/>
      <c r="W95" s="320">
        <f t="shared" si="180"/>
        <v>0</v>
      </c>
      <c r="X95" s="315">
        <f t="shared" si="186"/>
        <v>0</v>
      </c>
      <c r="Y95" s="315">
        <f>SQRT(X95^2+(0.0000005/SQRT(3))^2)</f>
        <v>2.8867513459481289E-7</v>
      </c>
      <c r="Z95" s="321">
        <f t="shared" si="181"/>
        <v>1.0299630416304399E-5</v>
      </c>
      <c r="AA95" s="322">
        <f t="shared" si="182"/>
        <v>2</v>
      </c>
      <c r="AB95" s="315">
        <f t="shared" si="183"/>
        <v>2.0599260832608798E-5</v>
      </c>
      <c r="AC95" s="318" t="str">
        <f>IF(X95=0,"INFINITOS",(Z95^4)/((X95^4)/2))</f>
        <v>INFINITOS</v>
      </c>
      <c r="AD95" s="323">
        <f t="shared" si="184"/>
        <v>-2.0599260832608798E-5</v>
      </c>
      <c r="AE95" s="319" t="str">
        <f t="shared" si="185"/>
        <v>Reprov</v>
      </c>
    </row>
    <row r="96" spans="1:31" x14ac:dyDescent="0.25">
      <c r="A96" s="67">
        <v>10</v>
      </c>
      <c r="B96" s="152">
        <v>1.8999367</v>
      </c>
      <c r="C96" s="312">
        <v>1000000</v>
      </c>
      <c r="D96" s="314" t="s">
        <v>61</v>
      </c>
      <c r="E96" s="324"/>
      <c r="F96" s="324"/>
      <c r="G96" s="324"/>
      <c r="H96" s="308">
        <f t="shared" si="172"/>
        <v>0</v>
      </c>
      <c r="I96" s="311">
        <f>B96-(B96*0.04%+A96*0.001%)</f>
        <v>1.89907672532</v>
      </c>
      <c r="J96" s="311">
        <f>B96+(B96*0.04%+B96*0.001%)</f>
        <v>1.9007156740469999</v>
      </c>
      <c r="K96" s="71">
        <f t="shared" si="173"/>
        <v>0</v>
      </c>
      <c r="L96" s="80">
        <f>SQRT(((0.00000005)/SQRT(3))^2+((0.000021*B96)/2)^2+(0.000013/2)^2)</f>
        <v>2.0981582739157047E-5</v>
      </c>
      <c r="M96" s="315">
        <f>SQRT(K96^2+(0.0000005/SQRT(3))^2)</f>
        <v>2.8867513459481289E-7</v>
      </c>
      <c r="N96" s="325">
        <f t="shared" si="174"/>
        <v>2.0983568513802087E-5</v>
      </c>
      <c r="O96" s="317">
        <f t="shared" si="175"/>
        <v>2</v>
      </c>
      <c r="P96" s="315">
        <f t="shared" si="176"/>
        <v>4.1967137027604175E-5</v>
      </c>
      <c r="Q96" s="315" t="str">
        <f t="shared" si="177"/>
        <v>INFINITOS</v>
      </c>
      <c r="R96" s="318">
        <f t="shared" si="178"/>
        <v>-4.1967137027604175E-5</v>
      </c>
      <c r="S96" s="319" t="str">
        <f t="shared" si="179"/>
        <v>Reprov</v>
      </c>
      <c r="T96" s="326"/>
      <c r="U96" s="326"/>
      <c r="V96" s="326"/>
      <c r="W96" s="320">
        <f t="shared" si="180"/>
        <v>0</v>
      </c>
      <c r="X96" s="315">
        <f t="shared" si="186"/>
        <v>0</v>
      </c>
      <c r="Y96" s="315">
        <f>SQRT(X96^2+(0.0000005/SQRT(3))^2)</f>
        <v>2.8867513459481289E-7</v>
      </c>
      <c r="Z96" s="321">
        <f t="shared" si="181"/>
        <v>2.0983568513802087E-5</v>
      </c>
      <c r="AA96" s="322">
        <f t="shared" si="182"/>
        <v>2</v>
      </c>
      <c r="AB96" s="315">
        <f t="shared" si="183"/>
        <v>4.1967137027604175E-5</v>
      </c>
      <c r="AC96" s="318" t="str">
        <f>IF(X96=0,"INFINITOS",(Z96^4)/((X96^4)/2))</f>
        <v>INFINITOS</v>
      </c>
      <c r="AD96" s="323">
        <f t="shared" si="184"/>
        <v>-4.1967137027604175E-5</v>
      </c>
      <c r="AE96" s="319" t="str">
        <f t="shared" si="185"/>
        <v>Reprov</v>
      </c>
    </row>
    <row r="97" spans="1:31" ht="15.75" thickBot="1" x14ac:dyDescent="0.3">
      <c r="A97" s="67">
        <v>10</v>
      </c>
      <c r="B97" s="312">
        <v>9.9994490000000003</v>
      </c>
      <c r="C97" s="312">
        <v>1000000</v>
      </c>
      <c r="D97" s="314" t="s">
        <v>61</v>
      </c>
      <c r="E97" s="324"/>
      <c r="F97" s="324"/>
      <c r="G97" s="324"/>
      <c r="H97" s="308">
        <f t="shared" si="172"/>
        <v>0</v>
      </c>
      <c r="I97" s="115">
        <f>B97-(B97*0.04%+A97*0.001%)</f>
        <v>9.9953492203999996</v>
      </c>
      <c r="J97" s="115">
        <f>B97+(B97*0.04%+B97*0.001%)</f>
        <v>10.00354877409</v>
      </c>
      <c r="K97" s="327">
        <f t="shared" si="173"/>
        <v>0</v>
      </c>
      <c r="L97" s="315">
        <f>SQRT(((0.0000005)/SQRT(3))^2+((0.00004*B97)/2)^2+(0.00012/2)^2)</f>
        <v>2.0879577451369494E-4</v>
      </c>
      <c r="M97" s="315">
        <f>SQRT(K97^2+(0.000005/SQRT(3))^2)</f>
        <v>2.8867513459481293E-6</v>
      </c>
      <c r="N97" s="325">
        <f t="shared" si="174"/>
        <v>2.0881572926412196E-4</v>
      </c>
      <c r="O97" s="317">
        <f t="shared" si="175"/>
        <v>2.0129999999999999</v>
      </c>
      <c r="P97" s="315">
        <f t="shared" si="176"/>
        <v>4.2034606300867748E-4</v>
      </c>
      <c r="Q97" s="315">
        <f>(N97^4)/(((K97^4)/2)+(0.00012^4/49))</f>
        <v>449.28708303082885</v>
      </c>
      <c r="R97" s="318">
        <f t="shared" si="178"/>
        <v>-4.2034606300867748E-4</v>
      </c>
      <c r="S97" s="319" t="str">
        <f t="shared" si="179"/>
        <v>Reprov</v>
      </c>
      <c r="T97" s="326"/>
      <c r="U97" s="326"/>
      <c r="V97" s="326"/>
      <c r="W97" s="320">
        <f t="shared" si="180"/>
        <v>0</v>
      </c>
      <c r="X97" s="315">
        <f t="shared" si="186"/>
        <v>0</v>
      </c>
      <c r="Y97" s="315">
        <f>SQRT(X97^2+(0.000005/SQRT(3))^2)</f>
        <v>2.8867513459481293E-6</v>
      </c>
      <c r="Z97" s="321">
        <f t="shared" si="181"/>
        <v>2.0881572926412196E-4</v>
      </c>
      <c r="AA97" s="322">
        <f t="shared" si="182"/>
        <v>2.0129999999999999</v>
      </c>
      <c r="AB97" s="315">
        <f t="shared" si="183"/>
        <v>4.2034606300867748E-4</v>
      </c>
      <c r="AC97" s="318">
        <f>(Z97^4)/(((X97^4)/2)+(0.00012^4/49))</f>
        <v>449.28708303082885</v>
      </c>
      <c r="AD97" s="323">
        <f t="shared" si="184"/>
        <v>-4.2034606300867748E-4</v>
      </c>
      <c r="AE97" s="319" t="str">
        <f t="shared" si="185"/>
        <v>Reprov</v>
      </c>
    </row>
    <row r="98" spans="1:31" ht="15.75" thickBot="1" x14ac:dyDescent="0.3">
      <c r="A98" s="284"/>
      <c r="B98" s="285"/>
      <c r="C98" s="285"/>
      <c r="D98" s="286"/>
      <c r="E98" s="287"/>
      <c r="F98" s="287"/>
      <c r="G98" s="287"/>
      <c r="H98" s="288"/>
      <c r="I98" s="289"/>
      <c r="J98" s="289"/>
      <c r="K98" s="290"/>
      <c r="L98" s="291"/>
      <c r="M98" s="291"/>
      <c r="N98" s="292"/>
      <c r="O98" s="293"/>
      <c r="P98" s="291"/>
      <c r="Q98" s="291"/>
      <c r="R98" s="294"/>
      <c r="S98" s="295"/>
      <c r="T98" s="287"/>
      <c r="U98" s="287"/>
      <c r="V98" s="287"/>
      <c r="W98" s="296"/>
      <c r="X98" s="291"/>
      <c r="Y98" s="291"/>
      <c r="Z98" s="297"/>
      <c r="AA98" s="298"/>
      <c r="AB98" s="291"/>
      <c r="AC98" s="294"/>
      <c r="AD98" s="294"/>
      <c r="AE98" s="299"/>
    </row>
    <row r="99" spans="1:31" ht="16.5" thickBot="1" x14ac:dyDescent="0.3">
      <c r="A99" s="451" t="s">
        <v>56</v>
      </c>
      <c r="B99" s="435" t="s">
        <v>49</v>
      </c>
      <c r="C99" s="435"/>
      <c r="D99" s="436"/>
      <c r="E99" s="429" t="s">
        <v>62</v>
      </c>
      <c r="F99" s="430"/>
      <c r="G99" s="431"/>
      <c r="H99" s="403" t="s">
        <v>23</v>
      </c>
      <c r="I99" s="453" t="s">
        <v>24</v>
      </c>
      <c r="J99" s="493" t="s">
        <v>25</v>
      </c>
      <c r="K99" s="437" t="s">
        <v>26</v>
      </c>
      <c r="L99" s="438" t="s">
        <v>27</v>
      </c>
      <c r="M99" s="438" t="s">
        <v>28</v>
      </c>
      <c r="N99" s="438" t="s">
        <v>29</v>
      </c>
      <c r="O99" s="438" t="s">
        <v>30</v>
      </c>
      <c r="P99" s="469" t="s">
        <v>31</v>
      </c>
      <c r="Q99" s="469" t="s">
        <v>32</v>
      </c>
      <c r="R99" s="469" t="s">
        <v>33</v>
      </c>
      <c r="S99" s="383" t="s">
        <v>34</v>
      </c>
      <c r="T99" s="429" t="s">
        <v>58</v>
      </c>
      <c r="U99" s="430"/>
      <c r="V99" s="431"/>
      <c r="W99" s="403" t="s">
        <v>23</v>
      </c>
      <c r="X99" s="492" t="s">
        <v>26</v>
      </c>
      <c r="Y99" s="438" t="s">
        <v>28</v>
      </c>
      <c r="Z99" s="438" t="s">
        <v>29</v>
      </c>
      <c r="AA99" s="438" t="s">
        <v>30</v>
      </c>
      <c r="AB99" s="469" t="s">
        <v>31</v>
      </c>
      <c r="AC99" s="469" t="s">
        <v>32</v>
      </c>
      <c r="AD99" s="469" t="s">
        <v>33</v>
      </c>
      <c r="AE99" s="383" t="s">
        <v>34</v>
      </c>
    </row>
    <row r="100" spans="1:31" ht="15.75" thickBot="1" x14ac:dyDescent="0.3">
      <c r="A100" s="452"/>
      <c r="B100" s="364"/>
      <c r="C100" s="364"/>
      <c r="D100" s="364"/>
      <c r="E100" s="328" t="s">
        <v>36</v>
      </c>
      <c r="F100" s="329" t="s">
        <v>37</v>
      </c>
      <c r="G100" s="330" t="s">
        <v>38</v>
      </c>
      <c r="H100" s="403"/>
      <c r="I100" s="420"/>
      <c r="J100" s="494"/>
      <c r="K100" s="421"/>
      <c r="L100" s="378"/>
      <c r="M100" s="378"/>
      <c r="N100" s="379"/>
      <c r="O100" s="381"/>
      <c r="P100" s="399"/>
      <c r="Q100" s="401"/>
      <c r="R100" s="399"/>
      <c r="S100" s="384"/>
      <c r="T100" s="328" t="s">
        <v>36</v>
      </c>
      <c r="U100" s="329" t="s">
        <v>37</v>
      </c>
      <c r="V100" s="330" t="s">
        <v>38</v>
      </c>
      <c r="W100" s="397"/>
      <c r="X100" s="413"/>
      <c r="Y100" s="378"/>
      <c r="Z100" s="379"/>
      <c r="AA100" s="381"/>
      <c r="AB100" s="399"/>
      <c r="AC100" s="401"/>
      <c r="AD100" s="399"/>
      <c r="AE100" s="384"/>
    </row>
    <row r="101" spans="1:31" ht="15.75" thickBot="1" x14ac:dyDescent="0.3">
      <c r="A101" s="331">
        <v>100</v>
      </c>
      <c r="B101" s="312">
        <v>100.00557999999999</v>
      </c>
      <c r="C101" s="312">
        <v>1000000</v>
      </c>
      <c r="D101" s="332" t="s">
        <v>61</v>
      </c>
      <c r="E101" s="259"/>
      <c r="F101" s="259"/>
      <c r="G101" s="333"/>
      <c r="H101" s="334">
        <f t="shared" ref="H101:H102" si="189">(E101+F101+G101)/3</f>
        <v>0</v>
      </c>
      <c r="I101" s="335">
        <f>B101-(B101*0.8%+A101*0.01%)</f>
        <v>99.195535359999994</v>
      </c>
      <c r="J101" s="336">
        <f>B101+(B101*0.8%+B101*0.01%)</f>
        <v>100.81562519799999</v>
      </c>
      <c r="K101" s="337">
        <f t="shared" ref="K101:K102" si="190">IF(SUM(E101:G101)=0,0,STDEV(E101:G101)/SQRT(3))</f>
        <v>0</v>
      </c>
      <c r="L101" s="315">
        <f>SQRT(((0.000005)/SQRT(3))^2+((0.000017*B101)/2)^2+(0.00084/2)^2)</f>
        <v>9.4815028691813317E-4</v>
      </c>
      <c r="M101" s="315">
        <f>SQRT(K101^2+(0.00005/SQRT(3))^2)</f>
        <v>2.8867513459481293E-5</v>
      </c>
      <c r="N101" s="325">
        <f t="shared" ref="N101" si="191">SQRT(L101^2+M101^2)</f>
        <v>9.4858963725958528E-4</v>
      </c>
      <c r="O101" s="317">
        <f t="shared" ref="O101:O102" si="192">IF(Q101&lt;=1.5,(13.968),IF(Q101&lt;=2.5,(4.527),IF(Q101&lt;=3.5,(3.307),IF(Q101&lt;=4.5,(2.869),IF(Q101&lt;=5.5,(2.649),IF(Q101&lt;=6.5,(2.517),IF(Q101&lt;=7.5,(2.429),IF(Q101&lt;=8.5,(2.2366),IF(Q101&lt;=9.5,(2.32),IF(Q101&lt;=10.5,(2.284),IF(Q101&lt;=11.5,(2.255),IF(Q101&lt;=12.5,(2.231),IF(Q101&lt;=13.5,(2.212),IF(Q101&lt;=14.5,(2.195),IF(Q101&lt;=15.5,(2.181),IF(Q101&lt;=16.5,(2.169),IF(Q101&lt;=17.5,(2.158),IF(Q101&lt;=18.5,(2.149),IF(Q101&lt;=19.5,(2.14),IF(Q101&lt;=22.5,(2.133),IF(Q101&lt;=27.5,(2.105),IF(Q101&lt;=32.5,(2.087),IF(Q101&lt;=37.5,(2.2074),IF(Q101&lt;=45,(2.064),IF(Q101&lt;=55,(2.051),IF(Q101&lt;=65,(2.043),IF(Q101&lt;=75,(2.036),IF(Q101&lt;=85,(2.032),IF(Q101&lt;=95,(2.028),IF(Q101&lt;=125,(2.025),IF(Q101&lt;=175,(2.017),IF(Q101&lt;=500,(2.013),IF(Q101&lt;=1200,(2.003),(2))))))))))))))))))))))))))))))))))</f>
        <v>2</v>
      </c>
      <c r="P101" s="315">
        <f t="shared" ref="P101" si="193">N101*O101</f>
        <v>1.8971792745191706E-3</v>
      </c>
      <c r="Q101" s="315" t="str">
        <f t="shared" ref="Q101:Q102" si="194">IF(K101=0,"INFINITOS",(N101^4)/((K101^4)/2))</f>
        <v>INFINITOS</v>
      </c>
      <c r="R101" s="338">
        <f t="shared" ref="R101:R102" si="195">IF(H101&lt;=B101,H101-P101,H101+P101)</f>
        <v>-1.8971792745191706E-3</v>
      </c>
      <c r="S101" s="110" t="str">
        <f t="shared" ref="S101:S102" si="196">IF(I101&lt;R101,IF(R101&lt;J101,"A","Reprov"),"Reprov")</f>
        <v>Reprov</v>
      </c>
      <c r="T101" s="182"/>
      <c r="U101" s="182"/>
      <c r="V101" s="182"/>
      <c r="W101" s="104">
        <f t="shared" ref="W101:W102" si="197">(T101+U101+V101)/3</f>
        <v>0</v>
      </c>
      <c r="X101" s="105">
        <f t="shared" ref="X101:X102" si="198">IF(SUM(T101:V101)=0,0,STDEV(T101:V101)/SQRT(3))</f>
        <v>0</v>
      </c>
      <c r="Y101" s="105">
        <f>SQRT(X101^2+(0.00005/SQRT(3))^2)</f>
        <v>2.8867513459481293E-5</v>
      </c>
      <c r="Z101" s="106">
        <f t="shared" ref="Z101:Z102" si="199">SQRT(L101^2+Y101^2)</f>
        <v>9.4858963725958528E-4</v>
      </c>
      <c r="AA101" s="107">
        <f t="shared" ref="AA101:AA102" si="200">IF(AC101&lt;=1.5,(13.968),IF(AC101&lt;=2.5,(4.527),IF(AC101&lt;=3.5,(3.307),IF(AC101&lt;=4.5,(2.869),IF(AC101&lt;=5.5,(2.649),IF(AC101&lt;=6.5,(2.517),IF(AC101&lt;=7.5,(2.429),IF(AC101&lt;=8.5,(2.2366),IF(AC101&lt;=9.5,(2.32),IF(AC101&lt;=10.5,(2.284),IF(AC101&lt;=11.5,(2.255),IF(AC101&lt;=12.5,(2.231),IF(AC101&lt;=13.5,(2.212),IF(AC101&lt;=14.5,(2.195),IF(AC101&lt;=15.5,(2.181),IF(AC101&lt;=16.5,(2.169),IF(AC101&lt;=17.5,(2.158),IF(AC101&lt;=18.5,(2.149),IF(AC101&lt;=19.5,(2.14),IF(AC101&lt;=22.5,(2.133),IF(AC101&lt;=27.5,(2.105),IF(AC101&lt;=32.5,(2.087),IF(AC101&lt;=37.5,(2.2074),IF(AC101&lt;=45,(2.064),IF(AC101&lt;=55,(2.051),IF(AC101&lt;=65,(2.043),IF(AC101&lt;=75,(2.036),IF(AC101&lt;=85,(2.032),IF(AC101&lt;=95,(2.028),IF(AC101&lt;=125,(2.025),IF(AC101&lt;=175,(2.017),IF(AC101&lt;=500,(2.013),IF(AC101&lt;=1200,(2.003),(2))))))))))))))))))))))))))))))))))</f>
        <v>2</v>
      </c>
      <c r="AB101" s="105">
        <f t="shared" ref="AB101:AB102" si="201">AA101*Z101</f>
        <v>1.8971792745191706E-3</v>
      </c>
      <c r="AC101" s="338" t="str">
        <f>IF(X101=0,"INFINITOS",(Z101^4)/((X101^4)/2))</f>
        <v>INFINITOS</v>
      </c>
      <c r="AD101" s="109">
        <f t="shared" ref="AD101:AD102" si="202">IF(W101&lt;=B101,W101-AB101,W101+AB101)</f>
        <v>-1.8971792745191706E-3</v>
      </c>
      <c r="AE101" s="110" t="str">
        <f t="shared" ref="AE101:AE102" si="203">IF(I101&lt;AD101,IF(AD101&lt;J101,"A","Reprov"),"Reprov")</f>
        <v>Reprov</v>
      </c>
    </row>
    <row r="102" spans="1:31" ht="15.75" thickBot="1" x14ac:dyDescent="0.3">
      <c r="A102" s="92">
        <v>1</v>
      </c>
      <c r="B102" s="339">
        <v>0.1</v>
      </c>
      <c r="C102" s="340">
        <v>1000000</v>
      </c>
      <c r="D102" s="341" t="s">
        <v>63</v>
      </c>
      <c r="E102" s="342"/>
      <c r="F102" s="342"/>
      <c r="G102" s="343"/>
      <c r="H102" s="344">
        <f t="shared" si="189"/>
        <v>0</v>
      </c>
      <c r="I102" s="345">
        <f>B102-(B102*0.8%+A102*0.01%)</f>
        <v>9.9100000000000008E-2</v>
      </c>
      <c r="J102" s="346">
        <f>B102+(B102*0.8%+B102*0.01%)</f>
        <v>0.10081000000000001</v>
      </c>
      <c r="K102" s="347">
        <f t="shared" si="190"/>
        <v>0</v>
      </c>
      <c r="L102" s="315">
        <f>SQRT(((0.000005)/SQRT(3))^2+((0.000017*B102)/2)^2+(0.00084/2)^2)</f>
        <v>4.2001078061560911E-4</v>
      </c>
      <c r="M102" s="185">
        <f>SQRT(K102^2+(0.00005/SQRT(3))^2)</f>
        <v>2.8867513459481293E-5</v>
      </c>
      <c r="N102" s="348">
        <f>SQRT(L102^2+M102^2)</f>
        <v>4.2100164983841409E-4</v>
      </c>
      <c r="O102" s="349">
        <f t="shared" si="192"/>
        <v>2</v>
      </c>
      <c r="P102" s="185">
        <f>N102*O102/1000</f>
        <v>8.4200329967682819E-7</v>
      </c>
      <c r="Q102" s="185" t="str">
        <f t="shared" si="194"/>
        <v>INFINITOS</v>
      </c>
      <c r="R102" s="338">
        <f t="shared" si="195"/>
        <v>-8.4200329967682819E-7</v>
      </c>
      <c r="S102" s="110" t="str">
        <f t="shared" si="196"/>
        <v>Reprov</v>
      </c>
      <c r="T102" s="95"/>
      <c r="U102" s="95"/>
      <c r="V102" s="95"/>
      <c r="W102" s="104">
        <f t="shared" si="197"/>
        <v>0</v>
      </c>
      <c r="X102" s="105">
        <f t="shared" si="198"/>
        <v>0</v>
      </c>
      <c r="Y102" s="105">
        <f>SQRT(X102^2+(0.00005/SQRT(3))^2)</f>
        <v>2.8867513459481293E-5</v>
      </c>
      <c r="Z102" s="106">
        <f t="shared" si="199"/>
        <v>4.2100164983841409E-4</v>
      </c>
      <c r="AA102" s="107">
        <f t="shared" si="200"/>
        <v>2</v>
      </c>
      <c r="AB102" s="105">
        <f t="shared" si="201"/>
        <v>8.4200329967682819E-4</v>
      </c>
      <c r="AC102" s="338" t="str">
        <f>IF(X102=0,"INFINITOS",(Z102^4)/((X102^4)/2))</f>
        <v>INFINITOS</v>
      </c>
      <c r="AD102" s="109">
        <f t="shared" si="202"/>
        <v>-8.4200329967682819E-4</v>
      </c>
      <c r="AE102" s="110" t="str">
        <f t="shared" si="203"/>
        <v>Reprov</v>
      </c>
    </row>
    <row r="103" spans="1:31" ht="15.75" thickBot="1" x14ac:dyDescent="0.3">
      <c r="A103" s="470"/>
      <c r="B103" s="471"/>
      <c r="C103" s="471"/>
      <c r="D103" s="471"/>
      <c r="E103" s="471"/>
      <c r="F103" s="471"/>
      <c r="G103" s="471"/>
      <c r="H103" s="472"/>
      <c r="I103" s="472"/>
      <c r="J103" s="472"/>
      <c r="K103" s="471"/>
      <c r="L103" s="471"/>
      <c r="M103" s="471"/>
      <c r="N103" s="471"/>
      <c r="O103" s="471"/>
      <c r="P103" s="471"/>
      <c r="Q103" s="471"/>
      <c r="R103" s="471"/>
      <c r="S103" s="471"/>
      <c r="T103" s="471"/>
      <c r="U103" s="471"/>
      <c r="V103" s="471"/>
      <c r="W103" s="471"/>
      <c r="X103" s="471"/>
      <c r="Y103" s="471"/>
      <c r="Z103" s="471"/>
      <c r="AA103" s="471"/>
      <c r="AB103" s="471"/>
      <c r="AC103" s="471"/>
      <c r="AD103" s="471"/>
      <c r="AE103" s="473"/>
    </row>
    <row r="104" spans="1:31" x14ac:dyDescent="0.25">
      <c r="A104" s="439" t="s">
        <v>64</v>
      </c>
      <c r="B104" s="440"/>
      <c r="C104" s="440"/>
      <c r="D104" s="440"/>
      <c r="E104" s="441"/>
      <c r="F104" s="477"/>
      <c r="G104" s="478"/>
      <c r="H104" s="478"/>
      <c r="I104" s="478"/>
      <c r="J104" s="478"/>
      <c r="K104" s="478"/>
      <c r="L104" s="478"/>
      <c r="M104" s="478"/>
      <c r="N104" s="478"/>
      <c r="O104" s="478"/>
      <c r="P104" s="478"/>
      <c r="Q104" s="478"/>
      <c r="R104" s="478"/>
      <c r="S104" s="478"/>
      <c r="T104" s="478"/>
      <c r="U104" s="478"/>
      <c r="V104" s="478"/>
      <c r="W104" s="478"/>
      <c r="X104" s="478"/>
      <c r="Y104" s="478"/>
      <c r="Z104" s="478"/>
      <c r="AA104" s="478"/>
      <c r="AB104" s="478"/>
      <c r="AC104" s="478"/>
      <c r="AD104" s="478"/>
      <c r="AE104" s="479"/>
    </row>
    <row r="105" spans="1:31" x14ac:dyDescent="0.25">
      <c r="A105" s="474"/>
      <c r="B105" s="475"/>
      <c r="C105" s="475"/>
      <c r="D105" s="475"/>
      <c r="E105" s="476"/>
      <c r="F105" s="480"/>
      <c r="G105" s="481"/>
      <c r="H105" s="481"/>
      <c r="I105" s="481"/>
      <c r="J105" s="481"/>
      <c r="K105" s="481"/>
      <c r="L105" s="481"/>
      <c r="M105" s="481"/>
      <c r="N105" s="481"/>
      <c r="O105" s="481"/>
      <c r="P105" s="481"/>
      <c r="Q105" s="481"/>
      <c r="R105" s="481"/>
      <c r="S105" s="481"/>
      <c r="T105" s="481"/>
      <c r="U105" s="481"/>
      <c r="V105" s="481"/>
      <c r="W105" s="481"/>
      <c r="X105" s="481"/>
      <c r="Y105" s="481"/>
      <c r="Z105" s="481"/>
      <c r="AA105" s="481"/>
      <c r="AB105" s="481"/>
      <c r="AC105" s="481"/>
      <c r="AD105" s="481"/>
      <c r="AE105" s="482"/>
    </row>
    <row r="106" spans="1:31" ht="15.75" thickBot="1" x14ac:dyDescent="0.3">
      <c r="A106" s="442"/>
      <c r="B106" s="443"/>
      <c r="C106" s="443"/>
      <c r="D106" s="443"/>
      <c r="E106" s="444"/>
      <c r="F106" s="483"/>
      <c r="G106" s="484"/>
      <c r="H106" s="484"/>
      <c r="I106" s="484"/>
      <c r="J106" s="484"/>
      <c r="K106" s="484"/>
      <c r="L106" s="484"/>
      <c r="M106" s="484"/>
      <c r="N106" s="484"/>
      <c r="O106" s="484"/>
      <c r="P106" s="484"/>
      <c r="Q106" s="484"/>
      <c r="R106" s="484"/>
      <c r="S106" s="484"/>
      <c r="T106" s="484"/>
      <c r="U106" s="484"/>
      <c r="V106" s="484"/>
      <c r="W106" s="484"/>
      <c r="X106" s="484"/>
      <c r="Y106" s="484"/>
      <c r="Z106" s="484"/>
      <c r="AA106" s="484"/>
      <c r="AB106" s="484"/>
      <c r="AC106" s="484"/>
      <c r="AD106" s="484"/>
      <c r="AE106" s="485"/>
    </row>
    <row r="107" spans="1:31" x14ac:dyDescent="0.25">
      <c r="A107" s="439" t="s">
        <v>65</v>
      </c>
      <c r="B107" s="440"/>
      <c r="C107" s="440"/>
      <c r="D107" s="440"/>
      <c r="E107" s="441"/>
      <c r="F107" s="486"/>
      <c r="G107" s="487"/>
      <c r="H107" s="487"/>
      <c r="I107" s="487"/>
      <c r="J107" s="487"/>
      <c r="K107" s="487"/>
      <c r="L107" s="487"/>
      <c r="M107" s="487"/>
      <c r="N107" s="487"/>
      <c r="O107" s="487"/>
      <c r="P107" s="487"/>
      <c r="Q107" s="487"/>
      <c r="R107" s="487"/>
      <c r="S107" s="487"/>
      <c r="T107" s="487"/>
      <c r="U107" s="487"/>
      <c r="V107" s="487"/>
      <c r="W107" s="487"/>
      <c r="X107" s="487"/>
      <c r="Y107" s="487"/>
      <c r="Z107" s="487"/>
      <c r="AA107" s="487"/>
      <c r="AB107" s="487"/>
      <c r="AC107" s="487"/>
      <c r="AD107" s="487"/>
      <c r="AE107" s="488"/>
    </row>
    <row r="108" spans="1:31" ht="15.75" thickBot="1" x14ac:dyDescent="0.3">
      <c r="A108" s="442"/>
      <c r="B108" s="443"/>
      <c r="C108" s="443"/>
      <c r="D108" s="443"/>
      <c r="E108" s="444"/>
      <c r="F108" s="489"/>
      <c r="G108" s="490"/>
      <c r="H108" s="490"/>
      <c r="I108" s="490"/>
      <c r="J108" s="490"/>
      <c r="K108" s="490"/>
      <c r="L108" s="490"/>
      <c r="M108" s="490"/>
      <c r="N108" s="490"/>
      <c r="O108" s="490"/>
      <c r="P108" s="490"/>
      <c r="Q108" s="490"/>
      <c r="R108" s="490"/>
      <c r="S108" s="490"/>
      <c r="T108" s="490"/>
      <c r="U108" s="490"/>
      <c r="V108" s="490"/>
      <c r="W108" s="490"/>
      <c r="X108" s="490"/>
      <c r="Y108" s="490"/>
      <c r="Z108" s="490"/>
      <c r="AA108" s="490"/>
      <c r="AB108" s="490"/>
      <c r="AC108" s="490"/>
      <c r="AD108" s="490"/>
      <c r="AE108" s="491"/>
    </row>
    <row r="109" spans="1:31" x14ac:dyDescent="0.25">
      <c r="A109" s="439" t="s">
        <v>66</v>
      </c>
      <c r="B109" s="440"/>
      <c r="C109" s="440"/>
      <c r="D109" s="440"/>
      <c r="E109" s="441"/>
      <c r="F109" s="445"/>
      <c r="G109" s="446"/>
      <c r="H109" s="446"/>
      <c r="I109" s="446"/>
      <c r="J109" s="446"/>
      <c r="K109" s="446"/>
      <c r="L109" s="446"/>
      <c r="M109" s="446"/>
      <c r="N109" s="446"/>
      <c r="O109" s="446"/>
      <c r="P109" s="446"/>
      <c r="Q109" s="446"/>
      <c r="R109" s="446"/>
      <c r="S109" s="446"/>
      <c r="T109" s="446"/>
      <c r="U109" s="446"/>
      <c r="V109" s="446"/>
      <c r="W109" s="446"/>
      <c r="X109" s="446"/>
      <c r="Y109" s="446"/>
      <c r="Z109" s="446"/>
      <c r="AA109" s="446"/>
      <c r="AB109" s="446"/>
      <c r="AC109" s="446"/>
      <c r="AD109" s="446"/>
      <c r="AE109" s="447"/>
    </row>
    <row r="110" spans="1:31" ht="15.75" thickBot="1" x14ac:dyDescent="0.3">
      <c r="A110" s="442"/>
      <c r="B110" s="443"/>
      <c r="C110" s="443"/>
      <c r="D110" s="443"/>
      <c r="E110" s="444"/>
      <c r="F110" s="448"/>
      <c r="G110" s="449"/>
      <c r="H110" s="449"/>
      <c r="I110" s="449"/>
      <c r="J110" s="449"/>
      <c r="K110" s="449"/>
      <c r="L110" s="449"/>
      <c r="M110" s="449"/>
      <c r="N110" s="449"/>
      <c r="O110" s="449"/>
      <c r="P110" s="449"/>
      <c r="Q110" s="449"/>
      <c r="R110" s="449"/>
      <c r="S110" s="449"/>
      <c r="T110" s="449"/>
      <c r="U110" s="449"/>
      <c r="V110" s="449"/>
      <c r="W110" s="449"/>
      <c r="X110" s="449"/>
      <c r="Y110" s="449"/>
      <c r="Z110" s="449"/>
      <c r="AA110" s="449"/>
      <c r="AB110" s="449"/>
      <c r="AC110" s="449"/>
      <c r="AD110" s="449"/>
      <c r="AE110" s="450"/>
    </row>
    <row r="111" spans="1:31" ht="15.75" thickBot="1" x14ac:dyDescent="0.3">
      <c r="A111" s="439" t="s">
        <v>67</v>
      </c>
      <c r="B111" s="440"/>
      <c r="C111" s="440"/>
      <c r="D111" s="440"/>
      <c r="E111" s="441"/>
      <c r="F111" s="454"/>
      <c r="G111" s="454"/>
      <c r="H111" s="454"/>
      <c r="I111" s="454"/>
      <c r="J111" s="454"/>
      <c r="K111" s="455" t="s">
        <v>68</v>
      </c>
      <c r="L111" s="455"/>
      <c r="M111" s="455"/>
      <c r="N111" s="463"/>
      <c r="O111" s="464"/>
      <c r="P111" s="464"/>
      <c r="Q111" s="464"/>
      <c r="R111" s="465"/>
      <c r="S111" s="456" t="s">
        <v>69</v>
      </c>
      <c r="T111" s="456"/>
      <c r="U111" s="456"/>
      <c r="V111" s="456"/>
      <c r="W111" s="457">
        <f>U1+365</f>
        <v>365</v>
      </c>
      <c r="X111" s="458"/>
      <c r="Y111" s="458"/>
      <c r="Z111" s="458"/>
      <c r="AA111" s="458"/>
      <c r="AB111" s="458"/>
      <c r="AC111" s="458"/>
      <c r="AD111" s="458"/>
      <c r="AE111" s="459"/>
    </row>
    <row r="112" spans="1:31" ht="15.75" thickBot="1" x14ac:dyDescent="0.3">
      <c r="A112" s="442"/>
      <c r="B112" s="443"/>
      <c r="C112" s="443"/>
      <c r="D112" s="443"/>
      <c r="E112" s="444"/>
      <c r="F112" s="454"/>
      <c r="G112" s="454"/>
      <c r="H112" s="454"/>
      <c r="I112" s="454"/>
      <c r="J112" s="454"/>
      <c r="K112" s="455"/>
      <c r="L112" s="455"/>
      <c r="M112" s="455"/>
      <c r="N112" s="466"/>
      <c r="O112" s="467"/>
      <c r="P112" s="467"/>
      <c r="Q112" s="467"/>
      <c r="R112" s="468"/>
      <c r="S112" s="456"/>
      <c r="T112" s="456"/>
      <c r="U112" s="456"/>
      <c r="V112" s="456"/>
      <c r="W112" s="460"/>
      <c r="X112" s="461"/>
      <c r="Y112" s="461"/>
      <c r="Z112" s="461"/>
      <c r="AA112" s="461"/>
      <c r="AB112" s="461"/>
      <c r="AC112" s="461"/>
      <c r="AD112" s="461"/>
      <c r="AE112" s="462"/>
    </row>
  </sheetData>
  <mergeCells count="309">
    <mergeCell ref="A111:E112"/>
    <mergeCell ref="F111:J112"/>
    <mergeCell ref="K111:M112"/>
    <mergeCell ref="S111:V112"/>
    <mergeCell ref="W111:AE112"/>
    <mergeCell ref="N111:R112"/>
    <mergeCell ref="AD99:AD100"/>
    <mergeCell ref="AE99:AE100"/>
    <mergeCell ref="A103:AE103"/>
    <mergeCell ref="A104:E106"/>
    <mergeCell ref="F104:AE106"/>
    <mergeCell ref="A107:E108"/>
    <mergeCell ref="F107:AE108"/>
    <mergeCell ref="X99:X100"/>
    <mergeCell ref="Y99:Y100"/>
    <mergeCell ref="Z99:Z100"/>
    <mergeCell ref="AA99:AA100"/>
    <mergeCell ref="AB99:AB100"/>
    <mergeCell ref="AC99:AC100"/>
    <mergeCell ref="P99:P100"/>
    <mergeCell ref="Q99:Q100"/>
    <mergeCell ref="R99:R100"/>
    <mergeCell ref="W99:W100"/>
    <mergeCell ref="J99:J100"/>
    <mergeCell ref="A109:E110"/>
    <mergeCell ref="F109:AE110"/>
    <mergeCell ref="AA87:AA88"/>
    <mergeCell ref="AB87:AB88"/>
    <mergeCell ref="AC87:AC88"/>
    <mergeCell ref="AD87:AD88"/>
    <mergeCell ref="AE87:AE88"/>
    <mergeCell ref="A99:A100"/>
    <mergeCell ref="B99:D100"/>
    <mergeCell ref="E99:G99"/>
    <mergeCell ref="H99:H100"/>
    <mergeCell ref="I99:I100"/>
    <mergeCell ref="S87:S88"/>
    <mergeCell ref="T87:V87"/>
    <mergeCell ref="W87:W88"/>
    <mergeCell ref="X87:X88"/>
    <mergeCell ref="Y87:Y88"/>
    <mergeCell ref="Z87:Z88"/>
    <mergeCell ref="M87:M88"/>
    <mergeCell ref="N87:N88"/>
    <mergeCell ref="O87:O88"/>
    <mergeCell ref="P87:P88"/>
    <mergeCell ref="Q87:Q88"/>
    <mergeCell ref="R87:R88"/>
    <mergeCell ref="S99:S100"/>
    <mergeCell ref="T99:V99"/>
    <mergeCell ref="A87:A88"/>
    <mergeCell ref="B87:D88"/>
    <mergeCell ref="E87:G87"/>
    <mergeCell ref="H87:H88"/>
    <mergeCell ref="I87:I88"/>
    <mergeCell ref="J87:J88"/>
    <mergeCell ref="K87:K88"/>
    <mergeCell ref="L87:L88"/>
    <mergeCell ref="K99:K100"/>
    <mergeCell ref="L99:L100"/>
    <mergeCell ref="M99:M100"/>
    <mergeCell ref="N99:N100"/>
    <mergeCell ref="O99:O100"/>
    <mergeCell ref="X82:X83"/>
    <mergeCell ref="P82:P83"/>
    <mergeCell ref="Q82:Q83"/>
    <mergeCell ref="R82:R83"/>
    <mergeCell ref="S82:S83"/>
    <mergeCell ref="T82:V82"/>
    <mergeCell ref="W82:W83"/>
    <mergeCell ref="J82:J83"/>
    <mergeCell ref="K82:K83"/>
    <mergeCell ref="AA77:AA78"/>
    <mergeCell ref="AB77:AB78"/>
    <mergeCell ref="AC77:AC78"/>
    <mergeCell ref="AD77:AD78"/>
    <mergeCell ref="AE77:AE78"/>
    <mergeCell ref="Y77:Y78"/>
    <mergeCell ref="Z77:Z78"/>
    <mergeCell ref="AD82:AD83"/>
    <mergeCell ref="AE82:AE83"/>
    <mergeCell ref="Y82:Y83"/>
    <mergeCell ref="Z82:Z83"/>
    <mergeCell ref="AA82:AA83"/>
    <mergeCell ref="AB82:AB83"/>
    <mergeCell ref="AC82:AC83"/>
    <mergeCell ref="A82:A83"/>
    <mergeCell ref="B82:D83"/>
    <mergeCell ref="E82:G82"/>
    <mergeCell ref="H82:H83"/>
    <mergeCell ref="I82:I83"/>
    <mergeCell ref="S77:S78"/>
    <mergeCell ref="T77:V77"/>
    <mergeCell ref="W77:W78"/>
    <mergeCell ref="X77:X78"/>
    <mergeCell ref="M77:M78"/>
    <mergeCell ref="N77:N78"/>
    <mergeCell ref="O77:O78"/>
    <mergeCell ref="P77:P78"/>
    <mergeCell ref="Q77:Q78"/>
    <mergeCell ref="R77:R78"/>
    <mergeCell ref="L82:L83"/>
    <mergeCell ref="M82:M83"/>
    <mergeCell ref="N82:N83"/>
    <mergeCell ref="O82:O83"/>
    <mergeCell ref="A77:A78"/>
    <mergeCell ref="B77:D78"/>
    <mergeCell ref="E77:G77"/>
    <mergeCell ref="H77:H78"/>
    <mergeCell ref="I77:I78"/>
    <mergeCell ref="J77:J78"/>
    <mergeCell ref="K77:K78"/>
    <mergeCell ref="L77:L78"/>
    <mergeCell ref="X68:X69"/>
    <mergeCell ref="P68:P69"/>
    <mergeCell ref="Q68:Q69"/>
    <mergeCell ref="R68:R69"/>
    <mergeCell ref="S68:S69"/>
    <mergeCell ref="T68:V68"/>
    <mergeCell ref="W68:W69"/>
    <mergeCell ref="J68:J69"/>
    <mergeCell ref="K68:K69"/>
    <mergeCell ref="AA57:AA58"/>
    <mergeCell ref="AB57:AB58"/>
    <mergeCell ref="AC57:AC58"/>
    <mergeCell ref="AD57:AD58"/>
    <mergeCell ref="AE57:AE58"/>
    <mergeCell ref="Y57:Y58"/>
    <mergeCell ref="Z57:Z58"/>
    <mergeCell ref="AD68:AD69"/>
    <mergeCell ref="AE68:AE69"/>
    <mergeCell ref="Y68:Y69"/>
    <mergeCell ref="Z68:Z69"/>
    <mergeCell ref="AA68:AA69"/>
    <mergeCell ref="AB68:AB69"/>
    <mergeCell ref="AC68:AC69"/>
    <mergeCell ref="A68:A69"/>
    <mergeCell ref="B68:D69"/>
    <mergeCell ref="E68:G68"/>
    <mergeCell ref="H68:H69"/>
    <mergeCell ref="I68:I69"/>
    <mergeCell ref="S57:S58"/>
    <mergeCell ref="T57:V57"/>
    <mergeCell ref="W57:W58"/>
    <mergeCell ref="X57:X58"/>
    <mergeCell ref="M57:M58"/>
    <mergeCell ref="N57:N58"/>
    <mergeCell ref="O57:O58"/>
    <mergeCell ref="P57:P58"/>
    <mergeCell ref="Q57:Q58"/>
    <mergeCell ref="R57:R58"/>
    <mergeCell ref="L68:L69"/>
    <mergeCell ref="M68:M69"/>
    <mergeCell ref="N68:N69"/>
    <mergeCell ref="O68:O69"/>
    <mergeCell ref="A57:A58"/>
    <mergeCell ref="B57:D58"/>
    <mergeCell ref="E57:G57"/>
    <mergeCell ref="H57:H58"/>
    <mergeCell ref="I57:I58"/>
    <mergeCell ref="J57:J58"/>
    <mergeCell ref="K57:K58"/>
    <mergeCell ref="L57:L58"/>
    <mergeCell ref="X53:X54"/>
    <mergeCell ref="P53:P54"/>
    <mergeCell ref="Q53:Q54"/>
    <mergeCell ref="R53:R54"/>
    <mergeCell ref="S53:S54"/>
    <mergeCell ref="T53:V53"/>
    <mergeCell ref="W53:W54"/>
    <mergeCell ref="J53:J54"/>
    <mergeCell ref="K53:K54"/>
    <mergeCell ref="AA44:AA45"/>
    <mergeCell ref="AB44:AB45"/>
    <mergeCell ref="AC44:AC45"/>
    <mergeCell ref="AD44:AD45"/>
    <mergeCell ref="AE44:AE45"/>
    <mergeCell ref="Y44:Y45"/>
    <mergeCell ref="Z44:Z45"/>
    <mergeCell ref="AD53:AD54"/>
    <mergeCell ref="AE53:AE54"/>
    <mergeCell ref="Y53:Y54"/>
    <mergeCell ref="Z53:Z54"/>
    <mergeCell ref="AA53:AA54"/>
    <mergeCell ref="AB53:AB54"/>
    <mergeCell ref="AC53:AC54"/>
    <mergeCell ref="A53:A54"/>
    <mergeCell ref="B53:D54"/>
    <mergeCell ref="E53:G53"/>
    <mergeCell ref="H53:H54"/>
    <mergeCell ref="I53:I54"/>
    <mergeCell ref="S44:S45"/>
    <mergeCell ref="T44:V44"/>
    <mergeCell ref="W44:W45"/>
    <mergeCell ref="X44:X45"/>
    <mergeCell ref="M44:M45"/>
    <mergeCell ref="N44:N45"/>
    <mergeCell ref="O44:O45"/>
    <mergeCell ref="P44:P45"/>
    <mergeCell ref="Q44:Q45"/>
    <mergeCell ref="R44:R45"/>
    <mergeCell ref="L53:L54"/>
    <mergeCell ref="M53:M54"/>
    <mergeCell ref="N53:N54"/>
    <mergeCell ref="O53:O54"/>
    <mergeCell ref="A44:A45"/>
    <mergeCell ref="B44:D45"/>
    <mergeCell ref="E44:G44"/>
    <mergeCell ref="H44:H45"/>
    <mergeCell ref="I44:I45"/>
    <mergeCell ref="J44:J45"/>
    <mergeCell ref="K44:K45"/>
    <mergeCell ref="L44:L45"/>
    <mergeCell ref="X34:X35"/>
    <mergeCell ref="P34:P35"/>
    <mergeCell ref="Q34:Q35"/>
    <mergeCell ref="R34:R35"/>
    <mergeCell ref="S34:S35"/>
    <mergeCell ref="T34:V34"/>
    <mergeCell ref="W34:W35"/>
    <mergeCell ref="J34:J35"/>
    <mergeCell ref="K34:K35"/>
    <mergeCell ref="AA24:AA25"/>
    <mergeCell ref="AB24:AB25"/>
    <mergeCell ref="AC24:AC25"/>
    <mergeCell ref="AD24:AD25"/>
    <mergeCell ref="AE24:AE25"/>
    <mergeCell ref="Y24:Y25"/>
    <mergeCell ref="Z24:Z25"/>
    <mergeCell ref="AD34:AD35"/>
    <mergeCell ref="AE34:AE35"/>
    <mergeCell ref="Y34:Y35"/>
    <mergeCell ref="Z34:Z35"/>
    <mergeCell ref="AA34:AA35"/>
    <mergeCell ref="AB34:AB35"/>
    <mergeCell ref="AC34:AC35"/>
    <mergeCell ref="A34:A35"/>
    <mergeCell ref="B34:D35"/>
    <mergeCell ref="E34:G34"/>
    <mergeCell ref="H34:H35"/>
    <mergeCell ref="I34:I35"/>
    <mergeCell ref="S24:S25"/>
    <mergeCell ref="T24:V24"/>
    <mergeCell ref="W24:W25"/>
    <mergeCell ref="X24:X25"/>
    <mergeCell ref="M24:M25"/>
    <mergeCell ref="N24:N25"/>
    <mergeCell ref="O24:O25"/>
    <mergeCell ref="P24:P25"/>
    <mergeCell ref="Q24:Q25"/>
    <mergeCell ref="R24:R25"/>
    <mergeCell ref="L34:L35"/>
    <mergeCell ref="M34:M35"/>
    <mergeCell ref="N34:N35"/>
    <mergeCell ref="O34:O35"/>
    <mergeCell ref="A24:A25"/>
    <mergeCell ref="B24:D25"/>
    <mergeCell ref="E24:G24"/>
    <mergeCell ref="H24:H25"/>
    <mergeCell ref="I24:I25"/>
    <mergeCell ref="J24:J25"/>
    <mergeCell ref="K24:K25"/>
    <mergeCell ref="L24:L25"/>
    <mergeCell ref="X13:X14"/>
    <mergeCell ref="P13:P14"/>
    <mergeCell ref="Q13:Q14"/>
    <mergeCell ref="R13:R14"/>
    <mergeCell ref="S13:S14"/>
    <mergeCell ref="T13:V13"/>
    <mergeCell ref="W13:W14"/>
    <mergeCell ref="J13:J14"/>
    <mergeCell ref="K13:K14"/>
    <mergeCell ref="A10:B10"/>
    <mergeCell ref="D10:E10"/>
    <mergeCell ref="F10:G10"/>
    <mergeCell ref="A13:A14"/>
    <mergeCell ref="B13:D14"/>
    <mergeCell ref="E13:G13"/>
    <mergeCell ref="H13:H14"/>
    <mergeCell ref="I13:I14"/>
    <mergeCell ref="AD13:AD14"/>
    <mergeCell ref="Y13:Y14"/>
    <mergeCell ref="Z13:Z14"/>
    <mergeCell ref="AA13:AA14"/>
    <mergeCell ref="AB13:AB14"/>
    <mergeCell ref="AC13:AC14"/>
    <mergeCell ref="Z5:AB5"/>
    <mergeCell ref="AC5:AE5"/>
    <mergeCell ref="K6:M6"/>
    <mergeCell ref="N6:P6"/>
    <mergeCell ref="Z6:AB6"/>
    <mergeCell ref="AC6:AE6"/>
    <mergeCell ref="L13:L14"/>
    <mergeCell ref="M13:M14"/>
    <mergeCell ref="N13:N14"/>
    <mergeCell ref="O13:O14"/>
    <mergeCell ref="I8:M8"/>
    <mergeCell ref="T8:AE12"/>
    <mergeCell ref="AE13:AE14"/>
    <mergeCell ref="A1:R2"/>
    <mergeCell ref="S1:T1"/>
    <mergeCell ref="U1:X1"/>
    <mergeCell ref="Y1:AB2"/>
    <mergeCell ref="AC1:AE2"/>
    <mergeCell ref="S2:T2"/>
    <mergeCell ref="U2:X2"/>
    <mergeCell ref="Z3:AE4"/>
    <mergeCell ref="K4:M4"/>
    <mergeCell ref="N4:P4"/>
  </mergeCells>
  <conditionalFormatting sqref="E15 E92:E96 E26:E31 E59:E62 E46:E50 E71:E73">
    <cfRule type="cellIs" dxfId="285" priority="215" stopIfTrue="1" operator="notBetween">
      <formula>$I15+N15</formula>
      <formula>$J15-N15</formula>
    </cfRule>
  </conditionalFormatting>
  <conditionalFormatting sqref="E19 E37 E40:E41 E63:E66 E21">
    <cfRule type="cellIs" dxfId="284" priority="216" stopIfTrue="1" operator="notBetween">
      <formula>$I19+N19</formula>
      <formula>$J19-N19</formula>
    </cfRule>
  </conditionalFormatting>
  <conditionalFormatting sqref="E22 E32 E42:E44">
    <cfRule type="cellIs" dxfId="283" priority="217" stopIfTrue="1" operator="notBetween">
      <formula>$I22+N22</formula>
      <formula>$J22-N22</formula>
    </cfRule>
  </conditionalFormatting>
  <conditionalFormatting sqref="E33 E52">
    <cfRule type="cellIs" dxfId="282" priority="218" stopIfTrue="1" operator="notBetween">
      <formula>$I33</formula>
      <formula>$J33</formula>
    </cfRule>
  </conditionalFormatting>
  <conditionalFormatting sqref="E36">
    <cfRule type="cellIs" dxfId="281" priority="219" stopIfTrue="1" operator="notBetween">
      <formula>$I36+N36</formula>
      <formula>$J36-N36</formula>
    </cfRule>
  </conditionalFormatting>
  <conditionalFormatting sqref="E55:E56">
    <cfRule type="cellIs" dxfId="280" priority="220" stopIfTrue="1" operator="notBetween">
      <formula>$I55+N55</formula>
      <formula>$J55-N55</formula>
    </cfRule>
  </conditionalFormatting>
  <conditionalFormatting sqref="E89:E91">
    <cfRule type="cellIs" dxfId="279" priority="221" stopIfTrue="1" operator="notBetween">
      <formula>$I89+N89</formula>
      <formula>$J89-N89</formula>
    </cfRule>
  </conditionalFormatting>
  <conditionalFormatting sqref="E67">
    <cfRule type="cellIs" dxfId="278" priority="222" stopIfTrue="1" operator="notBetween">
      <formula>$I67</formula>
      <formula>$J67</formula>
    </cfRule>
  </conditionalFormatting>
  <conditionalFormatting sqref="E86">
    <cfRule type="cellIs" dxfId="277" priority="223" stopIfTrue="1" operator="notBetween">
      <formula>$I86</formula>
      <formula>$J86</formula>
    </cfRule>
  </conditionalFormatting>
  <conditionalFormatting sqref="E97:E98">
    <cfRule type="cellIs" dxfId="276" priority="224" stopIfTrue="1" operator="notBetween">
      <formula>$I97+N97</formula>
      <formula>$J97-N97</formula>
    </cfRule>
  </conditionalFormatting>
  <conditionalFormatting sqref="F15 F92:F96 F26:F31 F59:F62 F46:F50 F71:F73">
    <cfRule type="expression" dxfId="275" priority="225" stopIfTrue="1">
      <formula>$E15=0</formula>
    </cfRule>
    <cfRule type="expression" dxfId="274" priority="226" stopIfTrue="1">
      <formula>$E15&lt;$I15+N15</formula>
    </cfRule>
    <cfRule type="expression" dxfId="273" priority="227" stopIfTrue="1">
      <formula>$E15&gt;$J15-N15</formula>
    </cfRule>
  </conditionalFormatting>
  <conditionalFormatting sqref="F19 F37 F40:F41 F63:F66 F21">
    <cfRule type="expression" dxfId="272" priority="228" stopIfTrue="1">
      <formula>$E19=0</formula>
    </cfRule>
    <cfRule type="expression" dxfId="271" priority="229" stopIfTrue="1">
      <formula>$E19&lt;$I19+N19</formula>
    </cfRule>
    <cfRule type="expression" dxfId="270" priority="230" stopIfTrue="1">
      <formula>$E19&gt;$J19-N19</formula>
    </cfRule>
  </conditionalFormatting>
  <conditionalFormatting sqref="F22 F32 F42:F44">
    <cfRule type="expression" dxfId="269" priority="231" stopIfTrue="1">
      <formula>$E22=0</formula>
    </cfRule>
    <cfRule type="expression" dxfId="268" priority="232" stopIfTrue="1">
      <formula>$E22&lt;$I22+N22</formula>
    </cfRule>
    <cfRule type="expression" dxfId="267" priority="233" stopIfTrue="1">
      <formula>$E22&gt;$J22-N22</formula>
    </cfRule>
  </conditionalFormatting>
  <conditionalFormatting sqref="F33:G33 F52:G52">
    <cfRule type="expression" dxfId="266" priority="234" stopIfTrue="1">
      <formula>$E33=0</formula>
    </cfRule>
    <cfRule type="expression" dxfId="265" priority="235" stopIfTrue="1">
      <formula>$E33&lt;$I33</formula>
    </cfRule>
    <cfRule type="expression" dxfId="264" priority="236" stopIfTrue="1">
      <formula>$E33&gt;$J33</formula>
    </cfRule>
  </conditionalFormatting>
  <conditionalFormatting sqref="F36">
    <cfRule type="expression" dxfId="263" priority="237" stopIfTrue="1">
      <formula>$E36=0</formula>
    </cfRule>
    <cfRule type="expression" dxfId="262" priority="238" stopIfTrue="1">
      <formula>$E36&lt;$I36+N36</formula>
    </cfRule>
    <cfRule type="expression" dxfId="261" priority="239" stopIfTrue="1">
      <formula>$E36&gt;$J36-N36</formula>
    </cfRule>
  </conditionalFormatting>
  <conditionalFormatting sqref="F55:F56">
    <cfRule type="expression" dxfId="260" priority="240" stopIfTrue="1">
      <formula>$E55=0</formula>
    </cfRule>
    <cfRule type="expression" dxfId="259" priority="241" stopIfTrue="1">
      <formula>$E55&lt;$I55+N55</formula>
    </cfRule>
    <cfRule type="expression" dxfId="258" priority="242" stopIfTrue="1">
      <formula>$E55&gt;$J55-N55</formula>
    </cfRule>
  </conditionalFormatting>
  <conditionalFormatting sqref="F89:F91">
    <cfRule type="expression" dxfId="257" priority="243" stopIfTrue="1">
      <formula>$E89=0</formula>
    </cfRule>
    <cfRule type="expression" dxfId="256" priority="244" stopIfTrue="1">
      <formula>$E89&lt;$I89+N89</formula>
    </cfRule>
    <cfRule type="expression" dxfId="255" priority="245" stopIfTrue="1">
      <formula>$E89&gt;$J89-N89</formula>
    </cfRule>
  </conditionalFormatting>
  <conditionalFormatting sqref="F67:G67">
    <cfRule type="expression" dxfId="254" priority="246" stopIfTrue="1">
      <formula>$E67=0</formula>
    </cfRule>
    <cfRule type="expression" dxfId="253" priority="247" stopIfTrue="1">
      <formula>$E67&lt;$I67</formula>
    </cfRule>
    <cfRule type="expression" dxfId="252" priority="248" stopIfTrue="1">
      <formula>$E67&gt;$J67</formula>
    </cfRule>
  </conditionalFormatting>
  <conditionalFormatting sqref="F86:G86">
    <cfRule type="expression" dxfId="251" priority="249" stopIfTrue="1">
      <formula>$E86=0</formula>
    </cfRule>
    <cfRule type="expression" dxfId="250" priority="250" stopIfTrue="1">
      <formula>$E86&lt;$I86</formula>
    </cfRule>
    <cfRule type="expression" dxfId="249" priority="251" stopIfTrue="1">
      <formula>$E86&gt;$J86</formula>
    </cfRule>
  </conditionalFormatting>
  <conditionalFormatting sqref="F97:F98">
    <cfRule type="expression" dxfId="248" priority="252" stopIfTrue="1">
      <formula>$E97=0</formula>
    </cfRule>
    <cfRule type="expression" dxfId="247" priority="253" stopIfTrue="1">
      <formula>$E97&lt;$I97+N97</formula>
    </cfRule>
    <cfRule type="expression" dxfId="246" priority="254" stopIfTrue="1">
      <formula>$E97&gt;$J97-N97</formula>
    </cfRule>
  </conditionalFormatting>
  <conditionalFormatting sqref="F104">
    <cfRule type="expression" dxfId="245" priority="255" stopIfTrue="1">
      <formula>$E104=0</formula>
    </cfRule>
    <cfRule type="expression" dxfId="244" priority="256" stopIfTrue="1">
      <formula>$E104&lt;$I104</formula>
    </cfRule>
    <cfRule type="expression" dxfId="243" priority="257" stopIfTrue="1">
      <formula>$E104&gt;$J104</formula>
    </cfRule>
  </conditionalFormatting>
  <conditionalFormatting sqref="F109">
    <cfRule type="expression" dxfId="242" priority="258" stopIfTrue="1">
      <formula>$E109=0</formula>
    </cfRule>
    <cfRule type="expression" dxfId="241" priority="259" stopIfTrue="1">
      <formula>$E109&lt;$I109</formula>
    </cfRule>
    <cfRule type="expression" dxfId="240" priority="260" stopIfTrue="1">
      <formula>$E109&gt;$J109</formula>
    </cfRule>
  </conditionalFormatting>
  <conditionalFormatting sqref="G15 G92:G96 G26:G31 G59:G62 G46:G50 G71:G73">
    <cfRule type="expression" dxfId="239" priority="261" stopIfTrue="1">
      <formula>$E15=0</formula>
    </cfRule>
    <cfRule type="expression" dxfId="238" priority="262" stopIfTrue="1">
      <formula>$E15&lt;$I15+N15</formula>
    </cfRule>
    <cfRule type="expression" dxfId="237" priority="263" stopIfTrue="1">
      <formula>$E15&gt;$J15-N15</formula>
    </cfRule>
  </conditionalFormatting>
  <conditionalFormatting sqref="G19 G37 G40:G41 G63:G66 G21">
    <cfRule type="expression" dxfId="236" priority="264" stopIfTrue="1">
      <formula>$E19=0</formula>
    </cfRule>
    <cfRule type="expression" dxfId="235" priority="265" stopIfTrue="1">
      <formula>$E19&lt;$I19+N19</formula>
    </cfRule>
    <cfRule type="expression" dxfId="234" priority="266" stopIfTrue="1">
      <formula>$E19&gt;$J19-N19</formula>
    </cfRule>
  </conditionalFormatting>
  <conditionalFormatting sqref="G22 G32 G42:G44">
    <cfRule type="expression" dxfId="233" priority="267" stopIfTrue="1">
      <formula>$E22=0</formula>
    </cfRule>
    <cfRule type="expression" dxfId="232" priority="268" stopIfTrue="1">
      <formula>$E22&lt;$I22+N22</formula>
    </cfRule>
    <cfRule type="expression" dxfId="231" priority="269" stopIfTrue="1">
      <formula>$E22&gt;$J22-N22</formula>
    </cfRule>
  </conditionalFormatting>
  <conditionalFormatting sqref="G36">
    <cfRule type="expression" dxfId="230" priority="270" stopIfTrue="1">
      <formula>$E36=0</formula>
    </cfRule>
    <cfRule type="expression" dxfId="229" priority="271" stopIfTrue="1">
      <formula>$E36&lt;$I36+N36</formula>
    </cfRule>
    <cfRule type="expression" dxfId="228" priority="272" stopIfTrue="1">
      <formula>$E36&gt;$J36-N36</formula>
    </cfRule>
  </conditionalFormatting>
  <conditionalFormatting sqref="G55:G56">
    <cfRule type="expression" dxfId="227" priority="273" stopIfTrue="1">
      <formula>$E55=0</formula>
    </cfRule>
    <cfRule type="expression" dxfId="226" priority="274" stopIfTrue="1">
      <formula>$E55&lt;$I55+N55</formula>
    </cfRule>
    <cfRule type="expression" dxfId="225" priority="275" stopIfTrue="1">
      <formula>$E55&gt;$J55-N55</formula>
    </cfRule>
  </conditionalFormatting>
  <conditionalFormatting sqref="G89:G91">
    <cfRule type="expression" dxfId="224" priority="276" stopIfTrue="1">
      <formula>$E89=0</formula>
    </cfRule>
    <cfRule type="expression" dxfId="223" priority="277" stopIfTrue="1">
      <formula>$E89&lt;$I89+N89</formula>
    </cfRule>
    <cfRule type="expression" dxfId="222" priority="278" stopIfTrue="1">
      <formula>$E89&gt;$J89-N89</formula>
    </cfRule>
  </conditionalFormatting>
  <conditionalFormatting sqref="G97:G98">
    <cfRule type="expression" dxfId="221" priority="279" stopIfTrue="1">
      <formula>$E97=0</formula>
    </cfRule>
    <cfRule type="expression" dxfId="220" priority="280" stopIfTrue="1">
      <formula>$E97&lt;$I97+N97</formula>
    </cfRule>
    <cfRule type="expression" dxfId="219" priority="281" stopIfTrue="1">
      <formula>$E97&gt;$J97-N97</formula>
    </cfRule>
  </conditionalFormatting>
  <conditionalFormatting sqref="K33 K52">
    <cfRule type="cellIs" dxfId="218" priority="282" stopIfTrue="1" operator="notBetween">
      <formula>$I33</formula>
      <formula>$J33</formula>
    </cfRule>
  </conditionalFormatting>
  <conditionalFormatting sqref="K67">
    <cfRule type="cellIs" dxfId="217" priority="283" stopIfTrue="1" operator="notBetween">
      <formula>$I67</formula>
      <formula>$J67</formula>
    </cfRule>
  </conditionalFormatting>
  <conditionalFormatting sqref="K86">
    <cfRule type="cellIs" dxfId="216" priority="284" stopIfTrue="1" operator="notBetween">
      <formula>$I86</formula>
      <formula>$J86</formula>
    </cfRule>
  </conditionalFormatting>
  <conditionalFormatting sqref="S89:S98 AE89:AE98 S59:S67 AE59:AE67 S15:S19 AE15:AE19 S26:S33 AE26:AE33 S46:S50 S36:S43 AE36:AE43 AE46:AE50 S55:S56 AE55:AE56 AE52 S52 S71:S76 AE71:AE76 AE86 S86 AE21:AE22 S21:S22">
    <cfRule type="cellIs" dxfId="215" priority="285" stopIfTrue="1" operator="equal">
      <formula>"Reprov"</formula>
    </cfRule>
    <cfRule type="cellIs" dxfId="214" priority="286" stopIfTrue="1" operator="notEqual">
      <formula>"Reprov"</formula>
    </cfRule>
  </conditionalFormatting>
  <conditionalFormatting sqref="E16:E18">
    <cfRule type="cellIs" dxfId="213" priority="208" stopIfTrue="1" operator="notBetween">
      <formula>$I16+N16</formula>
      <formula>$J16-N16</formula>
    </cfRule>
  </conditionalFormatting>
  <conditionalFormatting sqref="F16:F18">
    <cfRule type="expression" dxfId="212" priority="209" stopIfTrue="1">
      <formula>$E16=0</formula>
    </cfRule>
    <cfRule type="expression" dxfId="211" priority="210" stopIfTrue="1">
      <formula>$E16&lt;$I16+N16</formula>
    </cfRule>
    <cfRule type="expression" dxfId="210" priority="211" stopIfTrue="1">
      <formula>$E16&gt;$J16-N16</formula>
    </cfRule>
  </conditionalFormatting>
  <conditionalFormatting sqref="G16:G18">
    <cfRule type="expression" dxfId="209" priority="212" stopIfTrue="1">
      <formula>$E16=0</formula>
    </cfRule>
    <cfRule type="expression" dxfId="208" priority="213" stopIfTrue="1">
      <formula>$E16&lt;$I16+N16</formula>
    </cfRule>
    <cfRule type="expression" dxfId="207" priority="214" stopIfTrue="1">
      <formula>$E16&gt;$J16-N16</formula>
    </cfRule>
  </conditionalFormatting>
  <conditionalFormatting sqref="E38:E39">
    <cfRule type="cellIs" dxfId="206" priority="201" stopIfTrue="1" operator="notBetween">
      <formula>$I38+N38</formula>
      <formula>$J38-N38</formula>
    </cfRule>
  </conditionalFormatting>
  <conditionalFormatting sqref="F38:F39">
    <cfRule type="expression" dxfId="205" priority="202" stopIfTrue="1">
      <formula>$E38=0</formula>
    </cfRule>
    <cfRule type="expression" dxfId="204" priority="203" stopIfTrue="1">
      <formula>$E38&lt;$I38+N38</formula>
    </cfRule>
    <cfRule type="expression" dxfId="203" priority="204" stopIfTrue="1">
      <formula>$E38&gt;$J38-N38</formula>
    </cfRule>
  </conditionalFormatting>
  <conditionalFormatting sqref="G38:G39">
    <cfRule type="expression" dxfId="202" priority="205" stopIfTrue="1">
      <formula>$E38=0</formula>
    </cfRule>
    <cfRule type="expression" dxfId="201" priority="206" stopIfTrue="1">
      <formula>$E38&lt;$I38+N38</formula>
    </cfRule>
    <cfRule type="expression" dxfId="200" priority="207" stopIfTrue="1">
      <formula>$E38&gt;$J38-N38</formula>
    </cfRule>
  </conditionalFormatting>
  <conditionalFormatting sqref="E62">
    <cfRule type="cellIs" dxfId="199" priority="200" stopIfTrue="1" operator="notBetween">
      <formula>$I62+N62</formula>
      <formula>$J62-N62</formula>
    </cfRule>
  </conditionalFormatting>
  <conditionalFormatting sqref="F62">
    <cfRule type="expression" dxfId="198" priority="197" stopIfTrue="1">
      <formula>$E62=0</formula>
    </cfRule>
    <cfRule type="expression" dxfId="197" priority="198" stopIfTrue="1">
      <formula>$E62&lt;$I62+N62</formula>
    </cfRule>
    <cfRule type="expression" dxfId="196" priority="199" stopIfTrue="1">
      <formula>$E62&gt;$J62-N62</formula>
    </cfRule>
  </conditionalFormatting>
  <conditionalFormatting sqref="G62">
    <cfRule type="expression" dxfId="195" priority="194" stopIfTrue="1">
      <formula>$E62=0</formula>
    </cfRule>
    <cfRule type="expression" dxfId="194" priority="195" stopIfTrue="1">
      <formula>$E62&lt;$I62+N62</formula>
    </cfRule>
    <cfRule type="expression" dxfId="193" priority="196" stopIfTrue="1">
      <formula>$E62&gt;$J62-N62</formula>
    </cfRule>
  </conditionalFormatting>
  <conditionalFormatting sqref="E91">
    <cfRule type="cellIs" dxfId="192" priority="193" stopIfTrue="1" operator="notBetween">
      <formula>$I91+N91</formula>
      <formula>$J91-N91</formula>
    </cfRule>
  </conditionalFormatting>
  <conditionalFormatting sqref="F91">
    <cfRule type="expression" dxfId="191" priority="190" stopIfTrue="1">
      <formula>$E91=0</formula>
    </cfRule>
    <cfRule type="expression" dxfId="190" priority="191" stopIfTrue="1">
      <formula>$E91&lt;$I91+N91</formula>
    </cfRule>
    <cfRule type="expression" dxfId="189" priority="192" stopIfTrue="1">
      <formula>$E91&gt;$J91-N91</formula>
    </cfRule>
  </conditionalFormatting>
  <conditionalFormatting sqref="G91">
    <cfRule type="expression" dxfId="188" priority="187" stopIfTrue="1">
      <formula>$E91=0</formula>
    </cfRule>
    <cfRule type="expression" dxfId="187" priority="188" stopIfTrue="1">
      <formula>$E91&lt;$I91+N91</formula>
    </cfRule>
    <cfRule type="expression" dxfId="186" priority="189" stopIfTrue="1">
      <formula>$E91&gt;$J91-N91</formula>
    </cfRule>
  </conditionalFormatting>
  <conditionalFormatting sqref="E90">
    <cfRule type="cellIs" dxfId="185" priority="186" stopIfTrue="1" operator="notBetween">
      <formula>$I90+N90</formula>
      <formula>$J90-N90</formula>
    </cfRule>
  </conditionalFormatting>
  <conditionalFormatting sqref="F90">
    <cfRule type="expression" dxfId="184" priority="183" stopIfTrue="1">
      <formula>$E90=0</formula>
    </cfRule>
    <cfRule type="expression" dxfId="183" priority="184" stopIfTrue="1">
      <formula>$E90&lt;$I90+N90</formula>
    </cfRule>
    <cfRule type="expression" dxfId="182" priority="185" stopIfTrue="1">
      <formula>$E90&gt;$J90-N90</formula>
    </cfRule>
  </conditionalFormatting>
  <conditionalFormatting sqref="G90">
    <cfRule type="expression" dxfId="181" priority="180" stopIfTrue="1">
      <formula>$E90=0</formula>
    </cfRule>
    <cfRule type="expression" dxfId="180" priority="181" stopIfTrue="1">
      <formula>$E90&lt;$I90+N90</formula>
    </cfRule>
    <cfRule type="expression" dxfId="179" priority="182" stopIfTrue="1">
      <formula>$E90&gt;$J90-N90</formula>
    </cfRule>
  </conditionalFormatting>
  <conditionalFormatting sqref="E96">
    <cfRule type="cellIs" dxfId="178" priority="179" stopIfTrue="1" operator="notBetween">
      <formula>$I96+N96</formula>
      <formula>$J96-N96</formula>
    </cfRule>
  </conditionalFormatting>
  <conditionalFormatting sqref="F96">
    <cfRule type="expression" dxfId="177" priority="176" stopIfTrue="1">
      <formula>$E96=0</formula>
    </cfRule>
    <cfRule type="expression" dxfId="176" priority="177" stopIfTrue="1">
      <formula>$E96&lt;$I96+N96</formula>
    </cfRule>
    <cfRule type="expression" dxfId="175" priority="178" stopIfTrue="1">
      <formula>$E96&gt;$J96-N96</formula>
    </cfRule>
  </conditionalFormatting>
  <conditionalFormatting sqref="G96">
    <cfRule type="expression" dxfId="174" priority="173" stopIfTrue="1">
      <formula>$E96=0</formula>
    </cfRule>
    <cfRule type="expression" dxfId="173" priority="174" stopIfTrue="1">
      <formula>$E96&lt;$I96+N96</formula>
    </cfRule>
    <cfRule type="expression" dxfId="172" priority="175" stopIfTrue="1">
      <formula>$E96&gt;$J96-N96</formula>
    </cfRule>
  </conditionalFormatting>
  <conditionalFormatting sqref="E74">
    <cfRule type="cellIs" dxfId="171" priority="159" stopIfTrue="1" operator="notBetween">
      <formula>$I74+N74</formula>
      <formula>$J74-N74</formula>
    </cfRule>
  </conditionalFormatting>
  <conditionalFormatting sqref="E75:E77">
    <cfRule type="cellIs" dxfId="170" priority="160" stopIfTrue="1" operator="notBetween">
      <formula>$I75+N75</formula>
      <formula>$J75-N75</formula>
    </cfRule>
  </conditionalFormatting>
  <conditionalFormatting sqref="F74">
    <cfRule type="expression" dxfId="169" priority="161" stopIfTrue="1">
      <formula>$E74=0</formula>
    </cfRule>
    <cfRule type="expression" dxfId="168" priority="162" stopIfTrue="1">
      <formula>$E74&lt;$I74+N74</formula>
    </cfRule>
    <cfRule type="expression" dxfId="167" priority="163" stopIfTrue="1">
      <formula>$E74&gt;$J74-N74</formula>
    </cfRule>
  </conditionalFormatting>
  <conditionalFormatting sqref="F75:F77">
    <cfRule type="expression" dxfId="166" priority="164" stopIfTrue="1">
      <formula>$E75=0</formula>
    </cfRule>
    <cfRule type="expression" dxfId="165" priority="165" stopIfTrue="1">
      <formula>$E75&lt;$I75+N75</formula>
    </cfRule>
    <cfRule type="expression" dxfId="164" priority="166" stopIfTrue="1">
      <formula>$E75&gt;$J75-N75</formula>
    </cfRule>
  </conditionalFormatting>
  <conditionalFormatting sqref="G75:G77">
    <cfRule type="expression" dxfId="163" priority="167" stopIfTrue="1">
      <formula>$E75=0</formula>
    </cfRule>
    <cfRule type="expression" dxfId="162" priority="168" stopIfTrue="1">
      <formula>$E75&lt;$I75+N75</formula>
    </cfRule>
    <cfRule type="expression" dxfId="161" priority="169" stopIfTrue="1">
      <formula>$E75&gt;$J75-N75</formula>
    </cfRule>
  </conditionalFormatting>
  <conditionalFormatting sqref="G74">
    <cfRule type="expression" dxfId="160" priority="170" stopIfTrue="1">
      <formula>$E74=0</formula>
    </cfRule>
    <cfRule type="expression" dxfId="159" priority="171" stopIfTrue="1">
      <formula>$E74&lt;$I74+N74</formula>
    </cfRule>
    <cfRule type="expression" dxfId="158" priority="172" stopIfTrue="1">
      <formula>$E74&gt;$J74-N74</formula>
    </cfRule>
  </conditionalFormatting>
  <conditionalFormatting sqref="E102">
    <cfRule type="cellIs" dxfId="157" priority="150" stopIfTrue="1" operator="notBetween">
      <formula>$I102+N102</formula>
      <formula>$J102-N102</formula>
    </cfRule>
  </conditionalFormatting>
  <conditionalFormatting sqref="F102">
    <cfRule type="expression" dxfId="156" priority="151" stopIfTrue="1">
      <formula>$E102=0</formula>
    </cfRule>
    <cfRule type="expression" dxfId="155" priority="152" stopIfTrue="1">
      <formula>$E102&lt;$I102+N102</formula>
    </cfRule>
    <cfRule type="expression" dxfId="154" priority="153" stopIfTrue="1">
      <formula>$E102&gt;$J102-N102</formula>
    </cfRule>
  </conditionalFormatting>
  <conditionalFormatting sqref="G102">
    <cfRule type="expression" dxfId="153" priority="154" stopIfTrue="1">
      <formula>$E102=0</formula>
    </cfRule>
    <cfRule type="expression" dxfId="152" priority="155" stopIfTrue="1">
      <formula>$E102&lt;$I102+N102</formula>
    </cfRule>
    <cfRule type="expression" dxfId="151" priority="156" stopIfTrue="1">
      <formula>$E102&gt;$J102-N102</formula>
    </cfRule>
  </conditionalFormatting>
  <conditionalFormatting sqref="S102 AE102">
    <cfRule type="cellIs" dxfId="150" priority="157" stopIfTrue="1" operator="equal">
      <formula>"Reprov"</formula>
    </cfRule>
    <cfRule type="cellIs" dxfId="149" priority="158" stopIfTrue="1" operator="notEqual">
      <formula>"Reprov"</formula>
    </cfRule>
  </conditionalFormatting>
  <conditionalFormatting sqref="E101">
    <cfRule type="cellIs" dxfId="148" priority="141" stopIfTrue="1" operator="notBetween">
      <formula>$I101+N101</formula>
      <formula>$J101-N101</formula>
    </cfRule>
  </conditionalFormatting>
  <conditionalFormatting sqref="F101">
    <cfRule type="expression" dxfId="147" priority="142" stopIfTrue="1">
      <formula>$E101=0</formula>
    </cfRule>
    <cfRule type="expression" dxfId="146" priority="143" stopIfTrue="1">
      <formula>$E101&lt;$I101+N101</formula>
    </cfRule>
    <cfRule type="expression" dxfId="145" priority="144" stopIfTrue="1">
      <formula>$E101&gt;$J101-N101</formula>
    </cfRule>
  </conditionalFormatting>
  <conditionalFormatting sqref="G101">
    <cfRule type="expression" dxfId="144" priority="145" stopIfTrue="1">
      <formula>$E101=0</formula>
    </cfRule>
    <cfRule type="expression" dxfId="143" priority="146" stopIfTrue="1">
      <formula>$E101&lt;$I101+N101</formula>
    </cfRule>
    <cfRule type="expression" dxfId="142" priority="147" stopIfTrue="1">
      <formula>$E101&gt;$J101-N101</formula>
    </cfRule>
  </conditionalFormatting>
  <conditionalFormatting sqref="S101 AE101">
    <cfRule type="cellIs" dxfId="141" priority="148" stopIfTrue="1" operator="equal">
      <formula>"Reprov"</formula>
    </cfRule>
    <cfRule type="cellIs" dxfId="140" priority="149" stopIfTrue="1" operator="notEqual">
      <formula>"Reprov"</formula>
    </cfRule>
  </conditionalFormatting>
  <conditionalFormatting sqref="E26">
    <cfRule type="cellIs" dxfId="139" priority="140" stopIfTrue="1" operator="notBetween">
      <formula>$I26+N26</formula>
      <formula>$J26-N26</formula>
    </cfRule>
  </conditionalFormatting>
  <conditionalFormatting sqref="F26">
    <cfRule type="expression" dxfId="138" priority="137" stopIfTrue="1">
      <formula>$E26=0</formula>
    </cfRule>
    <cfRule type="expression" dxfId="137" priority="138" stopIfTrue="1">
      <formula>$E26&lt;$I26+N26</formula>
    </cfRule>
    <cfRule type="expression" dxfId="136" priority="139" stopIfTrue="1">
      <formula>$E26&gt;$J26-N26</formula>
    </cfRule>
  </conditionalFormatting>
  <conditionalFormatting sqref="G26">
    <cfRule type="expression" dxfId="135" priority="134" stopIfTrue="1">
      <formula>$E26=0</formula>
    </cfRule>
    <cfRule type="expression" dxfId="134" priority="135" stopIfTrue="1">
      <formula>$E26&lt;$I26+N26</formula>
    </cfRule>
    <cfRule type="expression" dxfId="133" priority="136" stopIfTrue="1">
      <formula>$E26&gt;$J26-N26</formula>
    </cfRule>
  </conditionalFormatting>
  <conditionalFormatting sqref="E47">
    <cfRule type="cellIs" dxfId="132" priority="133" stopIfTrue="1" operator="notBetween">
      <formula>$I47+N47</formula>
      <formula>$J47-N47</formula>
    </cfRule>
  </conditionalFormatting>
  <conditionalFormatting sqref="E46">
    <cfRule type="cellIs" dxfId="131" priority="132" stopIfTrue="1" operator="notBetween">
      <formula>$I46+N46</formula>
      <formula>$J46-N46</formula>
    </cfRule>
  </conditionalFormatting>
  <conditionalFormatting sqref="F47">
    <cfRule type="expression" dxfId="130" priority="129" stopIfTrue="1">
      <formula>$E47=0</formula>
    </cfRule>
    <cfRule type="expression" dxfId="129" priority="130" stopIfTrue="1">
      <formula>$E47&lt;$I47+N47</formula>
    </cfRule>
    <cfRule type="expression" dxfId="128" priority="131" stopIfTrue="1">
      <formula>$E47&gt;$J47-N47</formula>
    </cfRule>
  </conditionalFormatting>
  <conditionalFormatting sqref="F46">
    <cfRule type="expression" dxfId="127" priority="126" stopIfTrue="1">
      <formula>$E46=0</formula>
    </cfRule>
    <cfRule type="expression" dxfId="126" priority="127" stopIfTrue="1">
      <formula>$E46&lt;$I46+N46</formula>
    </cfRule>
    <cfRule type="expression" dxfId="125" priority="128" stopIfTrue="1">
      <formula>$E46&gt;$J46-N46</formula>
    </cfRule>
  </conditionalFormatting>
  <conditionalFormatting sqref="G47">
    <cfRule type="expression" dxfId="124" priority="123" stopIfTrue="1">
      <formula>$E47=0</formula>
    </cfRule>
    <cfRule type="expression" dxfId="123" priority="124" stopIfTrue="1">
      <formula>$E47&lt;$I47+N47</formula>
    </cfRule>
    <cfRule type="expression" dxfId="122" priority="125" stopIfTrue="1">
      <formula>$E47&gt;$J47-N47</formula>
    </cfRule>
  </conditionalFormatting>
  <conditionalFormatting sqref="G46">
    <cfRule type="expression" dxfId="121" priority="120" stopIfTrue="1">
      <formula>$E46=0</formula>
    </cfRule>
    <cfRule type="expression" dxfId="120" priority="121" stopIfTrue="1">
      <formula>$E46&lt;$I46+N46</formula>
    </cfRule>
    <cfRule type="expression" dxfId="119" priority="122" stopIfTrue="1">
      <formula>$E46&gt;$J46-N46</formula>
    </cfRule>
  </conditionalFormatting>
  <conditionalFormatting sqref="E48:E49">
    <cfRule type="cellIs" dxfId="118" priority="119" stopIfTrue="1" operator="notBetween">
      <formula>$I48+N48</formula>
      <formula>$J48-N48</formula>
    </cfRule>
  </conditionalFormatting>
  <conditionalFormatting sqref="F48:F49">
    <cfRule type="expression" dxfId="117" priority="116" stopIfTrue="1">
      <formula>$E48=0</formula>
    </cfRule>
    <cfRule type="expression" dxfId="116" priority="117" stopIfTrue="1">
      <formula>$E48&lt;$I48+N48</formula>
    </cfRule>
    <cfRule type="expression" dxfId="115" priority="118" stopIfTrue="1">
      <formula>$E48&gt;$J48-N48</formula>
    </cfRule>
  </conditionalFormatting>
  <conditionalFormatting sqref="G48:G49">
    <cfRule type="expression" dxfId="114" priority="113" stopIfTrue="1">
      <formula>$E48=0</formula>
    </cfRule>
    <cfRule type="expression" dxfId="113" priority="114" stopIfTrue="1">
      <formula>$E48&lt;$I48+N48</formula>
    </cfRule>
    <cfRule type="expression" dxfId="112" priority="115" stopIfTrue="1">
      <formula>$E48&gt;$J48-N48</formula>
    </cfRule>
  </conditionalFormatting>
  <conditionalFormatting sqref="E86">
    <cfRule type="cellIs" dxfId="111" priority="112" stopIfTrue="1" operator="notBetween">
      <formula>$I86+N86</formula>
      <formula>$J86-N86</formula>
    </cfRule>
  </conditionalFormatting>
  <conditionalFormatting sqref="F86">
    <cfRule type="expression" dxfId="110" priority="109" stopIfTrue="1">
      <formula>$E86=0</formula>
    </cfRule>
    <cfRule type="expression" dxfId="109" priority="110" stopIfTrue="1">
      <formula>$E86&lt;$I86+N86</formula>
    </cfRule>
    <cfRule type="expression" dxfId="108" priority="111" stopIfTrue="1">
      <formula>$E86&gt;$J86-N86</formula>
    </cfRule>
  </conditionalFormatting>
  <conditionalFormatting sqref="G86">
    <cfRule type="expression" dxfId="107" priority="106" stopIfTrue="1">
      <formula>$E86=0</formula>
    </cfRule>
    <cfRule type="expression" dxfId="106" priority="107" stopIfTrue="1">
      <formula>$E86&lt;$I86+N86</formula>
    </cfRule>
    <cfRule type="expression" dxfId="105" priority="108" stopIfTrue="1">
      <formula>$E86&gt;$J86-N86</formula>
    </cfRule>
  </conditionalFormatting>
  <conditionalFormatting sqref="E76">
    <cfRule type="cellIs" dxfId="104" priority="105" stopIfTrue="1" operator="notBetween">
      <formula>$I76+N76</formula>
      <formula>$J76-N76</formula>
    </cfRule>
  </conditionalFormatting>
  <conditionalFormatting sqref="F76">
    <cfRule type="expression" dxfId="103" priority="102" stopIfTrue="1">
      <formula>$E76=0</formula>
    </cfRule>
    <cfRule type="expression" dxfId="102" priority="103" stopIfTrue="1">
      <formula>$E76&lt;$I76+N76</formula>
    </cfRule>
    <cfRule type="expression" dxfId="101" priority="104" stopIfTrue="1">
      <formula>$E76&gt;$J76-N76</formula>
    </cfRule>
  </conditionalFormatting>
  <conditionalFormatting sqref="G76">
    <cfRule type="expression" dxfId="100" priority="99" stopIfTrue="1">
      <formula>$E76=0</formula>
    </cfRule>
    <cfRule type="expression" dxfId="99" priority="100" stopIfTrue="1">
      <formula>$E76&lt;$I76+N76</formula>
    </cfRule>
    <cfRule type="expression" dxfId="98" priority="101" stopIfTrue="1">
      <formula>$E76&gt;$J76-N76</formula>
    </cfRule>
  </conditionalFormatting>
  <conditionalFormatting sqref="S76 AE76">
    <cfRule type="cellIs" dxfId="97" priority="97" stopIfTrue="1" operator="equal">
      <formula>"Reprov"</formula>
    </cfRule>
    <cfRule type="cellIs" dxfId="96" priority="98" stopIfTrue="1" operator="notEqual">
      <formula>"Reprov"</formula>
    </cfRule>
  </conditionalFormatting>
  <conditionalFormatting sqref="E56">
    <cfRule type="cellIs" dxfId="95" priority="96" stopIfTrue="1" operator="notBetween">
      <formula>$I56+N56</formula>
      <formula>$J56-N56</formula>
    </cfRule>
  </conditionalFormatting>
  <conditionalFormatting sqref="F56">
    <cfRule type="expression" dxfId="94" priority="93" stopIfTrue="1">
      <formula>$E56=0</formula>
    </cfRule>
    <cfRule type="expression" dxfId="93" priority="94" stopIfTrue="1">
      <formula>$E56&lt;$I56+N56</formula>
    </cfRule>
    <cfRule type="expression" dxfId="92" priority="95" stopIfTrue="1">
      <formula>$E56&gt;$J56-N56</formula>
    </cfRule>
  </conditionalFormatting>
  <conditionalFormatting sqref="G56">
    <cfRule type="expression" dxfId="91" priority="90" stopIfTrue="1">
      <formula>$E56=0</formula>
    </cfRule>
    <cfRule type="expression" dxfId="90" priority="91" stopIfTrue="1">
      <formula>$E56&lt;$I56+N56</formula>
    </cfRule>
    <cfRule type="expression" dxfId="89" priority="92" stopIfTrue="1">
      <formula>$E56&gt;$J56-N56</formula>
    </cfRule>
  </conditionalFormatting>
  <conditionalFormatting sqref="E51">
    <cfRule type="cellIs" dxfId="88" priority="81" stopIfTrue="1" operator="notBetween">
      <formula>$I51+N51</formula>
      <formula>$J51-N51</formula>
    </cfRule>
  </conditionalFormatting>
  <conditionalFormatting sqref="F51">
    <cfRule type="expression" dxfId="87" priority="82" stopIfTrue="1">
      <formula>$E51=0</formula>
    </cfRule>
    <cfRule type="expression" dxfId="86" priority="83" stopIfTrue="1">
      <formula>$E51&lt;$I51+N51</formula>
    </cfRule>
    <cfRule type="expression" dxfId="85" priority="84" stopIfTrue="1">
      <formula>$E51&gt;$J51-N51</formula>
    </cfRule>
  </conditionalFormatting>
  <conditionalFormatting sqref="G51">
    <cfRule type="expression" dxfId="84" priority="85" stopIfTrue="1">
      <formula>$E51=0</formula>
    </cfRule>
    <cfRule type="expression" dxfId="83" priority="86" stopIfTrue="1">
      <formula>$E51&lt;$I51+N51</formula>
    </cfRule>
    <cfRule type="expression" dxfId="82" priority="87" stopIfTrue="1">
      <formula>$E51&gt;$J51-N51</formula>
    </cfRule>
  </conditionalFormatting>
  <conditionalFormatting sqref="S51 AE51">
    <cfRule type="cellIs" dxfId="81" priority="88" stopIfTrue="1" operator="equal">
      <formula>"Reprov"</formula>
    </cfRule>
    <cfRule type="cellIs" dxfId="80" priority="89" stopIfTrue="1" operator="notEqual">
      <formula>"Reprov"</formula>
    </cfRule>
  </conditionalFormatting>
  <conditionalFormatting sqref="E51">
    <cfRule type="cellIs" dxfId="79" priority="80" stopIfTrue="1" operator="notBetween">
      <formula>$I51+N51</formula>
      <formula>$J51-N51</formula>
    </cfRule>
  </conditionalFormatting>
  <conditionalFormatting sqref="F51">
    <cfRule type="expression" dxfId="78" priority="77" stopIfTrue="1">
      <formula>$E51=0</formula>
    </cfRule>
    <cfRule type="expression" dxfId="77" priority="78" stopIfTrue="1">
      <formula>$E51&lt;$I51+N51</formula>
    </cfRule>
    <cfRule type="expression" dxfId="76" priority="79" stopIfTrue="1">
      <formula>$E51&gt;$J51-N51</formula>
    </cfRule>
  </conditionalFormatting>
  <conditionalFormatting sqref="G51">
    <cfRule type="expression" dxfId="75" priority="74" stopIfTrue="1">
      <formula>$E51=0</formula>
    </cfRule>
    <cfRule type="expression" dxfId="74" priority="75" stopIfTrue="1">
      <formula>$E51&lt;$I51+N51</formula>
    </cfRule>
    <cfRule type="expression" dxfId="73" priority="76" stopIfTrue="1">
      <formula>$E51&gt;$J51-N51</formula>
    </cfRule>
  </conditionalFormatting>
  <conditionalFormatting sqref="E70">
    <cfRule type="cellIs" dxfId="72" priority="65" stopIfTrue="1" operator="notBetween">
      <formula>$I70+N70</formula>
      <formula>$J70-N70</formula>
    </cfRule>
  </conditionalFormatting>
  <conditionalFormatting sqref="F70">
    <cfRule type="expression" dxfId="71" priority="66" stopIfTrue="1">
      <formula>$E70=0</formula>
    </cfRule>
    <cfRule type="expression" dxfId="70" priority="67" stopIfTrue="1">
      <formula>$E70&lt;$I70+N70</formula>
    </cfRule>
    <cfRule type="expression" dxfId="69" priority="68" stopIfTrue="1">
      <formula>$E70&gt;$J70-N70</formula>
    </cfRule>
  </conditionalFormatting>
  <conditionalFormatting sqref="G70">
    <cfRule type="expression" dxfId="68" priority="69" stopIfTrue="1">
      <formula>$E70=0</formula>
    </cfRule>
    <cfRule type="expression" dxfId="67" priority="70" stopIfTrue="1">
      <formula>$E70&lt;$I70+N70</formula>
    </cfRule>
    <cfRule type="expression" dxfId="66" priority="71" stopIfTrue="1">
      <formula>$E70&gt;$J70-N70</formula>
    </cfRule>
  </conditionalFormatting>
  <conditionalFormatting sqref="AE70 S70">
    <cfRule type="cellIs" dxfId="65" priority="72" stopIfTrue="1" operator="equal">
      <formula>"Reprov"</formula>
    </cfRule>
    <cfRule type="cellIs" dxfId="64" priority="73" stopIfTrue="1" operator="notEqual">
      <formula>"Reprov"</formula>
    </cfRule>
  </conditionalFormatting>
  <conditionalFormatting sqref="E82">
    <cfRule type="cellIs" dxfId="63" priority="58" stopIfTrue="1" operator="notBetween">
      <formula>$I82+N82</formula>
      <formula>$J82-N82</formula>
    </cfRule>
  </conditionalFormatting>
  <conditionalFormatting sqref="F82">
    <cfRule type="expression" dxfId="62" priority="59" stopIfTrue="1">
      <formula>$E82=0</formula>
    </cfRule>
    <cfRule type="expression" dxfId="61" priority="60" stopIfTrue="1">
      <formula>$E82&lt;$I82+N82</formula>
    </cfRule>
    <cfRule type="expression" dxfId="60" priority="61" stopIfTrue="1">
      <formula>$E82&gt;$J82-N82</formula>
    </cfRule>
  </conditionalFormatting>
  <conditionalFormatting sqref="G82">
    <cfRule type="expression" dxfId="59" priority="62" stopIfTrue="1">
      <formula>$E82=0</formula>
    </cfRule>
    <cfRule type="expression" dxfId="58" priority="63" stopIfTrue="1">
      <formula>$E82&lt;$I82+N82</formula>
    </cfRule>
    <cfRule type="expression" dxfId="57" priority="64" stopIfTrue="1">
      <formula>$E82&gt;$J82-N82</formula>
    </cfRule>
  </conditionalFormatting>
  <conditionalFormatting sqref="E81">
    <cfRule type="cellIs" dxfId="56" priority="51" stopIfTrue="1" operator="notBetween">
      <formula>$I81</formula>
      <formula>$J81</formula>
    </cfRule>
  </conditionalFormatting>
  <conditionalFormatting sqref="F81:G81">
    <cfRule type="expression" dxfId="55" priority="52" stopIfTrue="1">
      <formula>$E81=0</formula>
    </cfRule>
    <cfRule type="expression" dxfId="54" priority="53" stopIfTrue="1">
      <formula>$E81&lt;$I81</formula>
    </cfRule>
    <cfRule type="expression" dxfId="53" priority="54" stopIfTrue="1">
      <formula>$E81&gt;$J81</formula>
    </cfRule>
  </conditionalFormatting>
  <conditionalFormatting sqref="K81">
    <cfRule type="cellIs" dxfId="52" priority="55" stopIfTrue="1" operator="notBetween">
      <formula>$I81</formula>
      <formula>$J81</formula>
    </cfRule>
  </conditionalFormatting>
  <conditionalFormatting sqref="AE81 S81">
    <cfRule type="cellIs" dxfId="51" priority="56" stopIfTrue="1" operator="equal">
      <formula>"Reprov"</formula>
    </cfRule>
    <cfRule type="cellIs" dxfId="50" priority="57" stopIfTrue="1" operator="notEqual">
      <formula>"Reprov"</formula>
    </cfRule>
  </conditionalFormatting>
  <conditionalFormatting sqref="E81">
    <cfRule type="cellIs" dxfId="49" priority="50" stopIfTrue="1" operator="notBetween">
      <formula>$I81+N81</formula>
      <formula>$J81-N81</formula>
    </cfRule>
  </conditionalFormatting>
  <conditionalFormatting sqref="F81">
    <cfRule type="expression" dxfId="48" priority="47" stopIfTrue="1">
      <formula>$E81=0</formula>
    </cfRule>
    <cfRule type="expression" dxfId="47" priority="48" stopIfTrue="1">
      <formula>$E81&lt;$I81+N81</formula>
    </cfRule>
    <cfRule type="expression" dxfId="46" priority="49" stopIfTrue="1">
      <formula>$E81&gt;$J81-N81</formula>
    </cfRule>
  </conditionalFormatting>
  <conditionalFormatting sqref="G81">
    <cfRule type="expression" dxfId="45" priority="44" stopIfTrue="1">
      <formula>$E81=0</formula>
    </cfRule>
    <cfRule type="expression" dxfId="44" priority="45" stopIfTrue="1">
      <formula>$E81&lt;$I81+N81</formula>
    </cfRule>
    <cfRule type="expression" dxfId="43" priority="46" stopIfTrue="1">
      <formula>$E81&gt;$J81-N81</formula>
    </cfRule>
  </conditionalFormatting>
  <conditionalFormatting sqref="E85">
    <cfRule type="cellIs" dxfId="42" priority="35" stopIfTrue="1" operator="notBetween">
      <formula>$I85+N85</formula>
      <formula>$J85-N85</formula>
    </cfRule>
  </conditionalFormatting>
  <conditionalFormatting sqref="F85">
    <cfRule type="expression" dxfId="41" priority="36" stopIfTrue="1">
      <formula>$E85=0</formula>
    </cfRule>
    <cfRule type="expression" dxfId="40" priority="37" stopIfTrue="1">
      <formula>$E85&lt;$I85+N85</formula>
    </cfRule>
    <cfRule type="expression" dxfId="39" priority="38" stopIfTrue="1">
      <formula>$E85&gt;$J85-N85</formula>
    </cfRule>
  </conditionalFormatting>
  <conditionalFormatting sqref="G85">
    <cfRule type="expression" dxfId="38" priority="39" stopIfTrue="1">
      <formula>$E85=0</formula>
    </cfRule>
    <cfRule type="expression" dxfId="37" priority="40" stopIfTrue="1">
      <formula>$E85&lt;$I85+N85</formula>
    </cfRule>
    <cfRule type="expression" dxfId="36" priority="41" stopIfTrue="1">
      <formula>$E85&gt;$J85-N85</formula>
    </cfRule>
  </conditionalFormatting>
  <conditionalFormatting sqref="S85 AE85">
    <cfRule type="cellIs" dxfId="35" priority="42" stopIfTrue="1" operator="equal">
      <formula>"Reprov"</formula>
    </cfRule>
    <cfRule type="cellIs" dxfId="34" priority="43" stopIfTrue="1" operator="notEqual">
      <formula>"Reprov"</formula>
    </cfRule>
  </conditionalFormatting>
  <conditionalFormatting sqref="E84">
    <cfRule type="cellIs" dxfId="33" priority="26" stopIfTrue="1" operator="notBetween">
      <formula>$I84+N84</formula>
      <formula>$J84-N84</formula>
    </cfRule>
  </conditionalFormatting>
  <conditionalFormatting sqref="F84">
    <cfRule type="expression" dxfId="32" priority="27" stopIfTrue="1">
      <formula>$E84=0</formula>
    </cfRule>
    <cfRule type="expression" dxfId="31" priority="28" stopIfTrue="1">
      <formula>$E84&lt;$I84+N84</formula>
    </cfRule>
    <cfRule type="expression" dxfId="30" priority="29" stopIfTrue="1">
      <formula>$E84&gt;$J84-N84</formula>
    </cfRule>
  </conditionalFormatting>
  <conditionalFormatting sqref="G84">
    <cfRule type="expression" dxfId="29" priority="30" stopIfTrue="1">
      <formula>$E84=0</formula>
    </cfRule>
    <cfRule type="expression" dxfId="28" priority="31" stopIfTrue="1">
      <formula>$E84&lt;$I84+N84</formula>
    </cfRule>
    <cfRule type="expression" dxfId="27" priority="32" stopIfTrue="1">
      <formula>$E84&gt;$J84-N84</formula>
    </cfRule>
  </conditionalFormatting>
  <conditionalFormatting sqref="AE84 S84">
    <cfRule type="cellIs" dxfId="26" priority="33" stopIfTrue="1" operator="equal">
      <formula>"Reprov"</formula>
    </cfRule>
    <cfRule type="cellIs" dxfId="25" priority="34" stopIfTrue="1" operator="notEqual">
      <formula>"Reprov"</formula>
    </cfRule>
  </conditionalFormatting>
  <conditionalFormatting sqref="S79:S80 AE79:AE80">
    <cfRule type="cellIs" dxfId="24" priority="24" stopIfTrue="1" operator="equal">
      <formula>"Reprov"</formula>
    </cfRule>
    <cfRule type="cellIs" dxfId="23" priority="25" stopIfTrue="1" operator="notEqual">
      <formula>"Reprov"</formula>
    </cfRule>
  </conditionalFormatting>
  <conditionalFormatting sqref="E79">
    <cfRule type="cellIs" dxfId="22" priority="10" stopIfTrue="1" operator="notBetween">
      <formula>$I79+N79</formula>
      <formula>$J79-N79</formula>
    </cfRule>
  </conditionalFormatting>
  <conditionalFormatting sqref="E80">
    <cfRule type="cellIs" dxfId="21" priority="11" stopIfTrue="1" operator="notBetween">
      <formula>$I80+N80</formula>
      <formula>$J80-N80</formula>
    </cfRule>
  </conditionalFormatting>
  <conditionalFormatting sqref="F79">
    <cfRule type="expression" dxfId="20" priority="12" stopIfTrue="1">
      <formula>$E79=0</formula>
    </cfRule>
    <cfRule type="expression" dxfId="19" priority="13" stopIfTrue="1">
      <formula>$E79&lt;$I79+N79</formula>
    </cfRule>
    <cfRule type="expression" dxfId="18" priority="14" stopIfTrue="1">
      <formula>$E79&gt;$J79-N79</formula>
    </cfRule>
  </conditionalFormatting>
  <conditionalFormatting sqref="F80">
    <cfRule type="expression" dxfId="17" priority="15" stopIfTrue="1">
      <formula>$E80=0</formula>
    </cfRule>
    <cfRule type="expression" dxfId="16" priority="16" stopIfTrue="1">
      <formula>$E80&lt;$I80+N80</formula>
    </cfRule>
    <cfRule type="expression" dxfId="15" priority="17" stopIfTrue="1">
      <formula>$E80&gt;$J80-N80</formula>
    </cfRule>
  </conditionalFormatting>
  <conditionalFormatting sqref="G80">
    <cfRule type="expression" dxfId="14" priority="18" stopIfTrue="1">
      <formula>$E80=0</formula>
    </cfRule>
    <cfRule type="expression" dxfId="13" priority="19" stopIfTrue="1">
      <formula>$E80&lt;$I80+N80</formula>
    </cfRule>
    <cfRule type="expression" dxfId="12" priority="20" stopIfTrue="1">
      <formula>$E80&gt;$J80-N80</formula>
    </cfRule>
  </conditionalFormatting>
  <conditionalFormatting sqref="G79">
    <cfRule type="expression" dxfId="11" priority="21" stopIfTrue="1">
      <formula>$E79=0</formula>
    </cfRule>
    <cfRule type="expression" dxfId="10" priority="22" stopIfTrue="1">
      <formula>$E79&lt;$I79+N79</formula>
    </cfRule>
    <cfRule type="expression" dxfId="9" priority="23" stopIfTrue="1">
      <formula>$E79&gt;$J79-N79</formula>
    </cfRule>
  </conditionalFormatting>
  <conditionalFormatting sqref="E20">
    <cfRule type="cellIs" dxfId="8" priority="1" stopIfTrue="1" operator="notBetween">
      <formula>$I20+N20</formula>
      <formula>$J20-N20</formula>
    </cfRule>
  </conditionalFormatting>
  <conditionalFormatting sqref="F20">
    <cfRule type="expression" dxfId="7" priority="2" stopIfTrue="1">
      <formula>$E20=0</formula>
    </cfRule>
    <cfRule type="expression" dxfId="6" priority="3" stopIfTrue="1">
      <formula>$E20&lt;$I20+N20</formula>
    </cfRule>
    <cfRule type="expression" dxfId="5" priority="4" stopIfTrue="1">
      <formula>$E20&gt;$J20-N20</formula>
    </cfRule>
  </conditionalFormatting>
  <conditionalFormatting sqref="G20">
    <cfRule type="expression" dxfId="4" priority="5" stopIfTrue="1">
      <formula>$E20=0</formula>
    </cfRule>
    <cfRule type="expression" dxfId="3" priority="6" stopIfTrue="1">
      <formula>$E20&lt;$I20+N20</formula>
    </cfRule>
    <cfRule type="expression" dxfId="2" priority="7" stopIfTrue="1">
      <formula>$E20&gt;$J20-N20</formula>
    </cfRule>
  </conditionalFormatting>
  <conditionalFormatting sqref="S20 AE20">
    <cfRule type="cellIs" dxfId="1" priority="8" stopIfTrue="1" operator="equal">
      <formula>"Reprov"</formula>
    </cfRule>
    <cfRule type="cellIs" dxfId="0" priority="9" stopIfTrue="1" operator="notEqual">
      <formula>"Reprov"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r237233</cp:lastModifiedBy>
  <dcterms:created xsi:type="dcterms:W3CDTF">2013-12-16T16:14:21Z</dcterms:created>
  <dcterms:modified xsi:type="dcterms:W3CDTF">2016-12-07T16:25:19Z</dcterms:modified>
</cp:coreProperties>
</file>