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"/>
    </mc:Choice>
  </mc:AlternateContent>
  <xr:revisionPtr revIDLastSave="0" documentId="13_ncr:1_{80FCFE4C-4795-48CC-83FE-F5420E9A6D41}" xr6:coauthVersionLast="36" xr6:coauthVersionMax="36" xr10:uidLastSave="{00000000-0000-0000-0000-000000000000}"/>
  <bookViews>
    <workbookView xWindow="0" yWindow="0" windowWidth="28800" windowHeight="12816" activeTab="2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" i="2" l="1"/>
  <c r="K21" i="2"/>
  <c r="J759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C759" i="2"/>
  <c r="D759" i="2"/>
  <c r="E759" i="2"/>
  <c r="F759" i="2"/>
  <c r="G759" i="2"/>
  <c r="H759" i="2"/>
  <c r="I759" i="2"/>
  <c r="K759" i="2"/>
  <c r="L759" i="2"/>
  <c r="M759" i="2"/>
  <c r="N759" i="2"/>
  <c r="O759" i="2"/>
  <c r="P759" i="2"/>
  <c r="Q759" i="2"/>
  <c r="R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C1" i="9"/>
  <c r="D1" i="9"/>
  <c r="E1" i="9"/>
  <c r="F1" i="9"/>
  <c r="G1" i="9"/>
  <c r="H1" i="9"/>
  <c r="I1" i="9"/>
  <c r="J1" i="9"/>
  <c r="K1" i="9"/>
  <c r="L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H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G57" i="9"/>
  <c r="H57" i="9"/>
  <c r="I57" i="9"/>
  <c r="J57" i="9"/>
  <c r="K57" i="9"/>
  <c r="L57" i="9"/>
  <c r="C58" i="9"/>
  <c r="D58" i="9"/>
  <c r="E58" i="9"/>
  <c r="F58" i="9"/>
  <c r="G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D61" i="9"/>
  <c r="E61" i="9"/>
  <c r="F61" i="9"/>
  <c r="G61" i="9"/>
  <c r="H61" i="9"/>
  <c r="I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F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E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J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J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K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F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H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C204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C210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J214" i="9"/>
  <c r="K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D216" i="9"/>
  <c r="E216" i="9"/>
  <c r="F216" i="9"/>
  <c r="G216" i="9"/>
  <c r="H216" i="9"/>
  <c r="I216" i="9"/>
  <c r="J216" i="9"/>
  <c r="K216" i="9"/>
  <c r="L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J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F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J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J238" i="9"/>
  <c r="K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J240" i="9"/>
  <c r="K240" i="9"/>
  <c r="L240" i="9"/>
  <c r="C241" i="9"/>
  <c r="D241" i="9"/>
  <c r="E241" i="9"/>
  <c r="F241" i="9"/>
  <c r="G241" i="9"/>
  <c r="H241" i="9"/>
  <c r="I241" i="9"/>
  <c r="J241" i="9"/>
  <c r="K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J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D250" i="9"/>
  <c r="E250" i="9"/>
  <c r="F250" i="9"/>
  <c r="G250" i="9"/>
  <c r="H250" i="9"/>
  <c r="I250" i="9"/>
  <c r="J250" i="9"/>
  <c r="K250" i="9"/>
  <c r="L250" i="9"/>
  <c r="C252" i="9"/>
  <c r="D252" i="9"/>
  <c r="E252" i="9"/>
  <c r="F252" i="9"/>
  <c r="G252" i="9"/>
  <c r="H252" i="9"/>
  <c r="I252" i="9"/>
  <c r="J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J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J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G282" i="9"/>
  <c r="H282" i="9"/>
  <c r="I282" i="9"/>
  <c r="J282" i="9"/>
  <c r="K282" i="9"/>
  <c r="L282" i="9"/>
  <c r="C283" i="9"/>
  <c r="D283" i="9"/>
  <c r="E283" i="9"/>
  <c r="F283" i="9"/>
  <c r="G283" i="9"/>
  <c r="H283" i="9"/>
  <c r="I283" i="9"/>
  <c r="J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J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J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J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J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K320" i="9"/>
  <c r="L320" i="9"/>
  <c r="C321" i="9"/>
  <c r="D321" i="9"/>
  <c r="E321" i="9"/>
  <c r="F321" i="9"/>
  <c r="G321" i="9"/>
  <c r="H321" i="9"/>
  <c r="I321" i="9"/>
  <c r="J321" i="9"/>
  <c r="K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D326" i="9"/>
  <c r="E326" i="9"/>
  <c r="F326" i="9"/>
  <c r="G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J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F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J343" i="9"/>
  <c r="K343" i="9"/>
  <c r="L343" i="9"/>
  <c r="C344" i="9"/>
  <c r="D344" i="9"/>
  <c r="E344" i="9"/>
  <c r="F344" i="9"/>
  <c r="G344" i="9"/>
  <c r="H344" i="9"/>
  <c r="I344" i="9"/>
  <c r="J344" i="9"/>
  <c r="K344" i="9"/>
  <c r="L344" i="9"/>
  <c r="C345" i="9"/>
  <c r="D345" i="9"/>
  <c r="E345" i="9"/>
  <c r="F345" i="9"/>
  <c r="G345" i="9"/>
  <c r="H345" i="9"/>
  <c r="I345" i="9"/>
  <c r="J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J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D358" i="9"/>
  <c r="E358" i="9"/>
  <c r="F358" i="9"/>
  <c r="G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J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J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J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J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J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G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J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G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G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D435" i="9"/>
  <c r="E435" i="9"/>
  <c r="F435" i="9"/>
  <c r="G435" i="9"/>
  <c r="H435" i="9"/>
  <c r="I435" i="9"/>
  <c r="J435" i="9"/>
  <c r="K435" i="9"/>
  <c r="L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E438" i="9"/>
  <c r="F438" i="9"/>
  <c r="G438" i="9"/>
  <c r="H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D440" i="9"/>
  <c r="E440" i="9"/>
  <c r="F440" i="9"/>
  <c r="G440" i="9"/>
  <c r="H440" i="9"/>
  <c r="I440" i="9"/>
  <c r="J440" i="9"/>
  <c r="K440" i="9"/>
  <c r="L440" i="9"/>
  <c r="C441" i="9"/>
  <c r="D441" i="9"/>
  <c r="E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J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F480" i="9"/>
  <c r="G480" i="9"/>
  <c r="H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J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D498" i="9"/>
  <c r="E498" i="9"/>
  <c r="F498" i="9"/>
  <c r="G498" i="9"/>
  <c r="H498" i="9"/>
  <c r="I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G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J501" i="9"/>
  <c r="K501" i="9"/>
  <c r="L501" i="9"/>
  <c r="C502" i="9"/>
  <c r="D502" i="9"/>
  <c r="E502" i="9"/>
  <c r="F502" i="9"/>
  <c r="G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J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J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D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D549" i="9"/>
  <c r="E549" i="9"/>
  <c r="F549" i="9"/>
  <c r="G549" i="9"/>
  <c r="H549" i="9"/>
  <c r="I549" i="9"/>
  <c r="J549" i="9"/>
  <c r="K549" i="9"/>
  <c r="L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D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J596" i="9"/>
  <c r="K596" i="9"/>
  <c r="L596" i="9"/>
  <c r="C597" i="9"/>
  <c r="D597" i="9"/>
  <c r="E597" i="9"/>
  <c r="F597" i="9"/>
  <c r="G597" i="9"/>
  <c r="H597" i="9"/>
  <c r="I597" i="9"/>
  <c r="J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J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F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J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J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C635" i="9"/>
  <c r="D635" i="9"/>
  <c r="E635" i="9"/>
  <c r="F635" i="9"/>
  <c r="G635" i="9"/>
  <c r="H635" i="9"/>
  <c r="I635" i="9"/>
  <c r="J635" i="9"/>
  <c r="K635" i="9"/>
  <c r="L635" i="9"/>
  <c r="C636" i="9"/>
  <c r="D636" i="9"/>
  <c r="E636" i="9"/>
  <c r="F636" i="9"/>
  <c r="G636" i="9"/>
  <c r="H636" i="9"/>
  <c r="I636" i="9"/>
  <c r="J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C639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J640" i="9"/>
  <c r="K640" i="9"/>
  <c r="L640" i="9"/>
  <c r="C641" i="9"/>
  <c r="D641" i="9"/>
  <c r="E641" i="9"/>
  <c r="F641" i="9"/>
  <c r="G641" i="9"/>
  <c r="H641" i="9"/>
  <c r="I641" i="9"/>
  <c r="J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E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J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F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J700" i="9"/>
  <c r="K700" i="9"/>
  <c r="L700" i="9"/>
  <c r="C702" i="9"/>
  <c r="D702" i="9"/>
  <c r="E702" i="9"/>
  <c r="F702" i="9"/>
  <c r="G702" i="9"/>
  <c r="H702" i="9"/>
  <c r="I702" i="9"/>
  <c r="J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J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J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C739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C743" i="9"/>
  <c r="D743" i="9"/>
  <c r="E743" i="9"/>
  <c r="F743" i="9"/>
  <c r="G743" i="9"/>
  <c r="H743" i="9"/>
  <c r="I743" i="9"/>
  <c r="J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G755" i="9"/>
  <c r="H755" i="9"/>
  <c r="I755" i="9"/>
  <c r="J755" i="9"/>
  <c r="K755" i="9"/>
  <c r="L755" i="9"/>
  <c r="C756" i="9"/>
  <c r="D756" i="9"/>
  <c r="E756" i="9"/>
  <c r="F756" i="9"/>
  <c r="G756" i="9"/>
  <c r="H756" i="9"/>
  <c r="I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K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J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F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F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H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F862" i="9"/>
  <c r="G862" i="9"/>
  <c r="H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H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G875" i="9"/>
  <c r="H875" i="9"/>
  <c r="I875" i="9"/>
  <c r="J875" i="9"/>
  <c r="K875" i="9"/>
  <c r="L875" i="9"/>
  <c r="C876" i="9"/>
  <c r="D876" i="9"/>
  <c r="E876" i="9"/>
  <c r="F876" i="9"/>
  <c r="G876" i="9"/>
  <c r="H876" i="9"/>
  <c r="I876" i="9"/>
  <c r="J876" i="9"/>
  <c r="K876" i="9"/>
  <c r="L876" i="9"/>
  <c r="C877" i="9"/>
  <c r="D877" i="9"/>
  <c r="E877" i="9"/>
  <c r="F877" i="9"/>
  <c r="G877" i="9"/>
  <c r="H877" i="9"/>
  <c r="I877" i="9"/>
  <c r="J877" i="9"/>
  <c r="K877" i="9"/>
  <c r="L877" i="9"/>
  <c r="C878" i="9"/>
  <c r="D878" i="9"/>
  <c r="E878" i="9"/>
  <c r="F878" i="9"/>
  <c r="G878" i="9"/>
  <c r="H878" i="9"/>
  <c r="I878" i="9"/>
  <c r="J878" i="9"/>
  <c r="K878" i="9"/>
  <c r="L878" i="9"/>
  <c r="C879" i="9"/>
  <c r="D879" i="9"/>
  <c r="E879" i="9"/>
  <c r="F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F888" i="9"/>
  <c r="G888" i="9"/>
  <c r="H888" i="9"/>
  <c r="I888" i="9"/>
  <c r="J888" i="9"/>
  <c r="K888" i="9"/>
  <c r="L888" i="9"/>
  <c r="C889" i="9"/>
  <c r="D889" i="9"/>
  <c r="E889" i="9"/>
  <c r="F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J892" i="9"/>
  <c r="K892" i="9"/>
  <c r="L892" i="9"/>
  <c r="C893" i="9"/>
  <c r="D893" i="9"/>
  <c r="E893" i="9"/>
  <c r="F893" i="9"/>
  <c r="G893" i="9"/>
  <c r="H893" i="9"/>
  <c r="I893" i="9"/>
  <c r="J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D897" i="9"/>
  <c r="E897" i="9"/>
  <c r="F897" i="9"/>
  <c r="G897" i="9"/>
  <c r="H897" i="9"/>
  <c r="I897" i="9"/>
  <c r="J897" i="9"/>
  <c r="K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D899" i="9"/>
  <c r="E899" i="9"/>
  <c r="F899" i="9"/>
  <c r="G899" i="9"/>
  <c r="H899" i="9"/>
  <c r="I899" i="9"/>
  <c r="J899" i="9"/>
  <c r="K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D902" i="9"/>
  <c r="E902" i="9"/>
  <c r="F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D904" i="9"/>
  <c r="E904" i="9"/>
  <c r="F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E906" i="9"/>
  <c r="F906" i="9"/>
  <c r="G906" i="9"/>
  <c r="H906" i="9"/>
  <c r="I906" i="9"/>
  <c r="J906" i="9"/>
  <c r="K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E908" i="9"/>
  <c r="F908" i="9"/>
  <c r="G908" i="9"/>
  <c r="H908" i="9"/>
  <c r="I908" i="9"/>
  <c r="J908" i="9"/>
  <c r="K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J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J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E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E950" i="9"/>
  <c r="F950" i="9"/>
  <c r="G950" i="9"/>
  <c r="H950" i="9"/>
  <c r="I950" i="9"/>
  <c r="J950" i="9"/>
  <c r="K950" i="9"/>
  <c r="L950" i="9"/>
  <c r="C951" i="9"/>
  <c r="D951" i="9"/>
  <c r="E951" i="9"/>
  <c r="F951" i="9"/>
  <c r="G951" i="9"/>
  <c r="H951" i="9"/>
  <c r="I951" i="9"/>
  <c r="J951" i="9"/>
  <c r="K951" i="9"/>
  <c r="L951" i="9"/>
  <c r="C952" i="9"/>
  <c r="D952" i="9"/>
  <c r="E952" i="9"/>
  <c r="F952" i="9"/>
  <c r="G952" i="9"/>
  <c r="H952" i="9"/>
  <c r="I952" i="9"/>
  <c r="J952" i="9"/>
  <c r="K952" i="9"/>
  <c r="L952" i="9"/>
  <c r="C953" i="9"/>
  <c r="D953" i="9"/>
  <c r="E953" i="9"/>
  <c r="F953" i="9"/>
  <c r="G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F955" i="9"/>
  <c r="G955" i="9"/>
  <c r="H955" i="9"/>
  <c r="I955" i="9"/>
  <c r="J955" i="9"/>
  <c r="K955" i="9"/>
  <c r="L955" i="9"/>
  <c r="C956" i="9"/>
  <c r="D956" i="9"/>
  <c r="E956" i="9"/>
  <c r="F956" i="9"/>
  <c r="G956" i="9"/>
  <c r="H956" i="9"/>
  <c r="I956" i="9"/>
  <c r="J956" i="9"/>
  <c r="K956" i="9"/>
  <c r="L956" i="9"/>
  <c r="C957" i="9"/>
  <c r="D957" i="9"/>
  <c r="E957" i="9"/>
  <c r="F957" i="9"/>
  <c r="G957" i="9"/>
  <c r="H957" i="9"/>
  <c r="I957" i="9"/>
  <c r="J957" i="9"/>
  <c r="K957" i="9"/>
  <c r="L957" i="9"/>
  <c r="C958" i="9"/>
  <c r="D958" i="9"/>
  <c r="E958" i="9"/>
  <c r="F958" i="9"/>
  <c r="G958" i="9"/>
  <c r="H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F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F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J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J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J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J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J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J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G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G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G1023" i="9"/>
  <c r="H1023" i="9"/>
  <c r="I1023" i="9"/>
  <c r="J1023" i="9"/>
  <c r="K1023" i="9"/>
  <c r="L1023" i="9"/>
  <c r="C1024" i="9"/>
  <c r="D1024" i="9"/>
  <c r="E1024" i="9"/>
  <c r="F1024" i="9"/>
  <c r="G1024" i="9"/>
  <c r="H1024" i="9"/>
  <c r="I1024" i="9"/>
  <c r="J1024" i="9"/>
  <c r="K1024" i="9"/>
  <c r="L1024" i="9"/>
  <c r="C1025" i="9"/>
  <c r="D1025" i="9"/>
  <c r="E1025" i="9"/>
  <c r="F1025" i="9"/>
  <c r="G1025" i="9"/>
  <c r="H1025" i="9"/>
  <c r="I1025" i="9"/>
  <c r="J1025" i="9"/>
  <c r="K1025" i="9"/>
  <c r="L1025" i="9"/>
  <c r="C1026" i="9"/>
  <c r="D1026" i="9"/>
  <c r="E1026" i="9"/>
  <c r="F1026" i="9"/>
  <c r="G1026" i="9"/>
  <c r="H1026" i="9"/>
  <c r="I1026" i="9"/>
  <c r="J1026" i="9"/>
  <c r="K1026" i="9"/>
  <c r="L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J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J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F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F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J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J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F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F1067" i="9"/>
  <c r="G1067" i="9"/>
  <c r="H1067" i="9"/>
  <c r="I1067" i="9"/>
  <c r="J1067" i="9"/>
  <c r="K1067" i="9"/>
  <c r="L1067" i="9"/>
  <c r="C1068" i="9"/>
  <c r="D1068" i="9"/>
  <c r="E1068" i="9"/>
  <c r="F1068" i="9"/>
  <c r="G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J1069" i="9"/>
  <c r="K1069" i="9"/>
  <c r="L1069" i="9"/>
  <c r="C1070" i="9"/>
  <c r="D1070" i="9"/>
  <c r="E1070" i="9"/>
  <c r="F1070" i="9"/>
  <c r="G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J1071" i="9"/>
  <c r="K1071" i="9"/>
  <c r="L1071" i="9"/>
  <c r="C1072" i="9"/>
  <c r="D1072" i="9"/>
  <c r="E1072" i="9"/>
  <c r="F1072" i="9"/>
  <c r="G1072" i="9"/>
  <c r="H1072" i="9"/>
  <c r="I1072" i="9"/>
  <c r="J1072" i="9"/>
  <c r="K1072" i="9"/>
  <c r="L1072" i="9"/>
  <c r="C1073" i="9"/>
  <c r="D1073" i="9"/>
  <c r="E1073" i="9"/>
  <c r="F1073" i="9"/>
  <c r="G1073" i="9"/>
  <c r="H1073" i="9"/>
  <c r="I1073" i="9"/>
  <c r="J1073" i="9"/>
  <c r="K1073" i="9"/>
  <c r="L1073" i="9"/>
  <c r="C1074" i="9"/>
  <c r="D1074" i="9"/>
  <c r="E1074" i="9"/>
  <c r="F1074" i="9"/>
  <c r="G1074" i="9"/>
  <c r="H1074" i="9"/>
  <c r="I1074" i="9"/>
  <c r="J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D1077" i="9"/>
  <c r="E1077" i="9"/>
  <c r="F1077" i="9"/>
  <c r="G1077" i="9"/>
  <c r="H1077" i="9"/>
  <c r="I1077" i="9"/>
  <c r="J1077" i="9"/>
  <c r="K1077" i="9"/>
  <c r="L1077" i="9"/>
  <c r="C1078" i="9"/>
  <c r="D1078" i="9"/>
  <c r="E1078" i="9"/>
  <c r="F1078" i="9"/>
  <c r="G1078" i="9"/>
  <c r="H1078" i="9"/>
  <c r="I1078" i="9"/>
  <c r="J1078" i="9"/>
  <c r="K1078" i="9"/>
  <c r="L1078" i="9"/>
  <c r="C1079" i="9"/>
  <c r="D1079" i="9"/>
  <c r="E1079" i="9"/>
  <c r="F1079" i="9"/>
  <c r="G1079" i="9"/>
  <c r="H1079" i="9"/>
  <c r="I1079" i="9"/>
  <c r="J1079" i="9"/>
  <c r="K1079" i="9"/>
  <c r="L1079" i="9"/>
  <c r="C1080" i="9"/>
  <c r="D1080" i="9"/>
  <c r="E1080" i="9"/>
  <c r="F1080" i="9"/>
  <c r="G1080" i="9"/>
  <c r="H1080" i="9"/>
  <c r="I1080" i="9"/>
  <c r="J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C1086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J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J1095" i="9"/>
  <c r="K1095" i="9"/>
  <c r="L1095" i="9"/>
  <c r="C1096" i="9"/>
  <c r="D1096" i="9"/>
  <c r="E1096" i="9"/>
  <c r="F1096" i="9"/>
  <c r="G1096" i="9"/>
  <c r="H1096" i="9"/>
  <c r="I1096" i="9"/>
  <c r="J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J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L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L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G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J1115" i="9"/>
  <c r="K1115" i="9"/>
  <c r="L1115" i="9"/>
  <c r="C1116" i="9"/>
  <c r="D1116" i="9"/>
  <c r="E1116" i="9"/>
  <c r="F1116" i="9"/>
  <c r="G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J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8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A4" i="2"/>
  <c r="A4" i="9" s="1"/>
  <c r="A5" i="2"/>
  <c r="A5" i="9" s="1"/>
  <c r="A6" i="2"/>
  <c r="A6" i="9" s="1"/>
  <c r="A7" i="2"/>
  <c r="A7" i="9" s="1"/>
  <c r="A8" i="2"/>
  <c r="A8" i="9" s="1"/>
  <c r="A9" i="2"/>
  <c r="A9" i="9" s="1"/>
  <c r="A10" i="2"/>
  <c r="A10" i="9" s="1"/>
  <c r="A11" i="2"/>
  <c r="A11" i="9" s="1"/>
  <c r="A12" i="2"/>
  <c r="A12" i="9" s="1"/>
  <c r="A13" i="2"/>
  <c r="A13" i="9" s="1"/>
  <c r="A14" i="2"/>
  <c r="A14" i="9" s="1"/>
  <c r="A15" i="2"/>
  <c r="A15" i="9" s="1"/>
  <c r="A16" i="2"/>
  <c r="A16" i="9" s="1"/>
  <c r="A17" i="2"/>
  <c r="A17" i="9" s="1"/>
  <c r="A18" i="2"/>
  <c r="A18" i="9" s="1"/>
  <c r="A19" i="2"/>
  <c r="A19" i="9" s="1"/>
  <c r="A20" i="2"/>
  <c r="A20" i="9" s="1"/>
  <c r="A21" i="2"/>
  <c r="A21" i="9" s="1"/>
  <c r="A22" i="2"/>
  <c r="A22" i="9" s="1"/>
  <c r="A23" i="2"/>
  <c r="A23" i="9" s="1"/>
  <c r="A24" i="2"/>
  <c r="A24" i="9" s="1"/>
  <c r="A25" i="2"/>
  <c r="A25" i="9" s="1"/>
  <c r="A26" i="2"/>
  <c r="A26" i="9" s="1"/>
  <c r="A27" i="2"/>
  <c r="A27" i="9" s="1"/>
  <c r="A28" i="2"/>
  <c r="A28" i="9" s="1"/>
  <c r="A29" i="2"/>
  <c r="A29" i="9" s="1"/>
  <c r="A30" i="2"/>
  <c r="A30" i="9" s="1"/>
  <c r="A31" i="2"/>
  <c r="A31" i="9" s="1"/>
  <c r="A32" i="2"/>
  <c r="A32" i="9" s="1"/>
  <c r="A33" i="2"/>
  <c r="A33" i="9" s="1"/>
  <c r="A34" i="2"/>
  <c r="A34" i="9" s="1"/>
  <c r="A35" i="2"/>
  <c r="A35" i="9" s="1"/>
  <c r="A36" i="2"/>
  <c r="A36" i="9" s="1"/>
  <c r="A37" i="2"/>
  <c r="A37" i="9" s="1"/>
  <c r="A38" i="2"/>
  <c r="A38" i="9" s="1"/>
  <c r="A39" i="2"/>
  <c r="A39" i="9" s="1"/>
  <c r="A40" i="2"/>
  <c r="A40" i="9" s="1"/>
  <c r="A41" i="2"/>
  <c r="A41" i="9" s="1"/>
  <c r="A42" i="2"/>
  <c r="A42" i="9" s="1"/>
  <c r="A43" i="2"/>
  <c r="A43" i="9" s="1"/>
  <c r="A44" i="2"/>
  <c r="A44" i="9" s="1"/>
  <c r="A45" i="2"/>
  <c r="A45" i="9" s="1"/>
  <c r="A46" i="2"/>
  <c r="A46" i="9" s="1"/>
  <c r="A47" i="2"/>
  <c r="A47" i="9" s="1"/>
  <c r="A48" i="2"/>
  <c r="A48" i="9" s="1"/>
  <c r="A49" i="2"/>
  <c r="A49" i="9" s="1"/>
  <c r="A50" i="2"/>
  <c r="A50" i="9" s="1"/>
  <c r="A51" i="2"/>
  <c r="A51" i="9" s="1"/>
  <c r="A52" i="2"/>
  <c r="A52" i="9" s="1"/>
  <c r="A53" i="2"/>
  <c r="A53" i="9" s="1"/>
  <c r="A54" i="2"/>
  <c r="A54" i="9" s="1"/>
  <c r="A55" i="2"/>
  <c r="A55" i="9" s="1"/>
  <c r="A56" i="2"/>
  <c r="A56" i="9" s="1"/>
  <c r="A57" i="2"/>
  <c r="A57" i="9" s="1"/>
  <c r="A58" i="2"/>
  <c r="A58" i="9" s="1"/>
  <c r="A59" i="2"/>
  <c r="A59" i="9" s="1"/>
  <c r="A60" i="2"/>
  <c r="A60" i="9" s="1"/>
  <c r="A61" i="2"/>
  <c r="A61" i="9" s="1"/>
  <c r="A62" i="2"/>
  <c r="A62" i="9" s="1"/>
  <c r="A63" i="2"/>
  <c r="A63" i="9" s="1"/>
  <c r="A64" i="2"/>
  <c r="A64" i="9" s="1"/>
  <c r="A65" i="2"/>
  <c r="A65" i="9" s="1"/>
  <c r="A66" i="2"/>
  <c r="A66" i="9" s="1"/>
  <c r="A67" i="2"/>
  <c r="A67" i="9" s="1"/>
  <c r="A68" i="2"/>
  <c r="A68" i="9" s="1"/>
  <c r="A69" i="2"/>
  <c r="A69" i="9" s="1"/>
  <c r="A70" i="2"/>
  <c r="A70" i="9" s="1"/>
  <c r="A71" i="2"/>
  <c r="A71" i="9" s="1"/>
  <c r="A72" i="2"/>
  <c r="A72" i="9" s="1"/>
  <c r="A73" i="2"/>
  <c r="A73" i="9" s="1"/>
  <c r="A74" i="2"/>
  <c r="A74" i="9" s="1"/>
  <c r="A75" i="2"/>
  <c r="A75" i="9" s="1"/>
  <c r="A76" i="2"/>
  <c r="A76" i="9" s="1"/>
  <c r="A77" i="2"/>
  <c r="A77" i="9" s="1"/>
  <c r="A78" i="2"/>
  <c r="A78" i="9" s="1"/>
  <c r="A79" i="2"/>
  <c r="A79" i="9" s="1"/>
  <c r="A80" i="2"/>
  <c r="A80" i="9" s="1"/>
  <c r="A81" i="2"/>
  <c r="A81" i="9" s="1"/>
  <c r="A82" i="2"/>
  <c r="A82" i="9" s="1"/>
  <c r="A83" i="2"/>
  <c r="A83" i="9" s="1"/>
  <c r="A84" i="2"/>
  <c r="A84" i="9" s="1"/>
  <c r="A85" i="2"/>
  <c r="A85" i="9" s="1"/>
  <c r="A86" i="2"/>
  <c r="A86" i="9" s="1"/>
  <c r="A87" i="2"/>
  <c r="A87" i="9" s="1"/>
  <c r="A88" i="2"/>
  <c r="A88" i="9" s="1"/>
  <c r="A89" i="2"/>
  <c r="A89" i="9" s="1"/>
  <c r="A90" i="2"/>
  <c r="A90" i="9" s="1"/>
  <c r="A91" i="2"/>
  <c r="A91" i="9" s="1"/>
  <c r="A92" i="2"/>
  <c r="A92" i="9" s="1"/>
  <c r="A93" i="2"/>
  <c r="A93" i="9" s="1"/>
  <c r="A94" i="2"/>
  <c r="A94" i="9" s="1"/>
  <c r="A95" i="2"/>
  <c r="A95" i="9" s="1"/>
  <c r="A96" i="2"/>
  <c r="A96" i="9" s="1"/>
  <c r="A97" i="2"/>
  <c r="A97" i="9" s="1"/>
  <c r="A98" i="2"/>
  <c r="A98" i="9" s="1"/>
  <c r="A99" i="2"/>
  <c r="A99" i="9" s="1"/>
  <c r="A100" i="2"/>
  <c r="A100" i="9" s="1"/>
  <c r="A101" i="2"/>
  <c r="A101" i="9" s="1"/>
  <c r="A102" i="2"/>
  <c r="A102" i="9" s="1"/>
  <c r="A103" i="2"/>
  <c r="A103" i="9" s="1"/>
  <c r="A104" i="2"/>
  <c r="A104" i="9" s="1"/>
  <c r="A105" i="2"/>
  <c r="A105" i="9" s="1"/>
  <c r="A106" i="2"/>
  <c r="A106" i="9" s="1"/>
  <c r="A107" i="2"/>
  <c r="A107" i="9" s="1"/>
  <c r="A108" i="2"/>
  <c r="A108" i="9" s="1"/>
  <c r="A109" i="2"/>
  <c r="A109" i="9" s="1"/>
  <c r="A110" i="2"/>
  <c r="A110" i="9" s="1"/>
  <c r="A111" i="2"/>
  <c r="A111" i="9" s="1"/>
  <c r="A112" i="2"/>
  <c r="A112" i="9" s="1"/>
  <c r="A113" i="2"/>
  <c r="A113" i="9" s="1"/>
  <c r="A114" i="2"/>
  <c r="A114" i="9" s="1"/>
  <c r="A115" i="2"/>
  <c r="A115" i="9" s="1"/>
  <c r="A116" i="2"/>
  <c r="A116" i="9" s="1"/>
  <c r="A117" i="2"/>
  <c r="A117" i="9" s="1"/>
  <c r="A118" i="2"/>
  <c r="A118" i="9" s="1"/>
  <c r="A119" i="2"/>
  <c r="A119" i="9" s="1"/>
  <c r="A120" i="2"/>
  <c r="A120" i="9" s="1"/>
  <c r="A121" i="2"/>
  <c r="A121" i="9" s="1"/>
  <c r="A122" i="2"/>
  <c r="A122" i="9" s="1"/>
  <c r="A123" i="2"/>
  <c r="A123" i="9" s="1"/>
  <c r="A124" i="2"/>
  <c r="A124" i="9" s="1"/>
  <c r="A125" i="2"/>
  <c r="A125" i="9" s="1"/>
  <c r="A126" i="2"/>
  <c r="A126" i="9" s="1"/>
  <c r="A127" i="2"/>
  <c r="A127" i="9" s="1"/>
  <c r="A128" i="2"/>
  <c r="A128" i="9" s="1"/>
  <c r="A129" i="2"/>
  <c r="A129" i="9" s="1"/>
  <c r="A130" i="2"/>
  <c r="A130" i="9" s="1"/>
  <c r="A131" i="2"/>
  <c r="A131" i="9" s="1"/>
  <c r="A132" i="2"/>
  <c r="A132" i="9" s="1"/>
  <c r="A133" i="2"/>
  <c r="A133" i="9" s="1"/>
  <c r="A134" i="2"/>
  <c r="A134" i="9" s="1"/>
  <c r="A135" i="2"/>
  <c r="A135" i="9" s="1"/>
  <c r="A136" i="2"/>
  <c r="A136" i="9" s="1"/>
  <c r="A137" i="2"/>
  <c r="A137" i="9" s="1"/>
  <c r="A138" i="2"/>
  <c r="A138" i="9" s="1"/>
  <c r="A139" i="2"/>
  <c r="A139" i="9" s="1"/>
  <c r="A140" i="2"/>
  <c r="A140" i="9" s="1"/>
  <c r="A141" i="2"/>
  <c r="A141" i="9" s="1"/>
  <c r="A142" i="2"/>
  <c r="A142" i="9" s="1"/>
  <c r="A143" i="2"/>
  <c r="A143" i="9" s="1"/>
  <c r="A144" i="2"/>
  <c r="A144" i="9" s="1"/>
  <c r="A145" i="2"/>
  <c r="A145" i="9" s="1"/>
  <c r="A146" i="2"/>
  <c r="A146" i="9" s="1"/>
  <c r="A147" i="2"/>
  <c r="A147" i="9" s="1"/>
  <c r="A148" i="2"/>
  <c r="A148" i="9" s="1"/>
  <c r="A149" i="2"/>
  <c r="A149" i="9" s="1"/>
  <c r="A150" i="2"/>
  <c r="A150" i="9" s="1"/>
  <c r="A151" i="2"/>
  <c r="A151" i="9" s="1"/>
  <c r="A152" i="2"/>
  <c r="A152" i="9" s="1"/>
  <c r="A153" i="2"/>
  <c r="A153" i="9" s="1"/>
  <c r="A154" i="2"/>
  <c r="A154" i="9" s="1"/>
  <c r="A155" i="2"/>
  <c r="A155" i="9" s="1"/>
  <c r="A156" i="2"/>
  <c r="A156" i="9" s="1"/>
  <c r="A157" i="2"/>
  <c r="A157" i="9" s="1"/>
  <c r="A158" i="2"/>
  <c r="A158" i="9" s="1"/>
  <c r="A159" i="2"/>
  <c r="A159" i="9" s="1"/>
  <c r="A160" i="2"/>
  <c r="A160" i="9" s="1"/>
  <c r="A161" i="2"/>
  <c r="A161" i="9" s="1"/>
  <c r="A162" i="2"/>
  <c r="A162" i="9" s="1"/>
  <c r="A163" i="2"/>
  <c r="A163" i="9" s="1"/>
  <c r="A164" i="2"/>
  <c r="A164" i="9" s="1"/>
  <c r="A165" i="2"/>
  <c r="A165" i="9" s="1"/>
  <c r="A166" i="2"/>
  <c r="A166" i="9" s="1"/>
  <c r="A167" i="2"/>
  <c r="A167" i="9" s="1"/>
  <c r="A168" i="2"/>
  <c r="A168" i="9" s="1"/>
  <c r="A169" i="2"/>
  <c r="A169" i="9" s="1"/>
  <c r="A170" i="2"/>
  <c r="A170" i="9" s="1"/>
  <c r="A171" i="2"/>
  <c r="A171" i="9" s="1"/>
  <c r="A172" i="2"/>
  <c r="A172" i="9" s="1"/>
  <c r="A173" i="2"/>
  <c r="A173" i="9" s="1"/>
  <c r="A174" i="2"/>
  <c r="A174" i="9" s="1"/>
  <c r="A175" i="2"/>
  <c r="A175" i="9" s="1"/>
  <c r="A176" i="2"/>
  <c r="A176" i="9" s="1"/>
  <c r="A177" i="2"/>
  <c r="A177" i="9" s="1"/>
  <c r="A178" i="2"/>
  <c r="A178" i="9" s="1"/>
  <c r="A179" i="2"/>
  <c r="A179" i="9" s="1"/>
  <c r="A180" i="2"/>
  <c r="A180" i="9" s="1"/>
  <c r="A181" i="2"/>
  <c r="A181" i="9" s="1"/>
  <c r="A182" i="2"/>
  <c r="A182" i="9" s="1"/>
  <c r="A183" i="2"/>
  <c r="A183" i="9" s="1"/>
  <c r="A184" i="2"/>
  <c r="A184" i="9" s="1"/>
  <c r="A185" i="2"/>
  <c r="A185" i="9" s="1"/>
  <c r="A186" i="2"/>
  <c r="A186" i="9" s="1"/>
  <c r="A187" i="2"/>
  <c r="A187" i="9" s="1"/>
  <c r="A188" i="2"/>
  <c r="A188" i="9" s="1"/>
  <c r="A189" i="2"/>
  <c r="A189" i="9" s="1"/>
  <c r="A190" i="2"/>
  <c r="A190" i="9" s="1"/>
  <c r="A191" i="2"/>
  <c r="A191" i="9" s="1"/>
  <c r="A192" i="2"/>
  <c r="A192" i="9" s="1"/>
  <c r="A193" i="2"/>
  <c r="A193" i="9" s="1"/>
  <c r="A194" i="2"/>
  <c r="A194" i="9" s="1"/>
  <c r="A195" i="2"/>
  <c r="A195" i="9" s="1"/>
  <c r="A196" i="2"/>
  <c r="A196" i="9" s="1"/>
  <c r="A197" i="2"/>
  <c r="A197" i="9" s="1"/>
  <c r="A198" i="2"/>
  <c r="A198" i="9" s="1"/>
  <c r="A199" i="2"/>
  <c r="A199" i="9" s="1"/>
  <c r="A200" i="2"/>
  <c r="A200" i="9" s="1"/>
  <c r="A201" i="2"/>
  <c r="A201" i="9" s="1"/>
  <c r="A202" i="2"/>
  <c r="A202" i="9" s="1"/>
  <c r="A203" i="2"/>
  <c r="A203" i="9" s="1"/>
  <c r="A204" i="2"/>
  <c r="A204" i="9" s="1"/>
  <c r="A205" i="2"/>
  <c r="A205" i="9" s="1"/>
  <c r="A206" i="2"/>
  <c r="A206" i="9" s="1"/>
  <c r="A207" i="2"/>
  <c r="A207" i="9" s="1"/>
  <c r="A208" i="2"/>
  <c r="A208" i="9" s="1"/>
  <c r="A209" i="2"/>
  <c r="A209" i="9" s="1"/>
  <c r="A210" i="2"/>
  <c r="A210" i="9" s="1"/>
  <c r="A211" i="2"/>
  <c r="A211" i="9" s="1"/>
  <c r="A212" i="2"/>
  <c r="A212" i="9" s="1"/>
  <c r="A213" i="2"/>
  <c r="A213" i="9" s="1"/>
  <c r="A214" i="2"/>
  <c r="A214" i="9" s="1"/>
  <c r="A215" i="2"/>
  <c r="A215" i="9" s="1"/>
  <c r="A216" i="2"/>
  <c r="A216" i="9" s="1"/>
  <c r="A217" i="2"/>
  <c r="A217" i="9" s="1"/>
  <c r="A218" i="2"/>
  <c r="A218" i="9" s="1"/>
  <c r="A219" i="2"/>
  <c r="A219" i="9" s="1"/>
  <c r="A220" i="2"/>
  <c r="A220" i="9" s="1"/>
  <c r="A221" i="2"/>
  <c r="A221" i="9" s="1"/>
  <c r="A222" i="2"/>
  <c r="A222" i="9" s="1"/>
  <c r="A223" i="2"/>
  <c r="A223" i="9" s="1"/>
  <c r="A224" i="2"/>
  <c r="A224" i="9" s="1"/>
  <c r="A225" i="2"/>
  <c r="A225" i="9" s="1"/>
  <c r="A226" i="2"/>
  <c r="A226" i="9" s="1"/>
  <c r="A227" i="2"/>
  <c r="A227" i="9" s="1"/>
  <c r="A228" i="2"/>
  <c r="A228" i="9" s="1"/>
  <c r="A229" i="2"/>
  <c r="A229" i="9" s="1"/>
  <c r="A230" i="2"/>
  <c r="A230" i="9" s="1"/>
  <c r="A231" i="2"/>
  <c r="A231" i="9" s="1"/>
  <c r="A232" i="2"/>
  <c r="A232" i="9" s="1"/>
  <c r="A233" i="2"/>
  <c r="A233" i="9" s="1"/>
  <c r="A234" i="2"/>
  <c r="A234" i="9" s="1"/>
  <c r="A235" i="2"/>
  <c r="A235" i="9" s="1"/>
  <c r="A236" i="2"/>
  <c r="A236" i="9" s="1"/>
  <c r="A237" i="2"/>
  <c r="A237" i="9" s="1"/>
  <c r="A238" i="2"/>
  <c r="A238" i="9" s="1"/>
  <c r="A239" i="2"/>
  <c r="A239" i="9" s="1"/>
  <c r="A240" i="2"/>
  <c r="A240" i="9" s="1"/>
  <c r="A241" i="2"/>
  <c r="A241" i="9" s="1"/>
  <c r="A242" i="2"/>
  <c r="A242" i="9" s="1"/>
  <c r="A243" i="2"/>
  <c r="A243" i="9" s="1"/>
  <c r="A244" i="2"/>
  <c r="A244" i="9" s="1"/>
  <c r="A245" i="2"/>
  <c r="A245" i="9" s="1"/>
  <c r="A246" i="2"/>
  <c r="A246" i="9" s="1"/>
  <c r="A247" i="2"/>
  <c r="A247" i="9" s="1"/>
  <c r="A248" i="2"/>
  <c r="A248" i="9" s="1"/>
  <c r="A249" i="2"/>
  <c r="A249" i="9" s="1"/>
  <c r="A250" i="2"/>
  <c r="A250" i="9" s="1"/>
  <c r="A251" i="2"/>
  <c r="A251" i="9" s="1"/>
  <c r="A252" i="2"/>
  <c r="A252" i="9" s="1"/>
  <c r="A253" i="2"/>
  <c r="A253" i="9" s="1"/>
  <c r="A254" i="2"/>
  <c r="A254" i="9" s="1"/>
  <c r="A255" i="2"/>
  <c r="A255" i="9" s="1"/>
  <c r="A256" i="2"/>
  <c r="A256" i="9" s="1"/>
  <c r="A257" i="2"/>
  <c r="A257" i="9" s="1"/>
  <c r="A258" i="2"/>
  <c r="A258" i="9" s="1"/>
  <c r="A259" i="2"/>
  <c r="A259" i="9" s="1"/>
  <c r="A260" i="2"/>
  <c r="A260" i="9" s="1"/>
  <c r="A261" i="2"/>
  <c r="A261" i="9" s="1"/>
  <c r="A262" i="2"/>
  <c r="A262" i="9" s="1"/>
  <c r="A263" i="2"/>
  <c r="A263" i="9" s="1"/>
  <c r="A264" i="2"/>
  <c r="A264" i="9" s="1"/>
  <c r="A265" i="2"/>
  <c r="A265" i="9" s="1"/>
  <c r="A266" i="2"/>
  <c r="A266" i="9" s="1"/>
  <c r="A267" i="2"/>
  <c r="A267" i="9" s="1"/>
  <c r="A268" i="2"/>
  <c r="A268" i="9" s="1"/>
  <c r="A269" i="2"/>
  <c r="A269" i="9" s="1"/>
  <c r="A270" i="2"/>
  <c r="A270" i="9" s="1"/>
  <c r="A271" i="2"/>
  <c r="A271" i="9" s="1"/>
  <c r="A272" i="2"/>
  <c r="A272" i="9" s="1"/>
  <c r="A273" i="2"/>
  <c r="A273" i="9" s="1"/>
  <c r="A274" i="2"/>
  <c r="A274" i="9" s="1"/>
  <c r="A275" i="2"/>
  <c r="A275" i="9" s="1"/>
  <c r="A276" i="2"/>
  <c r="A276" i="9" s="1"/>
  <c r="A277" i="2"/>
  <c r="A277" i="9" s="1"/>
  <c r="A278" i="2"/>
  <c r="A278" i="9" s="1"/>
  <c r="A279" i="2"/>
  <c r="A279" i="9" s="1"/>
  <c r="A280" i="2"/>
  <c r="A280" i="9" s="1"/>
  <c r="A281" i="2"/>
  <c r="A281" i="9" s="1"/>
  <c r="A282" i="2"/>
  <c r="A282" i="9" s="1"/>
  <c r="A283" i="2"/>
  <c r="A283" i="9" s="1"/>
  <c r="A284" i="2"/>
  <c r="A284" i="9" s="1"/>
  <c r="A285" i="2"/>
  <c r="A285" i="9" s="1"/>
  <c r="A286" i="2"/>
  <c r="A286" i="9" s="1"/>
  <c r="A287" i="2"/>
  <c r="A287" i="9" s="1"/>
  <c r="A288" i="2"/>
  <c r="A288" i="9" s="1"/>
  <c r="A289" i="2"/>
  <c r="A289" i="9" s="1"/>
  <c r="A290" i="2"/>
  <c r="A290" i="9" s="1"/>
  <c r="A291" i="2"/>
  <c r="A291" i="9" s="1"/>
  <c r="A292" i="2"/>
  <c r="A292" i="9" s="1"/>
  <c r="A293" i="2"/>
  <c r="A293" i="9" s="1"/>
  <c r="A294" i="2"/>
  <c r="A294" i="9" s="1"/>
  <c r="A295" i="2"/>
  <c r="A295" i="9" s="1"/>
  <c r="A296" i="2"/>
  <c r="A296" i="9" s="1"/>
  <c r="A297" i="2"/>
  <c r="A297" i="9" s="1"/>
  <c r="A298" i="2"/>
  <c r="A298" i="9" s="1"/>
  <c r="A299" i="2"/>
  <c r="A299" i="9" s="1"/>
  <c r="A300" i="2"/>
  <c r="A300" i="9" s="1"/>
  <c r="A301" i="2"/>
  <c r="A301" i="9" s="1"/>
  <c r="A302" i="2"/>
  <c r="A302" i="9" s="1"/>
  <c r="A303" i="2"/>
  <c r="A303" i="9" s="1"/>
  <c r="A304" i="2"/>
  <c r="A304" i="9" s="1"/>
  <c r="A305" i="2"/>
  <c r="A305" i="9" s="1"/>
  <c r="A306" i="2"/>
  <c r="A306" i="9" s="1"/>
  <c r="A307" i="2"/>
  <c r="A307" i="9" s="1"/>
  <c r="A308" i="2"/>
  <c r="A308" i="9" s="1"/>
  <c r="A309" i="2"/>
  <c r="A309" i="9" s="1"/>
  <c r="A310" i="2"/>
  <c r="A310" i="9" s="1"/>
  <c r="A311" i="2"/>
  <c r="A311" i="9" s="1"/>
  <c r="A312" i="2"/>
  <c r="A312" i="9" s="1"/>
  <c r="A313" i="2"/>
  <c r="A313" i="9" s="1"/>
  <c r="A314" i="2"/>
  <c r="A314" i="9" s="1"/>
  <c r="A315" i="2"/>
  <c r="A315" i="9" s="1"/>
  <c r="A316" i="2"/>
  <c r="A316" i="9" s="1"/>
  <c r="A317" i="2"/>
  <c r="A317" i="9" s="1"/>
  <c r="A318" i="2"/>
  <c r="A318" i="9" s="1"/>
  <c r="A319" i="2"/>
  <c r="A319" i="9" s="1"/>
  <c r="A320" i="2"/>
  <c r="A320" i="9" s="1"/>
  <c r="A321" i="2"/>
  <c r="A321" i="9" s="1"/>
  <c r="A322" i="2"/>
  <c r="A322" i="9" s="1"/>
  <c r="A323" i="2"/>
  <c r="A323" i="9" s="1"/>
  <c r="A324" i="2"/>
  <c r="A324" i="9" s="1"/>
  <c r="A325" i="2"/>
  <c r="A325" i="9" s="1"/>
  <c r="A326" i="2"/>
  <c r="A326" i="9" s="1"/>
  <c r="A327" i="2"/>
  <c r="A327" i="9" s="1"/>
  <c r="A328" i="2"/>
  <c r="A328" i="9" s="1"/>
  <c r="A329" i="2"/>
  <c r="A329" i="9" s="1"/>
  <c r="A330" i="2"/>
  <c r="A330" i="9" s="1"/>
  <c r="A331" i="2"/>
  <c r="A331" i="9" s="1"/>
  <c r="A332" i="2"/>
  <c r="A332" i="9" s="1"/>
  <c r="A333" i="2"/>
  <c r="A333" i="9" s="1"/>
  <c r="A334" i="2"/>
  <c r="A334" i="9" s="1"/>
  <c r="A335" i="2"/>
  <c r="A335" i="9" s="1"/>
  <c r="A336" i="2"/>
  <c r="A336" i="9" s="1"/>
  <c r="A337" i="2"/>
  <c r="A337" i="9" s="1"/>
  <c r="A338" i="2"/>
  <c r="A338" i="9" s="1"/>
  <c r="A339" i="2"/>
  <c r="A339" i="9" s="1"/>
  <c r="A340" i="2"/>
  <c r="A340" i="9" s="1"/>
  <c r="A341" i="2"/>
  <c r="A341" i="9" s="1"/>
  <c r="A342" i="2"/>
  <c r="A342" i="9" s="1"/>
  <c r="A343" i="2"/>
  <c r="A343" i="9" s="1"/>
  <c r="A344" i="2"/>
  <c r="A344" i="9" s="1"/>
  <c r="A345" i="2"/>
  <c r="A345" i="9" s="1"/>
  <c r="A346" i="2"/>
  <c r="A346" i="9" s="1"/>
  <c r="A347" i="2"/>
  <c r="A347" i="9" s="1"/>
  <c r="A348" i="2"/>
  <c r="A348" i="9" s="1"/>
  <c r="A349" i="2"/>
  <c r="A349" i="9" s="1"/>
  <c r="A350" i="2"/>
  <c r="A350" i="9" s="1"/>
  <c r="A351" i="2"/>
  <c r="A351" i="9" s="1"/>
  <c r="A352" i="2"/>
  <c r="A352" i="9" s="1"/>
  <c r="A353" i="2"/>
  <c r="A353" i="9" s="1"/>
  <c r="A354" i="2"/>
  <c r="A354" i="9" s="1"/>
  <c r="A355" i="2"/>
  <c r="A355" i="9" s="1"/>
  <c r="A356" i="2"/>
  <c r="A356" i="9" s="1"/>
  <c r="A357" i="2"/>
  <c r="A357" i="9" s="1"/>
  <c r="A358" i="2"/>
  <c r="A358" i="9" s="1"/>
  <c r="A359" i="2"/>
  <c r="A359" i="9" s="1"/>
  <c r="A360" i="2"/>
  <c r="A360" i="9" s="1"/>
  <c r="A361" i="2"/>
  <c r="A361" i="9" s="1"/>
  <c r="A362" i="2"/>
  <c r="A362" i="9" s="1"/>
  <c r="A363" i="2"/>
  <c r="A363" i="9" s="1"/>
  <c r="A364" i="2"/>
  <c r="A364" i="9" s="1"/>
  <c r="A365" i="2"/>
  <c r="A365" i="9" s="1"/>
  <c r="A366" i="2"/>
  <c r="A366" i="9" s="1"/>
  <c r="A367" i="2"/>
  <c r="A367" i="9" s="1"/>
  <c r="A368" i="2"/>
  <c r="A368" i="9" s="1"/>
  <c r="A369" i="2"/>
  <c r="A369" i="9" s="1"/>
  <c r="A370" i="2"/>
  <c r="A370" i="9" s="1"/>
  <c r="A371" i="2"/>
  <c r="A371" i="9" s="1"/>
  <c r="A372" i="2"/>
  <c r="A372" i="9" s="1"/>
  <c r="A373" i="2"/>
  <c r="A373" i="9" s="1"/>
  <c r="A374" i="2"/>
  <c r="A374" i="9" s="1"/>
  <c r="A375" i="2"/>
  <c r="A375" i="9" s="1"/>
  <c r="A376" i="2"/>
  <c r="A376" i="9" s="1"/>
  <c r="A377" i="2"/>
  <c r="A377" i="9" s="1"/>
  <c r="A378" i="2"/>
  <c r="A378" i="9" s="1"/>
  <c r="A379" i="2"/>
  <c r="A379" i="9" s="1"/>
  <c r="A380" i="2"/>
  <c r="A380" i="9" s="1"/>
  <c r="A381" i="2"/>
  <c r="A381" i="9" s="1"/>
  <c r="A382" i="2"/>
  <c r="A382" i="9" s="1"/>
  <c r="A383" i="2"/>
  <c r="A383" i="9" s="1"/>
  <c r="A384" i="2"/>
  <c r="A384" i="9" s="1"/>
  <c r="A385" i="2"/>
  <c r="A385" i="9" s="1"/>
  <c r="A386" i="2"/>
  <c r="A386" i="9" s="1"/>
  <c r="A387" i="2"/>
  <c r="A387" i="9" s="1"/>
  <c r="A388" i="2"/>
  <c r="A388" i="9" s="1"/>
  <c r="A389" i="2"/>
  <c r="A389" i="9" s="1"/>
  <c r="A390" i="2"/>
  <c r="A390" i="9" s="1"/>
  <c r="A391" i="2"/>
  <c r="A391" i="9" s="1"/>
  <c r="A392" i="2"/>
  <c r="A392" i="9" s="1"/>
  <c r="A393" i="2"/>
  <c r="A393" i="9" s="1"/>
  <c r="A394" i="2"/>
  <c r="A394" i="9" s="1"/>
  <c r="A395" i="2"/>
  <c r="A395" i="9" s="1"/>
  <c r="A396" i="2"/>
  <c r="A396" i="9" s="1"/>
  <c r="A397" i="2"/>
  <c r="A397" i="9" s="1"/>
  <c r="A398" i="2"/>
  <c r="A398" i="9" s="1"/>
  <c r="A399" i="2"/>
  <c r="A399" i="9" s="1"/>
  <c r="A400" i="2"/>
  <c r="A400" i="9" s="1"/>
  <c r="A401" i="2"/>
  <c r="A401" i="9" s="1"/>
  <c r="A402" i="2"/>
  <c r="A402" i="9" s="1"/>
  <c r="A403" i="2"/>
  <c r="A403" i="9" s="1"/>
  <c r="A404" i="2"/>
  <c r="A404" i="9" s="1"/>
  <c r="A405" i="2"/>
  <c r="A405" i="9" s="1"/>
  <c r="A406" i="2"/>
  <c r="A406" i="9" s="1"/>
  <c r="A407" i="2"/>
  <c r="A407" i="9" s="1"/>
  <c r="A408" i="2"/>
  <c r="A408" i="9" s="1"/>
  <c r="A409" i="2"/>
  <c r="A409" i="9" s="1"/>
  <c r="A410" i="2"/>
  <c r="A410" i="9" s="1"/>
  <c r="A411" i="2"/>
  <c r="A411" i="9" s="1"/>
  <c r="A412" i="2"/>
  <c r="A412" i="9" s="1"/>
  <c r="A413" i="2"/>
  <c r="A413" i="9" s="1"/>
  <c r="A414" i="2"/>
  <c r="A414" i="9" s="1"/>
  <c r="A415" i="2"/>
  <c r="A415" i="9" s="1"/>
  <c r="A416" i="2"/>
  <c r="A416" i="9" s="1"/>
  <c r="A417" i="2"/>
  <c r="A417" i="9" s="1"/>
  <c r="A418" i="2"/>
  <c r="A418" i="9" s="1"/>
  <c r="A419" i="2"/>
  <c r="A419" i="9" s="1"/>
  <c r="A420" i="2"/>
  <c r="A420" i="9" s="1"/>
  <c r="A421" i="2"/>
  <c r="A421" i="9" s="1"/>
  <c r="A422" i="2"/>
  <c r="A422" i="9" s="1"/>
  <c r="A423" i="2"/>
  <c r="A423" i="9" s="1"/>
  <c r="A424" i="2"/>
  <c r="A424" i="9" s="1"/>
  <c r="A425" i="2"/>
  <c r="A425" i="9" s="1"/>
  <c r="A426" i="2"/>
  <c r="A426" i="9" s="1"/>
  <c r="A427" i="2"/>
  <c r="A427" i="9" s="1"/>
  <c r="A428" i="2"/>
  <c r="A428" i="9" s="1"/>
  <c r="A429" i="2"/>
  <c r="A429" i="9" s="1"/>
  <c r="A430" i="2"/>
  <c r="A430" i="9" s="1"/>
  <c r="A431" i="2"/>
  <c r="A431" i="9" s="1"/>
  <c r="A432" i="2"/>
  <c r="A432" i="9" s="1"/>
  <c r="A433" i="2"/>
  <c r="A433" i="9" s="1"/>
  <c r="A434" i="2"/>
  <c r="A434" i="9" s="1"/>
  <c r="A435" i="2"/>
  <c r="A435" i="9" s="1"/>
  <c r="A436" i="2"/>
  <c r="A436" i="9" s="1"/>
  <c r="A437" i="2"/>
  <c r="A437" i="9" s="1"/>
  <c r="A438" i="2"/>
  <c r="A438" i="9" s="1"/>
  <c r="A439" i="2"/>
  <c r="A439" i="9" s="1"/>
  <c r="A440" i="2"/>
  <c r="A440" i="9" s="1"/>
  <c r="A441" i="2"/>
  <c r="A441" i="9" s="1"/>
  <c r="A442" i="2"/>
  <c r="A442" i="9" s="1"/>
  <c r="A443" i="2"/>
  <c r="A443" i="9" s="1"/>
  <c r="A444" i="2"/>
  <c r="A444" i="9" s="1"/>
  <c r="A445" i="2"/>
  <c r="A445" i="9" s="1"/>
  <c r="A446" i="2"/>
  <c r="A446" i="9" s="1"/>
  <c r="A447" i="2"/>
  <c r="A447" i="9" s="1"/>
  <c r="A448" i="2"/>
  <c r="A448" i="9" s="1"/>
  <c r="A449" i="2"/>
  <c r="A449" i="9" s="1"/>
  <c r="A450" i="2"/>
  <c r="A450" i="9" s="1"/>
  <c r="A451" i="2"/>
  <c r="A451" i="9" s="1"/>
  <c r="A452" i="2"/>
  <c r="A452" i="9" s="1"/>
  <c r="A453" i="2"/>
  <c r="A453" i="9" s="1"/>
  <c r="A454" i="2"/>
  <c r="A454" i="9" s="1"/>
  <c r="A455" i="2"/>
  <c r="A455" i="9" s="1"/>
  <c r="A456" i="2"/>
  <c r="A456" i="9" s="1"/>
  <c r="A457" i="2"/>
  <c r="A457" i="9" s="1"/>
  <c r="A458" i="2"/>
  <c r="A458" i="9" s="1"/>
  <c r="A459" i="2"/>
  <c r="A459" i="9" s="1"/>
  <c r="A460" i="2"/>
  <c r="A460" i="9" s="1"/>
  <c r="A461" i="2"/>
  <c r="A461" i="9" s="1"/>
  <c r="A462" i="2"/>
  <c r="A462" i="9" s="1"/>
  <c r="A463" i="2"/>
  <c r="A463" i="9" s="1"/>
  <c r="A464" i="2"/>
  <c r="A464" i="9" s="1"/>
  <c r="A465" i="2"/>
  <c r="A465" i="9" s="1"/>
  <c r="A466" i="2"/>
  <c r="A466" i="9" s="1"/>
  <c r="A467" i="2"/>
  <c r="A467" i="9" s="1"/>
  <c r="A468" i="2"/>
  <c r="A468" i="9" s="1"/>
  <c r="A469" i="2"/>
  <c r="A469" i="9" s="1"/>
  <c r="A470" i="2"/>
  <c r="A470" i="9" s="1"/>
  <c r="A471" i="2"/>
  <c r="A471" i="9" s="1"/>
  <c r="A472" i="2"/>
  <c r="A472" i="9" s="1"/>
  <c r="A473" i="2"/>
  <c r="A473" i="9" s="1"/>
  <c r="A474" i="2"/>
  <c r="A474" i="9" s="1"/>
  <c r="A475" i="2"/>
  <c r="A475" i="9" s="1"/>
  <c r="A476" i="2"/>
  <c r="A476" i="9" s="1"/>
  <c r="A477" i="2"/>
  <c r="A477" i="9" s="1"/>
  <c r="A478" i="2"/>
  <c r="A478" i="9" s="1"/>
  <c r="A479" i="2"/>
  <c r="A479" i="9" s="1"/>
  <c r="A480" i="2"/>
  <c r="A480" i="9" s="1"/>
  <c r="A481" i="2"/>
  <c r="A481" i="9" s="1"/>
  <c r="A482" i="2"/>
  <c r="A482" i="9" s="1"/>
  <c r="A483" i="2"/>
  <c r="A483" i="9" s="1"/>
  <c r="A484" i="2"/>
  <c r="A484" i="9" s="1"/>
  <c r="A485" i="2"/>
  <c r="A485" i="9" s="1"/>
  <c r="A486" i="2"/>
  <c r="A486" i="9" s="1"/>
  <c r="A487" i="2"/>
  <c r="A487" i="9" s="1"/>
  <c r="A488" i="2"/>
  <c r="A488" i="9" s="1"/>
  <c r="A489" i="2"/>
  <c r="A489" i="9" s="1"/>
  <c r="A490" i="2"/>
  <c r="A490" i="9" s="1"/>
  <c r="A491" i="2"/>
  <c r="A491" i="9" s="1"/>
  <c r="A492" i="2"/>
  <c r="A492" i="9" s="1"/>
  <c r="A493" i="2"/>
  <c r="A493" i="9" s="1"/>
  <c r="A494" i="2"/>
  <c r="A494" i="9" s="1"/>
  <c r="A495" i="2"/>
  <c r="A495" i="9" s="1"/>
  <c r="A496" i="2"/>
  <c r="A496" i="9" s="1"/>
  <c r="A497" i="2"/>
  <c r="A497" i="9" s="1"/>
  <c r="A498" i="2"/>
  <c r="A498" i="9" s="1"/>
  <c r="A499" i="2"/>
  <c r="A499" i="9" s="1"/>
  <c r="A500" i="2"/>
  <c r="A500" i="9" s="1"/>
  <c r="A501" i="2"/>
  <c r="A501" i="9" s="1"/>
  <c r="A502" i="2"/>
  <c r="A502" i="9" s="1"/>
  <c r="A503" i="2"/>
  <c r="A503" i="9" s="1"/>
  <c r="A504" i="2"/>
  <c r="A504" i="9" s="1"/>
  <c r="A505" i="2"/>
  <c r="A505" i="9" s="1"/>
  <c r="A506" i="2"/>
  <c r="A506" i="9" s="1"/>
  <c r="A507" i="2"/>
  <c r="A507" i="9" s="1"/>
  <c r="A508" i="2"/>
  <c r="A508" i="9" s="1"/>
  <c r="A509" i="2"/>
  <c r="A509" i="9" s="1"/>
  <c r="A510" i="2"/>
  <c r="A510" i="9" s="1"/>
  <c r="A511" i="2"/>
  <c r="A511" i="9" s="1"/>
  <c r="A512" i="2"/>
  <c r="A512" i="9" s="1"/>
  <c r="A513" i="2"/>
  <c r="A513" i="9" s="1"/>
  <c r="A514" i="2"/>
  <c r="A514" i="9" s="1"/>
  <c r="A515" i="2"/>
  <c r="A515" i="9" s="1"/>
  <c r="A516" i="2"/>
  <c r="A516" i="9" s="1"/>
  <c r="A517" i="2"/>
  <c r="A517" i="9" s="1"/>
  <c r="A518" i="2"/>
  <c r="A518" i="9" s="1"/>
  <c r="A519" i="2"/>
  <c r="A519" i="9" s="1"/>
  <c r="A520" i="2"/>
  <c r="A520" i="9" s="1"/>
  <c r="A521" i="2"/>
  <c r="A521" i="9" s="1"/>
  <c r="A522" i="2"/>
  <c r="A522" i="9" s="1"/>
  <c r="A523" i="2"/>
  <c r="A523" i="9" s="1"/>
  <c r="A524" i="2"/>
  <c r="A524" i="9" s="1"/>
  <c r="A525" i="2"/>
  <c r="A525" i="9" s="1"/>
  <c r="A526" i="2"/>
  <c r="A526" i="9" s="1"/>
  <c r="A527" i="2"/>
  <c r="A527" i="9" s="1"/>
  <c r="A528" i="2"/>
  <c r="A528" i="9" s="1"/>
  <c r="A529" i="2"/>
  <c r="A529" i="9" s="1"/>
  <c r="A530" i="2"/>
  <c r="A530" i="9" s="1"/>
  <c r="A531" i="2"/>
  <c r="A531" i="9" s="1"/>
  <c r="A532" i="2"/>
  <c r="A532" i="9" s="1"/>
  <c r="A533" i="2"/>
  <c r="A533" i="9" s="1"/>
  <c r="A534" i="2"/>
  <c r="A534" i="9" s="1"/>
  <c r="A535" i="2"/>
  <c r="A535" i="9" s="1"/>
  <c r="A536" i="2"/>
  <c r="A536" i="9" s="1"/>
  <c r="A537" i="2"/>
  <c r="A537" i="9" s="1"/>
  <c r="A538" i="2"/>
  <c r="A538" i="9" s="1"/>
  <c r="A539" i="2"/>
  <c r="A539" i="9" s="1"/>
  <c r="A540" i="2"/>
  <c r="A540" i="9" s="1"/>
  <c r="A541" i="2"/>
  <c r="A541" i="9" s="1"/>
  <c r="A542" i="2"/>
  <c r="A542" i="9" s="1"/>
  <c r="A543" i="2"/>
  <c r="A543" i="9" s="1"/>
  <c r="A544" i="2"/>
  <c r="A544" i="9" s="1"/>
  <c r="A545" i="2"/>
  <c r="A545" i="9" s="1"/>
  <c r="A546" i="2"/>
  <c r="A546" i="9" s="1"/>
  <c r="A547" i="2"/>
  <c r="A547" i="9" s="1"/>
  <c r="A548" i="2"/>
  <c r="A548" i="9" s="1"/>
  <c r="A549" i="2"/>
  <c r="A549" i="9" s="1"/>
  <c r="A550" i="2"/>
  <c r="A550" i="9" s="1"/>
  <c r="A551" i="2"/>
  <c r="A551" i="9" s="1"/>
  <c r="A552" i="2"/>
  <c r="A552" i="9" s="1"/>
  <c r="A553" i="2"/>
  <c r="A553" i="9" s="1"/>
  <c r="A554" i="2"/>
  <c r="A554" i="9" s="1"/>
  <c r="A555" i="2"/>
  <c r="A555" i="9" s="1"/>
  <c r="A556" i="2"/>
  <c r="A556" i="9" s="1"/>
  <c r="A557" i="2"/>
  <c r="A557" i="9" s="1"/>
  <c r="A558" i="2"/>
  <c r="A558" i="9" s="1"/>
  <c r="A559" i="2"/>
  <c r="A559" i="9" s="1"/>
  <c r="A560" i="2"/>
  <c r="A560" i="9" s="1"/>
  <c r="A561" i="2"/>
  <c r="A561" i="9" s="1"/>
  <c r="A562" i="2"/>
  <c r="A562" i="9" s="1"/>
  <c r="A563" i="2"/>
  <c r="A563" i="9" s="1"/>
  <c r="A564" i="2"/>
  <c r="A564" i="9" s="1"/>
  <c r="A565" i="2"/>
  <c r="A565" i="9" s="1"/>
  <c r="A566" i="2"/>
  <c r="A566" i="9" s="1"/>
  <c r="A567" i="2"/>
  <c r="A567" i="9" s="1"/>
  <c r="A568" i="2"/>
  <c r="A568" i="9" s="1"/>
  <c r="A569" i="2"/>
  <c r="A569" i="9" s="1"/>
  <c r="A570" i="2"/>
  <c r="A570" i="9" s="1"/>
  <c r="A571" i="2"/>
  <c r="A571" i="9" s="1"/>
  <c r="A572" i="2"/>
  <c r="A572" i="9" s="1"/>
  <c r="A573" i="2"/>
  <c r="A573" i="9" s="1"/>
  <c r="A574" i="2"/>
  <c r="A574" i="9" s="1"/>
  <c r="A575" i="2"/>
  <c r="A575" i="9" s="1"/>
  <c r="A576" i="2"/>
  <c r="A576" i="9" s="1"/>
  <c r="A577" i="2"/>
  <c r="A577" i="9" s="1"/>
  <c r="A578" i="2"/>
  <c r="A578" i="9" s="1"/>
  <c r="A579" i="2"/>
  <c r="A579" i="9" s="1"/>
  <c r="A580" i="2"/>
  <c r="A580" i="9" s="1"/>
  <c r="A581" i="2"/>
  <c r="A581" i="9" s="1"/>
  <c r="A582" i="2"/>
  <c r="A582" i="9" s="1"/>
  <c r="A583" i="2"/>
  <c r="A583" i="9" s="1"/>
  <c r="A584" i="2"/>
  <c r="A584" i="9" s="1"/>
  <c r="A585" i="2"/>
  <c r="A585" i="9" s="1"/>
  <c r="A586" i="2"/>
  <c r="A586" i="9" s="1"/>
  <c r="A587" i="2"/>
  <c r="A587" i="9" s="1"/>
  <c r="A588" i="2"/>
  <c r="A588" i="9" s="1"/>
  <c r="A589" i="2"/>
  <c r="A589" i="9" s="1"/>
  <c r="A590" i="2"/>
  <c r="A590" i="9" s="1"/>
  <c r="A591" i="2"/>
  <c r="A591" i="9" s="1"/>
  <c r="A592" i="2"/>
  <c r="A592" i="9" s="1"/>
  <c r="A593" i="2"/>
  <c r="A593" i="9" s="1"/>
  <c r="A594" i="2"/>
  <c r="A594" i="9" s="1"/>
  <c r="A595" i="2"/>
  <c r="A595" i="9" s="1"/>
  <c r="A596" i="2"/>
  <c r="A596" i="9" s="1"/>
  <c r="A597" i="2"/>
  <c r="A597" i="9" s="1"/>
  <c r="A598" i="2"/>
  <c r="A598" i="9" s="1"/>
  <c r="A599" i="2"/>
  <c r="A599" i="9" s="1"/>
  <c r="A600" i="2"/>
  <c r="A600" i="9" s="1"/>
  <c r="A601" i="2"/>
  <c r="A601" i="9" s="1"/>
  <c r="A602" i="2"/>
  <c r="A602" i="9" s="1"/>
  <c r="A603" i="2"/>
  <c r="A603" i="9" s="1"/>
  <c r="A604" i="2"/>
  <c r="A604" i="9" s="1"/>
  <c r="A605" i="2"/>
  <c r="A605" i="9" s="1"/>
  <c r="A606" i="2"/>
  <c r="A606" i="9" s="1"/>
  <c r="A607" i="2"/>
  <c r="A607" i="9" s="1"/>
  <c r="A608" i="2"/>
  <c r="A608" i="9" s="1"/>
  <c r="A609" i="2"/>
  <c r="A609" i="9" s="1"/>
  <c r="A610" i="2"/>
  <c r="A610" i="9" s="1"/>
  <c r="A611" i="2"/>
  <c r="A611" i="9" s="1"/>
  <c r="A612" i="2"/>
  <c r="A612" i="9" s="1"/>
  <c r="A613" i="2"/>
  <c r="A613" i="9" s="1"/>
  <c r="A614" i="2"/>
  <c r="A614" i="9" s="1"/>
  <c r="A615" i="2"/>
  <c r="A615" i="9" s="1"/>
  <c r="A616" i="2"/>
  <c r="A616" i="9" s="1"/>
  <c r="A617" i="2"/>
  <c r="A617" i="9" s="1"/>
  <c r="A618" i="2"/>
  <c r="A618" i="9" s="1"/>
  <c r="A619" i="2"/>
  <c r="A619" i="9" s="1"/>
  <c r="A620" i="2"/>
  <c r="A620" i="9" s="1"/>
  <c r="A621" i="2"/>
  <c r="A621" i="9" s="1"/>
  <c r="A622" i="2"/>
  <c r="A622" i="9" s="1"/>
  <c r="A623" i="2"/>
  <c r="A623" i="9" s="1"/>
  <c r="A624" i="2"/>
  <c r="A624" i="9" s="1"/>
  <c r="A625" i="2"/>
  <c r="A625" i="9" s="1"/>
  <c r="A626" i="2"/>
  <c r="A626" i="9" s="1"/>
  <c r="A627" i="2"/>
  <c r="A627" i="9" s="1"/>
  <c r="A628" i="2"/>
  <c r="A628" i="9" s="1"/>
  <c r="A629" i="2"/>
  <c r="A629" i="9" s="1"/>
  <c r="A630" i="2"/>
  <c r="A630" i="9" s="1"/>
  <c r="A631" i="2"/>
  <c r="A631" i="9" s="1"/>
  <c r="A632" i="2"/>
  <c r="A632" i="9" s="1"/>
  <c r="A633" i="2"/>
  <c r="A633" i="9" s="1"/>
  <c r="A634" i="2"/>
  <c r="A634" i="9" s="1"/>
  <c r="A635" i="2"/>
  <c r="A635" i="9" s="1"/>
  <c r="A636" i="2"/>
  <c r="A636" i="9" s="1"/>
  <c r="A637" i="2"/>
  <c r="A637" i="9" s="1"/>
  <c r="A638" i="2"/>
  <c r="A638" i="9" s="1"/>
  <c r="A639" i="2"/>
  <c r="A639" i="9" s="1"/>
  <c r="A640" i="2"/>
  <c r="A640" i="9" s="1"/>
  <c r="A641" i="2"/>
  <c r="A641" i="9" s="1"/>
  <c r="A642" i="2"/>
  <c r="A642" i="9" s="1"/>
  <c r="A643" i="2"/>
  <c r="A643" i="9" s="1"/>
  <c r="A644" i="2"/>
  <c r="A644" i="9" s="1"/>
  <c r="A645" i="2"/>
  <c r="A645" i="9" s="1"/>
  <c r="A646" i="2"/>
  <c r="A646" i="9" s="1"/>
  <c r="A647" i="2"/>
  <c r="A647" i="9" s="1"/>
  <c r="A648" i="2"/>
  <c r="A648" i="9" s="1"/>
  <c r="A649" i="2"/>
  <c r="A649" i="9" s="1"/>
  <c r="A650" i="2"/>
  <c r="A650" i="9" s="1"/>
  <c r="A651" i="2"/>
  <c r="A651" i="9" s="1"/>
  <c r="A652" i="2"/>
  <c r="A652" i="9" s="1"/>
  <c r="A653" i="2"/>
  <c r="A653" i="9" s="1"/>
  <c r="A654" i="2"/>
  <c r="A654" i="9" s="1"/>
  <c r="A655" i="2"/>
  <c r="A655" i="9" s="1"/>
  <c r="A656" i="2"/>
  <c r="A656" i="9" s="1"/>
  <c r="A657" i="2"/>
  <c r="A657" i="9" s="1"/>
  <c r="A658" i="2"/>
  <c r="A658" i="9" s="1"/>
  <c r="A659" i="2"/>
  <c r="A659" i="9" s="1"/>
  <c r="A660" i="2"/>
  <c r="A660" i="9" s="1"/>
  <c r="A661" i="2"/>
  <c r="A661" i="9" s="1"/>
  <c r="A662" i="2"/>
  <c r="A662" i="9" s="1"/>
  <c r="A663" i="2"/>
  <c r="A663" i="9" s="1"/>
  <c r="A664" i="2"/>
  <c r="A664" i="9" s="1"/>
  <c r="A665" i="2"/>
  <c r="A665" i="9" s="1"/>
  <c r="A666" i="2"/>
  <c r="A666" i="9" s="1"/>
  <c r="A667" i="2"/>
  <c r="A667" i="9" s="1"/>
  <c r="A668" i="2"/>
  <c r="A668" i="9" s="1"/>
  <c r="A669" i="2"/>
  <c r="A669" i="9" s="1"/>
  <c r="A670" i="2"/>
  <c r="A670" i="9" s="1"/>
  <c r="A671" i="2"/>
  <c r="A671" i="9" s="1"/>
  <c r="A672" i="2"/>
  <c r="A672" i="9" s="1"/>
  <c r="A673" i="2"/>
  <c r="A673" i="9" s="1"/>
  <c r="A674" i="2"/>
  <c r="A674" i="9" s="1"/>
  <c r="A675" i="2"/>
  <c r="A675" i="9" s="1"/>
  <c r="A676" i="2"/>
  <c r="A676" i="9" s="1"/>
  <c r="A677" i="2"/>
  <c r="A677" i="9" s="1"/>
  <c r="A678" i="2"/>
  <c r="A678" i="9" s="1"/>
  <c r="A679" i="2"/>
  <c r="A679" i="9" s="1"/>
  <c r="A680" i="2"/>
  <c r="A680" i="9" s="1"/>
  <c r="A681" i="2"/>
  <c r="A681" i="9" s="1"/>
  <c r="A682" i="2"/>
  <c r="A682" i="9" s="1"/>
  <c r="A683" i="2"/>
  <c r="A683" i="9" s="1"/>
  <c r="A684" i="2"/>
  <c r="A684" i="9" s="1"/>
  <c r="A685" i="2"/>
  <c r="A685" i="9" s="1"/>
  <c r="A686" i="2"/>
  <c r="A686" i="9" s="1"/>
  <c r="A687" i="2"/>
  <c r="A687" i="9" s="1"/>
  <c r="A688" i="2"/>
  <c r="A688" i="9" s="1"/>
  <c r="A689" i="2"/>
  <c r="A689" i="9" s="1"/>
  <c r="A690" i="2"/>
  <c r="A690" i="9" s="1"/>
  <c r="A691" i="2"/>
  <c r="A691" i="9" s="1"/>
  <c r="A692" i="2"/>
  <c r="A692" i="9" s="1"/>
  <c r="A693" i="2"/>
  <c r="A693" i="9" s="1"/>
  <c r="A694" i="2"/>
  <c r="A694" i="9" s="1"/>
  <c r="A695" i="2"/>
  <c r="A695" i="9" s="1"/>
  <c r="A696" i="2"/>
  <c r="A696" i="9" s="1"/>
  <c r="A697" i="2"/>
  <c r="A697" i="9" s="1"/>
  <c r="A698" i="2"/>
  <c r="A698" i="9" s="1"/>
  <c r="A699" i="2"/>
  <c r="A699" i="9" s="1"/>
  <c r="A700" i="2"/>
  <c r="A700" i="9" s="1"/>
  <c r="A701" i="2"/>
  <c r="A701" i="9" s="1"/>
  <c r="A702" i="2"/>
  <c r="A702" i="9" s="1"/>
  <c r="A703" i="2"/>
  <c r="A703" i="9" s="1"/>
  <c r="A704" i="2"/>
  <c r="A704" i="9" s="1"/>
  <c r="A705" i="2"/>
  <c r="A705" i="9" s="1"/>
  <c r="A706" i="2"/>
  <c r="A706" i="9" s="1"/>
  <c r="A707" i="2"/>
  <c r="A707" i="9" s="1"/>
  <c r="A708" i="2"/>
  <c r="A708" i="9" s="1"/>
  <c r="A709" i="2"/>
  <c r="A709" i="9" s="1"/>
  <c r="A710" i="2"/>
  <c r="A710" i="9" s="1"/>
  <c r="A711" i="2"/>
  <c r="A711" i="9" s="1"/>
  <c r="A712" i="2"/>
  <c r="A712" i="9" s="1"/>
  <c r="A713" i="2"/>
  <c r="A713" i="9" s="1"/>
  <c r="A714" i="2"/>
  <c r="A714" i="9" s="1"/>
  <c r="A715" i="2"/>
  <c r="A715" i="9" s="1"/>
  <c r="A716" i="2"/>
  <c r="A716" i="9" s="1"/>
  <c r="A717" i="2"/>
  <c r="A717" i="9" s="1"/>
  <c r="A718" i="2"/>
  <c r="A718" i="9" s="1"/>
  <c r="A719" i="2"/>
  <c r="A719" i="9" s="1"/>
  <c r="A720" i="2"/>
  <c r="A720" i="9" s="1"/>
  <c r="A721" i="2"/>
  <c r="A721" i="9" s="1"/>
  <c r="A722" i="2"/>
  <c r="A722" i="9" s="1"/>
  <c r="A723" i="2"/>
  <c r="A723" i="9" s="1"/>
  <c r="A724" i="2"/>
  <c r="A724" i="9" s="1"/>
  <c r="A725" i="2"/>
  <c r="A725" i="9" s="1"/>
  <c r="A726" i="2"/>
  <c r="A726" i="9" s="1"/>
  <c r="A727" i="2"/>
  <c r="A727" i="9" s="1"/>
  <c r="A728" i="2"/>
  <c r="A728" i="9" s="1"/>
  <c r="A729" i="2"/>
  <c r="A729" i="9" s="1"/>
  <c r="A730" i="2"/>
  <c r="A730" i="9" s="1"/>
  <c r="A731" i="2"/>
  <c r="A731" i="9" s="1"/>
  <c r="A732" i="2"/>
  <c r="A732" i="9" s="1"/>
  <c r="A733" i="2"/>
  <c r="A733" i="9" s="1"/>
  <c r="A734" i="2"/>
  <c r="A734" i="9" s="1"/>
  <c r="A735" i="2"/>
  <c r="A735" i="9" s="1"/>
  <c r="A736" i="2"/>
  <c r="A736" i="9" s="1"/>
  <c r="A737" i="2"/>
  <c r="A737" i="9" s="1"/>
  <c r="A738" i="2"/>
  <c r="A738" i="9" s="1"/>
  <c r="A739" i="2"/>
  <c r="A739" i="9" s="1"/>
  <c r="A740" i="2"/>
  <c r="A740" i="9" s="1"/>
  <c r="A741" i="2"/>
  <c r="A741" i="9" s="1"/>
  <c r="A742" i="2"/>
  <c r="A742" i="9" s="1"/>
  <c r="A743" i="2"/>
  <c r="A743" i="9" s="1"/>
  <c r="A744" i="2"/>
  <c r="A744" i="9" s="1"/>
  <c r="A745" i="2"/>
  <c r="A745" i="9" s="1"/>
  <c r="A746" i="2"/>
  <c r="A746" i="9" s="1"/>
  <c r="A747" i="2"/>
  <c r="A747" i="9" s="1"/>
  <c r="A748" i="2"/>
  <c r="A748" i="9" s="1"/>
  <c r="A749" i="2"/>
  <c r="A749" i="9" s="1"/>
  <c r="A750" i="2"/>
  <c r="A750" i="9" s="1"/>
  <c r="A751" i="2"/>
  <c r="A751" i="9" s="1"/>
  <c r="A752" i="2"/>
  <c r="A752" i="9" s="1"/>
  <c r="A753" i="2"/>
  <c r="A753" i="9" s="1"/>
  <c r="A754" i="2"/>
  <c r="A754" i="9" s="1"/>
  <c r="A755" i="2"/>
  <c r="A755" i="9" s="1"/>
  <c r="A756" i="2"/>
  <c r="A756" i="9" s="1"/>
  <c r="A757" i="2"/>
  <c r="A757" i="9" s="1"/>
  <c r="A758" i="2"/>
  <c r="A758" i="9" s="1"/>
  <c r="A759" i="2"/>
  <c r="A759" i="9" s="1"/>
  <c r="A760" i="2"/>
  <c r="A760" i="9" s="1"/>
  <c r="A761" i="2"/>
  <c r="A761" i="9" s="1"/>
  <c r="A762" i="2"/>
  <c r="A762" i="9" s="1"/>
  <c r="A763" i="2"/>
  <c r="A763" i="9" s="1"/>
  <c r="A764" i="2"/>
  <c r="A764" i="9" s="1"/>
  <c r="A765" i="2"/>
  <c r="A765" i="9" s="1"/>
  <c r="A766" i="2"/>
  <c r="A766" i="9" s="1"/>
  <c r="A767" i="2"/>
  <c r="A767" i="9" s="1"/>
  <c r="A768" i="2"/>
  <c r="A768" i="9" s="1"/>
  <c r="A769" i="2"/>
  <c r="A769" i="9" s="1"/>
  <c r="A770" i="2"/>
  <c r="A770" i="9" s="1"/>
  <c r="A771" i="2"/>
  <c r="A771" i="9" s="1"/>
  <c r="A772" i="2"/>
  <c r="A772" i="9" s="1"/>
  <c r="A773" i="2"/>
  <c r="A773" i="9" s="1"/>
  <c r="A774" i="2"/>
  <c r="A774" i="9" s="1"/>
  <c r="A775" i="2"/>
  <c r="A775" i="9" s="1"/>
  <c r="A776" i="2"/>
  <c r="A776" i="9" s="1"/>
  <c r="A777" i="2"/>
  <c r="A777" i="9" s="1"/>
  <c r="A778" i="2"/>
  <c r="A778" i="9" s="1"/>
  <c r="A779" i="2"/>
  <c r="A779" i="9" s="1"/>
  <c r="A780" i="2"/>
  <c r="A780" i="9" s="1"/>
  <c r="A781" i="2"/>
  <c r="A781" i="9" s="1"/>
  <c r="A782" i="2"/>
  <c r="A782" i="9" s="1"/>
  <c r="A783" i="2"/>
  <c r="A783" i="9" s="1"/>
  <c r="A784" i="2"/>
  <c r="A784" i="9" s="1"/>
  <c r="A785" i="2"/>
  <c r="A785" i="9" s="1"/>
  <c r="A786" i="2"/>
  <c r="A786" i="9" s="1"/>
  <c r="A787" i="2"/>
  <c r="A787" i="9" s="1"/>
  <c r="A788" i="2"/>
  <c r="A788" i="9" s="1"/>
  <c r="A789" i="2"/>
  <c r="A789" i="9" s="1"/>
  <c r="A790" i="2"/>
  <c r="A790" i="9" s="1"/>
  <c r="A791" i="2"/>
  <c r="A791" i="9" s="1"/>
  <c r="A792" i="2"/>
  <c r="A792" i="9" s="1"/>
  <c r="A793" i="2"/>
  <c r="A793" i="9" s="1"/>
  <c r="A794" i="2"/>
  <c r="A794" i="9" s="1"/>
  <c r="A795" i="2"/>
  <c r="A795" i="9" s="1"/>
  <c r="A796" i="2"/>
  <c r="A796" i="9" s="1"/>
  <c r="A797" i="2"/>
  <c r="A797" i="9" s="1"/>
  <c r="A798" i="2"/>
  <c r="A798" i="9" s="1"/>
  <c r="A799" i="2"/>
  <c r="A799" i="9" s="1"/>
  <c r="A800" i="2"/>
  <c r="A800" i="9" s="1"/>
  <c r="A801" i="2"/>
  <c r="A801" i="9" s="1"/>
  <c r="A802" i="2"/>
  <c r="A802" i="9" s="1"/>
  <c r="A803" i="2"/>
  <c r="A803" i="9" s="1"/>
  <c r="A804" i="2"/>
  <c r="A804" i="9" s="1"/>
  <c r="A805" i="2"/>
  <c r="A805" i="9" s="1"/>
  <c r="A806" i="2"/>
  <c r="A806" i="9" s="1"/>
  <c r="A807" i="2"/>
  <c r="A807" i="9" s="1"/>
  <c r="A808" i="2"/>
  <c r="A808" i="9" s="1"/>
  <c r="A809" i="2"/>
  <c r="A809" i="9" s="1"/>
  <c r="A810" i="2"/>
  <c r="A810" i="9" s="1"/>
  <c r="A811" i="2"/>
  <c r="A811" i="9" s="1"/>
  <c r="A812" i="2"/>
  <c r="A812" i="9" s="1"/>
  <c r="A813" i="2"/>
  <c r="A813" i="9" s="1"/>
  <c r="A814" i="2"/>
  <c r="A814" i="9" s="1"/>
  <c r="A815" i="2"/>
  <c r="A815" i="9" s="1"/>
  <c r="A816" i="2"/>
  <c r="A816" i="9" s="1"/>
  <c r="A817" i="2"/>
  <c r="A817" i="9" s="1"/>
  <c r="A818" i="2"/>
  <c r="A818" i="9" s="1"/>
  <c r="A819" i="2"/>
  <c r="A819" i="9" s="1"/>
  <c r="A820" i="2"/>
  <c r="A820" i="9" s="1"/>
  <c r="A821" i="2"/>
  <c r="A821" i="9" s="1"/>
  <c r="A822" i="2"/>
  <c r="A822" i="9" s="1"/>
  <c r="A823" i="2"/>
  <c r="A823" i="9" s="1"/>
  <c r="A824" i="2"/>
  <c r="A824" i="9" s="1"/>
  <c r="A825" i="2"/>
  <c r="A825" i="9" s="1"/>
  <c r="A826" i="2"/>
  <c r="A826" i="9" s="1"/>
  <c r="A827" i="2"/>
  <c r="A827" i="9" s="1"/>
  <c r="A828" i="2"/>
  <c r="A828" i="9" s="1"/>
  <c r="A829" i="2"/>
  <c r="A829" i="9" s="1"/>
  <c r="A830" i="2"/>
  <c r="A830" i="9" s="1"/>
  <c r="A831" i="2"/>
  <c r="A831" i="9" s="1"/>
  <c r="A832" i="2"/>
  <c r="A832" i="9" s="1"/>
  <c r="A833" i="2"/>
  <c r="A833" i="9" s="1"/>
  <c r="A834" i="2"/>
  <c r="A834" i="9" s="1"/>
  <c r="A835" i="2"/>
  <c r="A835" i="9" s="1"/>
  <c r="A836" i="2"/>
  <c r="A836" i="9" s="1"/>
  <c r="A837" i="2"/>
  <c r="A837" i="9" s="1"/>
  <c r="A838" i="2"/>
  <c r="A838" i="9" s="1"/>
  <c r="A839" i="2"/>
  <c r="A839" i="9" s="1"/>
  <c r="A840" i="2"/>
  <c r="A840" i="9" s="1"/>
  <c r="A841" i="2"/>
  <c r="A841" i="9" s="1"/>
  <c r="A842" i="2"/>
  <c r="A842" i="9" s="1"/>
  <c r="A843" i="2"/>
  <c r="A843" i="9" s="1"/>
  <c r="A844" i="2"/>
  <c r="A844" i="9" s="1"/>
  <c r="A845" i="2"/>
  <c r="A845" i="9" s="1"/>
  <c r="A846" i="2"/>
  <c r="A846" i="9" s="1"/>
  <c r="A847" i="2"/>
  <c r="A847" i="9" s="1"/>
  <c r="A848" i="2"/>
  <c r="A848" i="9" s="1"/>
  <c r="A849" i="2"/>
  <c r="A849" i="9" s="1"/>
  <c r="A850" i="2"/>
  <c r="A850" i="9" s="1"/>
  <c r="A851" i="2"/>
  <c r="A851" i="9" s="1"/>
  <c r="A852" i="2"/>
  <c r="A852" i="9" s="1"/>
  <c r="A853" i="2"/>
  <c r="A853" i="9" s="1"/>
  <c r="A854" i="2"/>
  <c r="A854" i="9" s="1"/>
  <c r="A855" i="2"/>
  <c r="A855" i="9" s="1"/>
  <c r="A856" i="2"/>
  <c r="A856" i="9" s="1"/>
  <c r="A857" i="2"/>
  <c r="A857" i="9" s="1"/>
  <c r="A858" i="2"/>
  <c r="A858" i="9" s="1"/>
  <c r="A859" i="2"/>
  <c r="A859" i="9" s="1"/>
  <c r="A860" i="2"/>
  <c r="A860" i="9" s="1"/>
  <c r="A861" i="2"/>
  <c r="A861" i="9" s="1"/>
  <c r="A862" i="2"/>
  <c r="A862" i="9" s="1"/>
  <c r="A863" i="2"/>
  <c r="A863" i="9" s="1"/>
  <c r="A864" i="2"/>
  <c r="A864" i="9" s="1"/>
  <c r="A865" i="2"/>
  <c r="A865" i="9" s="1"/>
  <c r="A866" i="2"/>
  <c r="A866" i="9" s="1"/>
  <c r="A867" i="2"/>
  <c r="A867" i="9" s="1"/>
  <c r="A868" i="2"/>
  <c r="A868" i="9" s="1"/>
  <c r="A869" i="2"/>
  <c r="A869" i="9" s="1"/>
  <c r="A870" i="2"/>
  <c r="A870" i="9" s="1"/>
  <c r="A871" i="2"/>
  <c r="A871" i="9" s="1"/>
  <c r="A872" i="2"/>
  <c r="A872" i="9" s="1"/>
  <c r="A873" i="2"/>
  <c r="A873" i="9" s="1"/>
  <c r="A874" i="2"/>
  <c r="A874" i="9" s="1"/>
  <c r="A875" i="2"/>
  <c r="A875" i="9" s="1"/>
  <c r="A876" i="2"/>
  <c r="A876" i="9" s="1"/>
  <c r="A877" i="2"/>
  <c r="A877" i="9" s="1"/>
  <c r="A878" i="2"/>
  <c r="A878" i="9" s="1"/>
  <c r="A879" i="2"/>
  <c r="A879" i="9" s="1"/>
  <c r="A880" i="2"/>
  <c r="A880" i="9" s="1"/>
  <c r="A881" i="2"/>
  <c r="A881" i="9" s="1"/>
  <c r="A882" i="2"/>
  <c r="A882" i="9" s="1"/>
  <c r="A883" i="2"/>
  <c r="A883" i="9" s="1"/>
  <c r="A884" i="2"/>
  <c r="A884" i="9" s="1"/>
  <c r="A885" i="2"/>
  <c r="A885" i="9" s="1"/>
  <c r="A886" i="2"/>
  <c r="A886" i="9" s="1"/>
  <c r="A887" i="2"/>
  <c r="A887" i="9" s="1"/>
  <c r="A888" i="2"/>
  <c r="A888" i="9" s="1"/>
  <c r="A889" i="2"/>
  <c r="A889" i="9" s="1"/>
  <c r="A890" i="2"/>
  <c r="A890" i="9" s="1"/>
  <c r="A891" i="2"/>
  <c r="A891" i="9" s="1"/>
  <c r="A892" i="2"/>
  <c r="A892" i="9" s="1"/>
  <c r="A893" i="2"/>
  <c r="A893" i="9" s="1"/>
  <c r="A894" i="2"/>
  <c r="A894" i="9" s="1"/>
  <c r="A895" i="2"/>
  <c r="A895" i="9" s="1"/>
  <c r="A896" i="2"/>
  <c r="A896" i="9" s="1"/>
  <c r="A897" i="2"/>
  <c r="A897" i="9" s="1"/>
  <c r="A898" i="2"/>
  <c r="A898" i="9" s="1"/>
  <c r="A899" i="2"/>
  <c r="A899" i="9" s="1"/>
  <c r="A900" i="2"/>
  <c r="A900" i="9" s="1"/>
  <c r="A901" i="2"/>
  <c r="A901" i="9" s="1"/>
  <c r="A902" i="2"/>
  <c r="A902" i="9" s="1"/>
  <c r="A903" i="2"/>
  <c r="A903" i="9" s="1"/>
  <c r="A904" i="2"/>
  <c r="A904" i="9" s="1"/>
  <c r="A905" i="2"/>
  <c r="A905" i="9" s="1"/>
  <c r="A906" i="2"/>
  <c r="A906" i="9" s="1"/>
  <c r="A907" i="2"/>
  <c r="A907" i="9" s="1"/>
  <c r="A908" i="2"/>
  <c r="A908" i="9" s="1"/>
  <c r="A909" i="2"/>
  <c r="A909" i="9" s="1"/>
  <c r="A910" i="2"/>
  <c r="A910" i="9" s="1"/>
  <c r="A911" i="2"/>
  <c r="A911" i="9" s="1"/>
  <c r="A912" i="2"/>
  <c r="A912" i="9" s="1"/>
  <c r="A913" i="2"/>
  <c r="A913" i="9" s="1"/>
  <c r="A914" i="2"/>
  <c r="A914" i="9" s="1"/>
  <c r="A915" i="2"/>
  <c r="A915" i="9" s="1"/>
  <c r="A916" i="2"/>
  <c r="A916" i="9" s="1"/>
  <c r="A917" i="2"/>
  <c r="A917" i="9" s="1"/>
  <c r="A918" i="2"/>
  <c r="A918" i="9" s="1"/>
  <c r="A919" i="2"/>
  <c r="A919" i="9" s="1"/>
  <c r="A920" i="2"/>
  <c r="A920" i="9" s="1"/>
  <c r="A921" i="2"/>
  <c r="A921" i="9" s="1"/>
  <c r="A922" i="2"/>
  <c r="A922" i="9" s="1"/>
  <c r="A923" i="2"/>
  <c r="A923" i="9" s="1"/>
  <c r="A924" i="2"/>
  <c r="A924" i="9" s="1"/>
  <c r="A925" i="2"/>
  <c r="A925" i="9" s="1"/>
  <c r="A926" i="2"/>
  <c r="A926" i="9" s="1"/>
  <c r="A927" i="2"/>
  <c r="A927" i="9" s="1"/>
  <c r="A928" i="2"/>
  <c r="A928" i="9" s="1"/>
  <c r="A929" i="2"/>
  <c r="A929" i="9" s="1"/>
  <c r="A930" i="2"/>
  <c r="A930" i="9" s="1"/>
  <c r="A931" i="2"/>
  <c r="A931" i="9" s="1"/>
  <c r="A932" i="2"/>
  <c r="A932" i="9" s="1"/>
  <c r="A933" i="2"/>
  <c r="A933" i="9" s="1"/>
  <c r="A934" i="2"/>
  <c r="A934" i="9" s="1"/>
  <c r="A935" i="2"/>
  <c r="A935" i="9" s="1"/>
  <c r="A936" i="2"/>
  <c r="A936" i="9" s="1"/>
  <c r="A937" i="2"/>
  <c r="A937" i="9" s="1"/>
  <c r="A938" i="2"/>
  <c r="A938" i="9" s="1"/>
  <c r="A939" i="2"/>
  <c r="A939" i="9" s="1"/>
  <c r="A940" i="2"/>
  <c r="A940" i="9" s="1"/>
  <c r="A941" i="2"/>
  <c r="A941" i="9" s="1"/>
  <c r="A942" i="2"/>
  <c r="A942" i="9" s="1"/>
  <c r="A943" i="2"/>
  <c r="A943" i="9" s="1"/>
  <c r="A944" i="2"/>
  <c r="A944" i="9" s="1"/>
  <c r="A945" i="2"/>
  <c r="A945" i="9" s="1"/>
  <c r="A946" i="2"/>
  <c r="A946" i="9" s="1"/>
  <c r="A947" i="2"/>
  <c r="A947" i="9" s="1"/>
  <c r="A948" i="2"/>
  <c r="A948" i="9" s="1"/>
  <c r="A949" i="2"/>
  <c r="A949" i="9" s="1"/>
  <c r="A950" i="2"/>
  <c r="A950" i="9" s="1"/>
  <c r="A951" i="2"/>
  <c r="A951" i="9" s="1"/>
  <c r="A952" i="2"/>
  <c r="A952" i="9" s="1"/>
  <c r="A953" i="2"/>
  <c r="A953" i="9" s="1"/>
  <c r="A954" i="2"/>
  <c r="A954" i="9" s="1"/>
  <c r="A955" i="2"/>
  <c r="A955" i="9" s="1"/>
  <c r="A956" i="2"/>
  <c r="A956" i="9" s="1"/>
  <c r="A957" i="2"/>
  <c r="A957" i="9" s="1"/>
  <c r="A958" i="2"/>
  <c r="A958" i="9" s="1"/>
  <c r="A959" i="2"/>
  <c r="A959" i="9" s="1"/>
  <c r="A960" i="2"/>
  <c r="A960" i="9" s="1"/>
  <c r="A961" i="2"/>
  <c r="A961" i="9" s="1"/>
  <c r="A962" i="2"/>
  <c r="A962" i="9" s="1"/>
  <c r="A963" i="2"/>
  <c r="A963" i="9" s="1"/>
  <c r="A964" i="2"/>
  <c r="A964" i="9" s="1"/>
  <c r="A965" i="2"/>
  <c r="A965" i="9" s="1"/>
  <c r="A966" i="2"/>
  <c r="A966" i="9" s="1"/>
  <c r="A967" i="2"/>
  <c r="A967" i="9" s="1"/>
  <c r="A968" i="2"/>
  <c r="A968" i="9" s="1"/>
  <c r="A969" i="2"/>
  <c r="A969" i="9" s="1"/>
  <c r="A970" i="2"/>
  <c r="A970" i="9" s="1"/>
  <c r="A971" i="2"/>
  <c r="A971" i="9" s="1"/>
  <c r="A972" i="2"/>
  <c r="A972" i="9" s="1"/>
  <c r="A973" i="2"/>
  <c r="A973" i="9" s="1"/>
  <c r="A974" i="2"/>
  <c r="A974" i="9" s="1"/>
  <c r="A975" i="2"/>
  <c r="A975" i="9" s="1"/>
  <c r="A976" i="2"/>
  <c r="A976" i="9" s="1"/>
  <c r="A977" i="2"/>
  <c r="A977" i="9" s="1"/>
  <c r="A978" i="2"/>
  <c r="A978" i="9" s="1"/>
  <c r="A979" i="2"/>
  <c r="A979" i="9" s="1"/>
  <c r="A980" i="2"/>
  <c r="A980" i="9" s="1"/>
  <c r="A981" i="2"/>
  <c r="A981" i="9" s="1"/>
  <c r="A982" i="2"/>
  <c r="A982" i="9" s="1"/>
  <c r="A983" i="2"/>
  <c r="A983" i="9" s="1"/>
  <c r="A984" i="2"/>
  <c r="A984" i="9" s="1"/>
  <c r="A985" i="2"/>
  <c r="A985" i="9" s="1"/>
  <c r="A986" i="2"/>
  <c r="A986" i="9" s="1"/>
  <c r="A987" i="2"/>
  <c r="A987" i="9" s="1"/>
  <c r="A988" i="2"/>
  <c r="A988" i="9" s="1"/>
  <c r="A989" i="2"/>
  <c r="A989" i="9" s="1"/>
  <c r="A990" i="2"/>
  <c r="A990" i="9" s="1"/>
  <c r="A991" i="2"/>
  <c r="A991" i="9" s="1"/>
  <c r="A992" i="2"/>
  <c r="A992" i="9" s="1"/>
  <c r="A993" i="2"/>
  <c r="A993" i="9" s="1"/>
  <c r="A994" i="2"/>
  <c r="A994" i="9" s="1"/>
  <c r="A995" i="2"/>
  <c r="A995" i="9" s="1"/>
  <c r="A996" i="2"/>
  <c r="A996" i="9" s="1"/>
  <c r="A997" i="2"/>
  <c r="A997" i="9" s="1"/>
  <c r="A998" i="2"/>
  <c r="A998" i="9" s="1"/>
  <c r="A999" i="2"/>
  <c r="A999" i="9" s="1"/>
  <c r="A1000" i="2"/>
  <c r="A1000" i="9" s="1"/>
  <c r="A1001" i="2"/>
  <c r="A1001" i="9" s="1"/>
  <c r="A1002" i="2"/>
  <c r="A1002" i="9" s="1"/>
  <c r="A1003" i="2"/>
  <c r="A1003" i="9" s="1"/>
  <c r="A1004" i="2"/>
  <c r="A1004" i="9" s="1"/>
  <c r="A1005" i="2"/>
  <c r="A1005" i="9" s="1"/>
  <c r="A1006" i="2"/>
  <c r="A1006" i="9" s="1"/>
  <c r="A1007" i="2"/>
  <c r="A1007" i="9" s="1"/>
  <c r="A1008" i="2"/>
  <c r="A1008" i="9" s="1"/>
  <c r="A1009" i="2"/>
  <c r="A1009" i="9" s="1"/>
  <c r="A1010" i="2"/>
  <c r="A1010" i="9" s="1"/>
  <c r="A1011" i="2"/>
  <c r="A1011" i="9" s="1"/>
  <c r="A1012" i="2"/>
  <c r="A1012" i="9" s="1"/>
  <c r="A1013" i="2"/>
  <c r="A1013" i="9" s="1"/>
  <c r="A1014" i="2"/>
  <c r="A1014" i="9" s="1"/>
  <c r="A1015" i="2"/>
  <c r="A1015" i="9" s="1"/>
  <c r="A1016" i="2"/>
  <c r="A1016" i="9" s="1"/>
  <c r="A1017" i="2"/>
  <c r="A1017" i="9" s="1"/>
  <c r="A1018" i="2"/>
  <c r="A1018" i="9" s="1"/>
  <c r="A1019" i="2"/>
  <c r="A1019" i="9" s="1"/>
  <c r="A1020" i="2"/>
  <c r="A1020" i="9" s="1"/>
  <c r="A1021" i="2"/>
  <c r="A1021" i="9" s="1"/>
  <c r="A1022" i="2"/>
  <c r="A1022" i="9" s="1"/>
  <c r="A1023" i="2"/>
  <c r="A1023" i="9" s="1"/>
  <c r="A1024" i="2"/>
  <c r="A1024" i="9" s="1"/>
  <c r="A1025" i="2"/>
  <c r="A1025" i="9" s="1"/>
  <c r="A1026" i="2"/>
  <c r="A1026" i="9" s="1"/>
  <c r="A1027" i="2"/>
  <c r="A1027" i="9" s="1"/>
  <c r="A1028" i="2"/>
  <c r="A1028" i="9" s="1"/>
  <c r="A1029" i="2"/>
  <c r="A1029" i="9" s="1"/>
  <c r="A1030" i="2"/>
  <c r="A1030" i="9" s="1"/>
  <c r="A1031" i="2"/>
  <c r="A1031" i="9" s="1"/>
  <c r="A1032" i="2"/>
  <c r="A1032" i="9" s="1"/>
  <c r="A1033" i="2"/>
  <c r="A1033" i="9" s="1"/>
  <c r="A1034" i="2"/>
  <c r="A1034" i="9" s="1"/>
  <c r="A1035" i="2"/>
  <c r="A1035" i="9" s="1"/>
  <c r="A1036" i="2"/>
  <c r="A1036" i="9" s="1"/>
  <c r="A1037" i="2"/>
  <c r="A1037" i="9" s="1"/>
  <c r="A1038" i="2"/>
  <c r="A1038" i="9" s="1"/>
  <c r="A1039" i="2"/>
  <c r="A1039" i="9" s="1"/>
  <c r="A1040" i="2"/>
  <c r="A1040" i="9" s="1"/>
  <c r="A1041" i="2"/>
  <c r="A1041" i="9" s="1"/>
  <c r="A1042" i="2"/>
  <c r="A1042" i="9" s="1"/>
  <c r="A1043" i="2"/>
  <c r="A1043" i="9" s="1"/>
  <c r="A1044" i="2"/>
  <c r="A1044" i="9" s="1"/>
  <c r="A1045" i="2"/>
  <c r="A1045" i="9" s="1"/>
  <c r="A1046" i="2"/>
  <c r="A1046" i="9" s="1"/>
  <c r="A1047" i="2"/>
  <c r="A1047" i="9" s="1"/>
  <c r="A1048" i="2"/>
  <c r="A1048" i="9" s="1"/>
  <c r="A1049" i="2"/>
  <c r="A1049" i="9" s="1"/>
  <c r="A1050" i="2"/>
  <c r="A1050" i="9" s="1"/>
  <c r="A1051" i="2"/>
  <c r="A1051" i="9" s="1"/>
  <c r="A1052" i="2"/>
  <c r="A1052" i="9" s="1"/>
  <c r="A1053" i="2"/>
  <c r="A1053" i="9" s="1"/>
  <c r="A1054" i="2"/>
  <c r="A1054" i="9" s="1"/>
  <c r="A1055" i="2"/>
  <c r="A1055" i="9" s="1"/>
  <c r="A1056" i="2"/>
  <c r="A1056" i="9" s="1"/>
  <c r="A1057" i="2"/>
  <c r="A1057" i="9" s="1"/>
  <c r="A1058" i="2"/>
  <c r="A1058" i="9" s="1"/>
  <c r="A1059" i="2"/>
  <c r="A1059" i="9" s="1"/>
  <c r="A1060" i="2"/>
  <c r="A1060" i="9" s="1"/>
  <c r="A1061" i="2"/>
  <c r="A1061" i="9" s="1"/>
  <c r="A1062" i="2"/>
  <c r="A1062" i="9" s="1"/>
  <c r="A1063" i="2"/>
  <c r="A1063" i="9" s="1"/>
  <c r="A1064" i="2"/>
  <c r="A1064" i="9" s="1"/>
  <c r="A1065" i="2"/>
  <c r="A1065" i="9" s="1"/>
  <c r="A1066" i="2"/>
  <c r="A1066" i="9" s="1"/>
  <c r="A1067" i="2"/>
  <c r="A1067" i="9" s="1"/>
  <c r="A1068" i="2"/>
  <c r="A1068" i="9" s="1"/>
  <c r="A1069" i="2"/>
  <c r="A1069" i="9" s="1"/>
  <c r="A1070" i="2"/>
  <c r="A1070" i="9" s="1"/>
  <c r="A1071" i="2"/>
  <c r="A1071" i="9" s="1"/>
  <c r="A1072" i="2"/>
  <c r="A1072" i="9" s="1"/>
  <c r="A1073" i="2"/>
  <c r="A1073" i="9" s="1"/>
  <c r="A1074" i="2"/>
  <c r="A1074" i="9" s="1"/>
  <c r="A1075" i="2"/>
  <c r="A1075" i="9" s="1"/>
  <c r="A1076" i="2"/>
  <c r="A1076" i="9" s="1"/>
  <c r="A1077" i="2"/>
  <c r="A1077" i="9" s="1"/>
  <c r="A1078" i="2"/>
  <c r="A1078" i="9" s="1"/>
  <c r="A1079" i="2"/>
  <c r="A1079" i="9" s="1"/>
  <c r="A1080" i="2"/>
  <c r="A1080" i="9" s="1"/>
  <c r="A1081" i="2"/>
  <c r="A1081" i="9" s="1"/>
  <c r="A1082" i="2"/>
  <c r="A1082" i="9" s="1"/>
  <c r="A1083" i="2"/>
  <c r="A1083" i="9" s="1"/>
  <c r="A1084" i="2"/>
  <c r="A1084" i="9" s="1"/>
  <c r="A1085" i="2"/>
  <c r="A1085" i="9" s="1"/>
  <c r="A1086" i="2"/>
  <c r="A1086" i="9" s="1"/>
  <c r="A1087" i="2"/>
  <c r="A1087" i="9" s="1"/>
  <c r="A1088" i="2"/>
  <c r="A1088" i="9" s="1"/>
  <c r="A1089" i="2"/>
  <c r="A1089" i="9" s="1"/>
  <c r="A1090" i="2"/>
  <c r="A1090" i="9" s="1"/>
  <c r="A1091" i="2"/>
  <c r="A1091" i="9" s="1"/>
  <c r="A1092" i="2"/>
  <c r="A1092" i="9" s="1"/>
  <c r="A1093" i="2"/>
  <c r="A1093" i="9" s="1"/>
  <c r="A1094" i="2"/>
  <c r="A1094" i="9" s="1"/>
  <c r="A1095" i="2"/>
  <c r="A1095" i="9" s="1"/>
  <c r="A1096" i="2"/>
  <c r="A1096" i="9" s="1"/>
  <c r="A1097" i="2"/>
  <c r="A1097" i="9" s="1"/>
  <c r="A1098" i="2"/>
  <c r="A1098" i="9" s="1"/>
  <c r="A1099" i="2"/>
  <c r="A1099" i="9" s="1"/>
  <c r="A1100" i="2"/>
  <c r="A1100" i="9" s="1"/>
  <c r="A1101" i="2"/>
  <c r="A1101" i="9" s="1"/>
  <c r="A1102" i="2"/>
  <c r="A1102" i="9" s="1"/>
  <c r="A1103" i="2"/>
  <c r="A1103" i="9" s="1"/>
  <c r="A1104" i="2"/>
  <c r="A1104" i="9" s="1"/>
  <c r="A1105" i="2"/>
  <c r="A1105" i="9" s="1"/>
  <c r="A1106" i="2"/>
  <c r="A1106" i="9" s="1"/>
  <c r="A1107" i="2"/>
  <c r="A1107" i="9" s="1"/>
  <c r="A1108" i="2"/>
  <c r="A1108" i="9" s="1"/>
  <c r="A1109" i="2"/>
  <c r="A1109" i="9" s="1"/>
  <c r="A1110" i="2"/>
  <c r="A1110" i="9" s="1"/>
  <c r="A1111" i="2"/>
  <c r="A1111" i="9" s="1"/>
  <c r="A1112" i="2"/>
  <c r="A1112" i="9" s="1"/>
  <c r="A1113" i="2"/>
  <c r="A1113" i="9" s="1"/>
  <c r="A1114" i="2"/>
  <c r="A1114" i="9" s="1"/>
  <c r="A1115" i="2"/>
  <c r="A1115" i="9" s="1"/>
  <c r="A1116" i="2"/>
  <c r="A1116" i="9" s="1"/>
  <c r="A1117" i="2"/>
  <c r="A1117" i="9" s="1"/>
  <c r="A1118" i="2"/>
  <c r="A1118" i="9" s="1"/>
  <c r="A1119" i="2"/>
  <c r="A1119" i="9" s="1"/>
  <c r="A1120" i="2"/>
  <c r="A1120" i="9" s="1"/>
  <c r="A1121" i="2"/>
  <c r="A1121" i="9" s="1"/>
  <c r="A1122" i="2"/>
  <c r="A1122" i="9" s="1"/>
  <c r="A1123" i="2"/>
  <c r="A1123" i="9" s="1"/>
  <c r="J3" i="9" l="1"/>
  <c r="A3" i="2"/>
  <c r="A3" i="9" s="1"/>
  <c r="C3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C1" i="2"/>
  <c r="C3" i="9" l="1"/>
  <c r="C61" i="8"/>
  <c r="D61" i="8"/>
  <c r="E61" i="8"/>
  <c r="F61" i="8"/>
  <c r="G61" i="8"/>
  <c r="H61" i="8"/>
  <c r="I61" i="8"/>
  <c r="J61" i="8"/>
  <c r="K61" i="8"/>
  <c r="L61" i="8"/>
  <c r="B61" i="8"/>
  <c r="W992" i="3" l="1"/>
  <c r="W273" i="3" l="1"/>
  <c r="W4" i="3"/>
  <c r="W6" i="3"/>
  <c r="W8" i="3"/>
  <c r="W9" i="3"/>
  <c r="W13" i="3"/>
  <c r="W14" i="3"/>
  <c r="W15" i="3"/>
  <c r="W16" i="3"/>
  <c r="W17" i="3"/>
  <c r="W22" i="3"/>
  <c r="W23" i="3"/>
  <c r="W24" i="3"/>
  <c r="W32" i="3"/>
  <c r="W33" i="3"/>
  <c r="W34" i="3"/>
  <c r="W40" i="3"/>
  <c r="W41" i="3"/>
  <c r="W44" i="3"/>
  <c r="W46" i="3"/>
  <c r="W47" i="3"/>
  <c r="W48" i="3"/>
  <c r="W49" i="3"/>
  <c r="W50" i="3"/>
  <c r="W52" i="3"/>
  <c r="W55" i="3"/>
  <c r="W56" i="3"/>
  <c r="W58" i="3"/>
  <c r="W59" i="3"/>
  <c r="W60" i="3"/>
  <c r="W62" i="3"/>
  <c r="W64" i="3"/>
  <c r="W66" i="3"/>
  <c r="W68" i="3"/>
  <c r="W69" i="3"/>
  <c r="W71" i="3"/>
  <c r="W168" i="3"/>
  <c r="W171" i="3"/>
  <c r="W177" i="3"/>
  <c r="W178" i="3"/>
  <c r="W183" i="3"/>
  <c r="W184" i="3"/>
  <c r="W185" i="3"/>
  <c r="W188" i="3"/>
  <c r="W189" i="3"/>
  <c r="W190" i="3"/>
  <c r="W191" i="3"/>
  <c r="W192" i="3"/>
  <c r="W200" i="3"/>
  <c r="W201" i="3"/>
  <c r="W202" i="3"/>
  <c r="W213" i="3"/>
  <c r="W215" i="3"/>
  <c r="W223" i="3"/>
  <c r="W224" i="3"/>
  <c r="W225" i="3"/>
  <c r="W228" i="3"/>
  <c r="W229" i="3"/>
  <c r="W230" i="3"/>
  <c r="W231" i="3"/>
  <c r="W232" i="3"/>
  <c r="W241" i="3"/>
  <c r="W243" i="3"/>
  <c r="W245" i="3"/>
  <c r="W247" i="3"/>
  <c r="W248" i="3"/>
  <c r="W250" i="3"/>
  <c r="W251" i="3"/>
  <c r="W252" i="3"/>
  <c r="W253" i="3"/>
  <c r="W254" i="3"/>
  <c r="W256" i="3"/>
  <c r="W258" i="3"/>
  <c r="W260" i="3"/>
  <c r="W263" i="3"/>
  <c r="W264" i="3"/>
  <c r="W266" i="3"/>
  <c r="W270" i="3"/>
  <c r="W275" i="3"/>
  <c r="W277" i="3"/>
  <c r="W278" i="3"/>
  <c r="W285" i="3"/>
  <c r="W289" i="3"/>
  <c r="W302" i="3"/>
  <c r="W303" i="3"/>
  <c r="W305" i="3"/>
  <c r="W306" i="3"/>
  <c r="W311" i="3"/>
  <c r="W312" i="3"/>
  <c r="W315" i="3"/>
  <c r="W316" i="3"/>
  <c r="W322" i="3"/>
  <c r="W333" i="3"/>
  <c r="W334" i="3"/>
  <c r="W339" i="3"/>
  <c r="W341" i="3"/>
  <c r="W342" i="3"/>
  <c r="W348" i="3"/>
  <c r="W352" i="3"/>
  <c r="W353" i="3"/>
  <c r="W359" i="3"/>
  <c r="W367" i="3"/>
  <c r="W369" i="3"/>
  <c r="W370" i="3"/>
  <c r="W372" i="3"/>
  <c r="W373" i="3"/>
  <c r="W387" i="3"/>
  <c r="W391" i="3"/>
  <c r="W394" i="3"/>
  <c r="W398" i="3"/>
  <c r="W399" i="3"/>
  <c r="W400" i="3"/>
  <c r="W406" i="3"/>
  <c r="W408" i="3"/>
  <c r="W417" i="3"/>
  <c r="W426" i="3"/>
  <c r="W429" i="3"/>
  <c r="W431" i="3"/>
  <c r="W437" i="3"/>
  <c r="W438" i="3"/>
  <c r="W445" i="3"/>
  <c r="W450" i="3"/>
  <c r="W454" i="3"/>
  <c r="W456" i="3"/>
  <c r="W457" i="3"/>
  <c r="W458" i="3"/>
  <c r="W460" i="3"/>
  <c r="W464" i="3"/>
  <c r="W466" i="3"/>
  <c r="W467" i="3"/>
  <c r="W470" i="3"/>
  <c r="W471" i="3"/>
  <c r="W474" i="3"/>
  <c r="W476" i="3"/>
  <c r="W482" i="3"/>
  <c r="W485" i="3"/>
  <c r="W486" i="3"/>
  <c r="W492" i="3"/>
  <c r="W494" i="3"/>
  <c r="W513" i="3"/>
  <c r="W517" i="3"/>
  <c r="W520" i="3"/>
  <c r="W523" i="3"/>
  <c r="W543" i="3"/>
  <c r="W544" i="3"/>
  <c r="W547" i="3"/>
  <c r="W555" i="3"/>
  <c r="W559" i="3"/>
  <c r="W564" i="3"/>
  <c r="W566" i="3"/>
  <c r="W567" i="3"/>
  <c r="W568" i="3"/>
  <c r="W570" i="3"/>
  <c r="W572" i="3"/>
  <c r="W576" i="3"/>
  <c r="W577" i="3"/>
  <c r="W578" i="3"/>
  <c r="W584" i="3"/>
  <c r="W585" i="3"/>
  <c r="W586" i="3"/>
  <c r="W587" i="3"/>
  <c r="W589" i="3"/>
  <c r="W590" i="3"/>
  <c r="W601" i="3"/>
  <c r="W603" i="3"/>
  <c r="W604" i="3"/>
  <c r="W605" i="3"/>
  <c r="W607" i="3"/>
  <c r="W610" i="3"/>
  <c r="W613" i="3"/>
  <c r="W614" i="3"/>
  <c r="W615" i="3"/>
  <c r="W616" i="3"/>
  <c r="W618" i="3"/>
  <c r="W619" i="3"/>
  <c r="W620" i="3"/>
  <c r="W626" i="3"/>
  <c r="W628" i="3"/>
  <c r="W632" i="3"/>
  <c r="W636" i="3"/>
  <c r="W646" i="3"/>
  <c r="W647" i="3"/>
  <c r="W659" i="3"/>
  <c r="W671" i="3"/>
  <c r="W675" i="3"/>
  <c r="W678" i="3"/>
  <c r="W681" i="3"/>
  <c r="W683" i="3"/>
  <c r="W693" i="3"/>
  <c r="W701" i="3"/>
  <c r="W702" i="3"/>
  <c r="W721" i="3"/>
  <c r="W722" i="3"/>
  <c r="W726" i="3"/>
  <c r="W729" i="3"/>
  <c r="W743" i="3"/>
  <c r="W755" i="3"/>
  <c r="W756" i="3"/>
  <c r="W758" i="3"/>
  <c r="W760" i="3"/>
  <c r="W770" i="3"/>
  <c r="W841" i="3"/>
  <c r="W844" i="3"/>
  <c r="W852" i="3"/>
  <c r="W853" i="3"/>
  <c r="W859" i="3"/>
  <c r="W864" i="3"/>
  <c r="W873" i="3"/>
  <c r="W874" i="3"/>
  <c r="W878" i="3"/>
  <c r="W888" i="3"/>
  <c r="W892" i="3"/>
  <c r="W899" i="3"/>
  <c r="W915" i="3"/>
  <c r="W919" i="3"/>
  <c r="W924" i="3"/>
  <c r="W935" i="3"/>
  <c r="W940" i="3"/>
  <c r="W952" i="3"/>
  <c r="W962" i="3"/>
  <c r="W965" i="3"/>
  <c r="W972" i="3"/>
  <c r="W974" i="3"/>
  <c r="W976" i="3"/>
  <c r="W980" i="3"/>
  <c r="W981" i="3"/>
  <c r="W982" i="3"/>
  <c r="W983" i="3"/>
  <c r="W986" i="3"/>
  <c r="W990" i="3"/>
  <c r="W995" i="3"/>
  <c r="W996" i="3"/>
  <c r="W1001" i="3"/>
  <c r="W1008" i="3"/>
  <c r="W1019" i="3"/>
  <c r="W1023" i="3"/>
  <c r="W1025" i="3"/>
  <c r="W1027" i="3"/>
  <c r="W1032" i="3"/>
  <c r="W1036" i="3"/>
  <c r="W1040" i="3"/>
  <c r="W1047" i="3"/>
  <c r="W1048" i="3"/>
  <c r="W1049" i="3"/>
  <c r="W1056" i="3"/>
  <c r="W1064" i="3"/>
  <c r="W1071" i="3"/>
  <c r="W1073" i="3"/>
  <c r="W1075" i="3"/>
  <c r="W1076" i="3"/>
  <c r="W1077" i="3"/>
  <c r="W1079" i="3"/>
  <c r="W1080" i="3"/>
  <c r="W1083" i="3"/>
  <c r="W1093" i="3"/>
  <c r="W1098" i="3"/>
  <c r="W1109" i="3"/>
  <c r="W1113" i="3"/>
  <c r="W1116" i="3"/>
  <c r="W1121" i="3"/>
  <c r="W1122" i="3"/>
  <c r="P12" i="4" l="1"/>
  <c r="P11" i="4" l="1"/>
  <c r="P9" i="4"/>
  <c r="B44" i="8" l="1"/>
  <c r="L51" i="8" l="1"/>
  <c r="L52" i="8"/>
  <c r="L53" i="8"/>
  <c r="L54" i="8"/>
  <c r="L55" i="8"/>
  <c r="L56" i="8"/>
  <c r="L57" i="8"/>
  <c r="L58" i="8"/>
  <c r="L41" i="8"/>
  <c r="L42" i="8"/>
  <c r="L43" i="8"/>
  <c r="L44" i="8"/>
  <c r="L45" i="8"/>
  <c r="L46" i="8"/>
  <c r="L47" i="8"/>
  <c r="L48" i="8"/>
  <c r="O1110" i="3"/>
  <c r="O1024" i="3"/>
  <c r="O549" i="3" l="1"/>
  <c r="O435" i="3"/>
  <c r="O216" i="3"/>
  <c r="H649" i="3" l="1"/>
  <c r="C41" i="8" l="1"/>
  <c r="C51" i="8" s="1"/>
  <c r="D41" i="8"/>
  <c r="D51" i="8" s="1"/>
  <c r="E41" i="8"/>
  <c r="E51" i="8" s="1"/>
  <c r="F41" i="8"/>
  <c r="F51" i="8" s="1"/>
  <c r="G41" i="8"/>
  <c r="G51" i="8" s="1"/>
  <c r="H41" i="8"/>
  <c r="H51" i="8" s="1"/>
  <c r="I41" i="8"/>
  <c r="I51" i="8" s="1"/>
  <c r="J41" i="8"/>
  <c r="J51" i="8" s="1"/>
  <c r="K41" i="8"/>
  <c r="K51" i="8" s="1"/>
  <c r="C42" i="8"/>
  <c r="C52" i="8" s="1"/>
  <c r="D42" i="8"/>
  <c r="D52" i="8" s="1"/>
  <c r="E42" i="8"/>
  <c r="E52" i="8" s="1"/>
  <c r="F42" i="8"/>
  <c r="F52" i="8" s="1"/>
  <c r="G42" i="8"/>
  <c r="G52" i="8" s="1"/>
  <c r="H42" i="8"/>
  <c r="H52" i="8" s="1"/>
  <c r="I42" i="8"/>
  <c r="I52" i="8" s="1"/>
  <c r="J42" i="8"/>
  <c r="J52" i="8" s="1"/>
  <c r="K42" i="8"/>
  <c r="K52" i="8" s="1"/>
  <c r="C43" i="8"/>
  <c r="C53" i="8" s="1"/>
  <c r="D43" i="8"/>
  <c r="D53" i="8" s="1"/>
  <c r="E43" i="8"/>
  <c r="E53" i="8" s="1"/>
  <c r="F43" i="8"/>
  <c r="F53" i="8" s="1"/>
  <c r="G43" i="8"/>
  <c r="G53" i="8" s="1"/>
  <c r="H43" i="8"/>
  <c r="H53" i="8" s="1"/>
  <c r="I43" i="8"/>
  <c r="I53" i="8" s="1"/>
  <c r="J43" i="8"/>
  <c r="J53" i="8" s="1"/>
  <c r="K43" i="8"/>
  <c r="K53" i="8" s="1"/>
  <c r="C44" i="8"/>
  <c r="C54" i="8" s="1"/>
  <c r="D44" i="8"/>
  <c r="D54" i="8" s="1"/>
  <c r="E44" i="8"/>
  <c r="E54" i="8" s="1"/>
  <c r="F44" i="8"/>
  <c r="F54" i="8" s="1"/>
  <c r="G44" i="8"/>
  <c r="G54" i="8" s="1"/>
  <c r="H44" i="8"/>
  <c r="H54" i="8" s="1"/>
  <c r="I44" i="8"/>
  <c r="I54" i="8" s="1"/>
  <c r="J44" i="8"/>
  <c r="J54" i="8" s="1"/>
  <c r="K44" i="8"/>
  <c r="K54" i="8" s="1"/>
  <c r="C45" i="8"/>
  <c r="C55" i="8" s="1"/>
  <c r="D45" i="8"/>
  <c r="D55" i="8" s="1"/>
  <c r="E45" i="8"/>
  <c r="E55" i="8" s="1"/>
  <c r="F45" i="8"/>
  <c r="F55" i="8" s="1"/>
  <c r="G45" i="8"/>
  <c r="G55" i="8" s="1"/>
  <c r="H45" i="8"/>
  <c r="H55" i="8" s="1"/>
  <c r="I45" i="8"/>
  <c r="I55" i="8" s="1"/>
  <c r="J45" i="8"/>
  <c r="J55" i="8" s="1"/>
  <c r="K45" i="8"/>
  <c r="K55" i="8" s="1"/>
  <c r="C46" i="8"/>
  <c r="C56" i="8" s="1"/>
  <c r="D46" i="8"/>
  <c r="D56" i="8" s="1"/>
  <c r="E46" i="8"/>
  <c r="E56" i="8" s="1"/>
  <c r="F46" i="8"/>
  <c r="F56" i="8" s="1"/>
  <c r="G46" i="8"/>
  <c r="G56" i="8" s="1"/>
  <c r="H46" i="8"/>
  <c r="H56" i="8" s="1"/>
  <c r="I46" i="8"/>
  <c r="I56" i="8" s="1"/>
  <c r="J46" i="8"/>
  <c r="J56" i="8" s="1"/>
  <c r="K46" i="8"/>
  <c r="K56" i="8" s="1"/>
  <c r="C47" i="8"/>
  <c r="C57" i="8" s="1"/>
  <c r="D47" i="8"/>
  <c r="D57" i="8" s="1"/>
  <c r="E47" i="8"/>
  <c r="E57" i="8" s="1"/>
  <c r="F47" i="8"/>
  <c r="F57" i="8" s="1"/>
  <c r="G47" i="8"/>
  <c r="G57" i="8" s="1"/>
  <c r="H47" i="8"/>
  <c r="H57" i="8" s="1"/>
  <c r="I47" i="8"/>
  <c r="I57" i="8" s="1"/>
  <c r="J47" i="8"/>
  <c r="J57" i="8" s="1"/>
  <c r="K47" i="8"/>
  <c r="K57" i="8" s="1"/>
  <c r="C48" i="8"/>
  <c r="C58" i="8" s="1"/>
  <c r="D48" i="8"/>
  <c r="D58" i="8" s="1"/>
  <c r="E48" i="8"/>
  <c r="E58" i="8" s="1"/>
  <c r="F48" i="8"/>
  <c r="F58" i="8" s="1"/>
  <c r="G48" i="8"/>
  <c r="G58" i="8" s="1"/>
  <c r="H48" i="8"/>
  <c r="H58" i="8" s="1"/>
  <c r="I48" i="8"/>
  <c r="I58" i="8" s="1"/>
  <c r="J48" i="8"/>
  <c r="J58" i="8" s="1"/>
  <c r="K48" i="8"/>
  <c r="K58" i="8" s="1"/>
  <c r="B42" i="8"/>
  <c r="B41" i="8"/>
  <c r="B39" i="8"/>
  <c r="C39" i="8"/>
  <c r="D39" i="8"/>
  <c r="E39" i="8"/>
  <c r="F39" i="8"/>
  <c r="G39" i="8"/>
  <c r="H39" i="8"/>
  <c r="I39" i="8"/>
  <c r="J39" i="8"/>
  <c r="K39" i="8"/>
  <c r="A58" i="8" l="1"/>
  <c r="A52" i="8"/>
  <c r="A53" i="8"/>
  <c r="A54" i="8"/>
  <c r="A55" i="8"/>
  <c r="A56" i="8"/>
  <c r="A57" i="8"/>
  <c r="A51" i="8"/>
  <c r="B48" i="8"/>
  <c r="B58" i="8" s="1"/>
  <c r="B47" i="8"/>
  <c r="B57" i="8" s="1"/>
  <c r="B46" i="8"/>
  <c r="B56" i="8" s="1"/>
  <c r="B45" i="8"/>
  <c r="B55" i="8" s="1"/>
  <c r="B43" i="8"/>
  <c r="B52" i="8" s="1"/>
  <c r="B54" i="8"/>
  <c r="B51" i="8" l="1"/>
  <c r="B53" i="8"/>
  <c r="J1114" i="3"/>
  <c r="J1072" i="3"/>
  <c r="J1068" i="3"/>
  <c r="J1024" i="3"/>
  <c r="J1023" i="3"/>
  <c r="J1015" i="3"/>
  <c r="J951" i="3"/>
  <c r="J875" i="3"/>
  <c r="J862" i="3"/>
  <c r="J755" i="3"/>
  <c r="J635" i="3"/>
  <c r="J502" i="3"/>
  <c r="J500" i="3"/>
  <c r="J480" i="3"/>
  <c r="J438" i="3"/>
  <c r="J433" i="3"/>
  <c r="J416" i="3"/>
  <c r="J321" i="3"/>
  <c r="J358" i="3"/>
  <c r="J326" i="3"/>
  <c r="J282" i="3"/>
  <c r="J241" i="3"/>
  <c r="J58" i="3"/>
  <c r="J57" i="3"/>
  <c r="J34" i="3"/>
  <c r="J33" i="3"/>
  <c r="J29" i="3"/>
  <c r="H948" i="3"/>
  <c r="H906" i="3"/>
  <c r="H902" i="3"/>
  <c r="H635" i="3"/>
  <c r="I635" i="3"/>
  <c r="H549" i="3"/>
  <c r="H441" i="3"/>
  <c r="H438" i="3"/>
  <c r="H435" i="3"/>
  <c r="H250" i="3"/>
  <c r="H95" i="3"/>
  <c r="T17" i="4"/>
  <c r="T13" i="4"/>
  <c r="I1068" i="3"/>
  <c r="I1065" i="3"/>
  <c r="I906" i="3"/>
  <c r="I902" i="3"/>
  <c r="I897" i="3"/>
  <c r="I888" i="3"/>
  <c r="I878" i="3"/>
  <c r="I877" i="3"/>
  <c r="I862" i="3"/>
  <c r="I856" i="3"/>
  <c r="I756" i="3"/>
  <c r="I498" i="3"/>
  <c r="I438" i="3"/>
  <c r="I435" i="3"/>
  <c r="I283" i="3"/>
  <c r="I250" i="3"/>
  <c r="I241" i="3"/>
  <c r="I230" i="3"/>
  <c r="I70" i="3"/>
  <c r="I61" i="3"/>
  <c r="S542" i="3"/>
  <c r="U537" i="3"/>
  <c r="S331" i="3"/>
  <c r="S480" i="3"/>
  <c r="S479" i="3"/>
  <c r="S444" i="3"/>
  <c r="U425" i="3"/>
  <c r="S472" i="3"/>
  <c r="S478" i="3"/>
  <c r="S1084" i="3"/>
  <c r="S1059" i="3"/>
  <c r="S1055" i="3"/>
  <c r="S1024" i="3"/>
  <c r="W1055" i="3" l="1"/>
  <c r="W472" i="3"/>
  <c r="W425" i="3"/>
  <c r="W331" i="3"/>
  <c r="W444" i="3"/>
  <c r="W537" i="3"/>
  <c r="W1059" i="3"/>
  <c r="W1084" i="3"/>
  <c r="W1024" i="3"/>
  <c r="W478" i="3"/>
  <c r="W479" i="3"/>
  <c r="W542" i="3"/>
  <c r="T18" i="4"/>
  <c r="S28" i="3"/>
  <c r="W28" i="3" l="1"/>
  <c r="F1086" i="3"/>
  <c r="F1078" i="3"/>
  <c r="F1068" i="3"/>
  <c r="F743" i="3"/>
  <c r="F739" i="3"/>
  <c r="F639" i="3"/>
  <c r="F635" i="3"/>
  <c r="F210" i="3"/>
  <c r="F204" i="3"/>
  <c r="F33" i="3" l="1"/>
  <c r="T3" i="4" l="1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S522" i="3"/>
  <c r="W522" i="3" l="1"/>
  <c r="R480" i="3"/>
  <c r="Q480" i="3"/>
  <c r="Q635" i="3"/>
  <c r="S5" i="3"/>
  <c r="I1049" i="3"/>
  <c r="I978" i="3"/>
  <c r="I955" i="3"/>
  <c r="I832" i="3"/>
  <c r="I683" i="3"/>
  <c r="I621" i="3"/>
  <c r="I480" i="3"/>
  <c r="I329" i="3"/>
  <c r="I164" i="3"/>
  <c r="G1077" i="3"/>
  <c r="G1024" i="3"/>
  <c r="G902" i="3"/>
  <c r="G897" i="3"/>
  <c r="G702" i="3"/>
  <c r="G635" i="3"/>
  <c r="G549" i="3"/>
  <c r="G564" i="3"/>
  <c r="G544" i="3"/>
  <c r="G498" i="3"/>
  <c r="G440" i="3"/>
  <c r="G435" i="3"/>
  <c r="G358" i="3"/>
  <c r="G326" i="3"/>
  <c r="G250" i="3"/>
  <c r="H216" i="3"/>
  <c r="G216" i="3"/>
  <c r="G61" i="3"/>
  <c r="W480" i="3" l="1"/>
  <c r="W5" i="3"/>
  <c r="W635" i="3"/>
  <c r="T14" i="4"/>
  <c r="T6" i="4"/>
  <c r="T15" i="4"/>
  <c r="T16" i="4"/>
  <c r="T5" i="4"/>
  <c r="T4" i="4"/>
  <c r="N1024" i="3"/>
  <c r="N906" i="3"/>
  <c r="N897" i="3"/>
  <c r="N811" i="3"/>
  <c r="N435" i="3"/>
  <c r="N321" i="3"/>
  <c r="N320" i="3"/>
  <c r="N241" i="3" l="1"/>
  <c r="N238" i="3"/>
  <c r="N214" i="3"/>
  <c r="N120" i="3"/>
  <c r="M1115" i="3"/>
  <c r="M1096" i="3"/>
  <c r="M1093" i="3"/>
  <c r="M1078" i="3"/>
  <c r="M1077" i="3"/>
  <c r="M1072" i="3"/>
  <c r="M1071" i="3"/>
  <c r="M1067" i="3"/>
  <c r="M1056" i="3"/>
  <c r="M1031" i="3"/>
  <c r="M1024" i="3"/>
  <c r="M1010" i="3"/>
  <c r="M1006" i="3"/>
  <c r="M987" i="3"/>
  <c r="M940" i="3"/>
  <c r="M892" i="3"/>
  <c r="T11" i="4" l="1"/>
  <c r="M827" i="3"/>
  <c r="M743" i="3"/>
  <c r="M736" i="3"/>
  <c r="M721" i="3"/>
  <c r="M702" i="3"/>
  <c r="M700" i="3"/>
  <c r="M657" i="3"/>
  <c r="M641" i="3"/>
  <c r="M640" i="3"/>
  <c r="M636" i="3"/>
  <c r="M630" i="3"/>
  <c r="M622" i="3"/>
  <c r="M606" i="3"/>
  <c r="M597" i="3"/>
  <c r="M596" i="3"/>
  <c r="M523" i="3"/>
  <c r="M512" i="3"/>
  <c r="M501" i="3"/>
  <c r="M495" i="3"/>
  <c r="M448" i="3"/>
  <c r="M423" i="3"/>
  <c r="M394" i="3"/>
  <c r="M386" i="3"/>
  <c r="M321" i="3"/>
  <c r="M377" i="3"/>
  <c r="M368" i="3"/>
  <c r="M363" i="3"/>
  <c r="M355" i="3"/>
  <c r="M345" i="3"/>
  <c r="M344" i="3"/>
  <c r="M343" i="3"/>
  <c r="M327" i="3"/>
  <c r="M313" i="3"/>
  <c r="M310" i="3"/>
  <c r="M308" i="3"/>
  <c r="M302" i="3"/>
  <c r="M283" i="3"/>
  <c r="M257" i="3"/>
  <c r="M254" i="3"/>
  <c r="M252" i="3"/>
  <c r="M250" i="3"/>
  <c r="M248" i="3"/>
  <c r="M241" i="3"/>
  <c r="M240" i="3"/>
  <c r="M238" i="3"/>
  <c r="M236" i="3"/>
  <c r="M225" i="3"/>
  <c r="M216" i="3"/>
  <c r="M214" i="3"/>
  <c r="M105" i="3"/>
  <c r="M98" i="3"/>
  <c r="L1024" i="3"/>
  <c r="L756" i="3"/>
  <c r="L498" i="3"/>
  <c r="L435" i="3"/>
  <c r="T10" i="4" l="1"/>
  <c r="L61" i="3"/>
  <c r="T9" i="4" l="1"/>
  <c r="B3" i="2"/>
  <c r="A2" i="2"/>
  <c r="A2" i="9" s="1"/>
  <c r="K1077" i="3"/>
  <c r="K956" i="3"/>
  <c r="K906" i="3"/>
  <c r="K867" i="3"/>
  <c r="K860" i="3"/>
  <c r="K862" i="3"/>
  <c r="K756" i="3"/>
  <c r="K635" i="3"/>
  <c r="K480" i="3"/>
  <c r="K438" i="3"/>
  <c r="K321" i="3"/>
  <c r="K241" i="3"/>
  <c r="K197" i="3"/>
  <c r="K61" i="3"/>
  <c r="K51" i="3"/>
  <c r="B13" i="3"/>
  <c r="B27" i="3"/>
  <c r="C7" i="3"/>
  <c r="B7" i="3"/>
  <c r="B1111" i="3"/>
  <c r="J950" i="3"/>
  <c r="C580" i="3"/>
  <c r="C480" i="3"/>
  <c r="B480" i="3"/>
  <c r="J428" i="3"/>
  <c r="B58" i="3"/>
  <c r="C33" i="3"/>
  <c r="C41" i="3"/>
  <c r="B3" i="9" l="1"/>
  <c r="U7" i="4"/>
  <c r="T7" i="4"/>
  <c r="T2" i="4"/>
  <c r="T8" i="4"/>
</calcChain>
</file>

<file path=xl/sharedStrings.xml><?xml version="1.0" encoding="utf-8"?>
<sst xmlns="http://schemas.openxmlformats.org/spreadsheetml/2006/main" count="24519" uniqueCount="1317">
  <si>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</si>
  <si>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</si>
  <si>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</si>
  <si>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</si>
  <si>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</si>
  <si>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</si>
  <si>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</si>
  <si>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</si>
  <si>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</si>
  <si>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</si>
  <si>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</si>
  <si>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</si>
  <si>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</si>
  <si>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</si>
  <si>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</si>
  <si>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</si>
  <si>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</si>
  <si>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</si>
  <si>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</si>
  <si>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</si>
  <si>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</si>
  <si>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</si>
  <si>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</si>
  <si>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</si>
  <si>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</si>
  <si>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</si>
  <si>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</si>
  <si>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</si>
  <si>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</si>
  <si>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</si>
  <si>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</si>
  <si>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</si>
  <si>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</si>
  <si>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</si>
  <si>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</si>
  <si>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</si>
  <si>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</si>
  <si>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</si>
  <si>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</si>
  <si>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</si>
  <si>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</si>
  <si>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</si>
  <si>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</si>
  <si>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</si>
  <si>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</si>
  <si>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</si>
  <si>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</si>
  <si>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</si>
  <si>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</si>
  <si>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</si>
  <si>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</si>
  <si>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</si>
  <si>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</si>
  <si>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</si>
  <si>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</si>
  <si>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</si>
  <si>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</si>
  <si>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</si>
  <si>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</si>
  <si>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</si>
  <si>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</si>
  <si>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</si>
  <si>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</si>
  <si>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</si>
  <si>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</si>
  <si>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</si>
  <si>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</si>
  <si>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</si>
  <si>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</si>
  <si>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</si>
  <si>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</si>
  <si>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</si>
  <si>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</si>
  <si>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</si>
  <si>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</si>
  <si>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</si>
  <si>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</si>
  <si>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</si>
  <si>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</si>
  <si>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</si>
  <si>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</si>
  <si>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</si>
  <si>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</si>
  <si>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</si>
  <si>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</si>
  <si>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</si>
  <si>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</si>
  <si>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</si>
  <si>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</si>
  <si>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</si>
  <si>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</si>
  <si>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</si>
  <si>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</si>
  <si>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</si>
  <si>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</si>
  <si>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</si>
  <si>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</si>
  <si>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</si>
  <si>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</si>
  <si>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</si>
  <si>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</si>
  <si>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</si>
  <si>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</si>
  <si>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</si>
  <si>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</si>
  <si>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</si>
  <si>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</si>
  <si>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</si>
  <si>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</si>
  <si>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</si>
  <si>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</si>
  <si>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</si>
  <si>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</si>
  <si>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</si>
  <si>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</si>
  <si>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</si>
  <si>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</si>
  <si>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</si>
  <si>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</si>
  <si>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</si>
  <si>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</si>
  <si>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</si>
  <si>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</si>
  <si>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</si>
  <si>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</si>
  <si>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</si>
  <si>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</si>
  <si>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</si>
  <si>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</si>
  <si>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</si>
  <si>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</si>
  <si>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</si>
  <si>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</si>
  <si>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</si>
  <si>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</si>
  <si>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</si>
  <si>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</si>
  <si>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</si>
  <si>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</si>
  <si>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</si>
  <si>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</si>
  <si>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</si>
  <si>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</si>
  <si>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</si>
  <si>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</si>
  <si>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</si>
  <si>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</si>
  <si>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</si>
  <si>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</si>
  <si>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</si>
  <si>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</si>
  <si>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</si>
  <si>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</si>
  <si>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</si>
  <si>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</si>
  <si>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</si>
  <si>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</si>
  <si>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</si>
  <si>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</si>
  <si>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</si>
  <si>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</si>
  <si>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</si>
  <si>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</si>
  <si>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</si>
  <si>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</si>
  <si>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</si>
  <si>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</si>
  <si>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</si>
  <si>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</si>
  <si>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</si>
  <si>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</si>
  <si>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</si>
  <si>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</si>
  <si>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</si>
  <si>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</si>
  <si>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</si>
  <si>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</si>
  <si>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</si>
  <si>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</si>
  <si>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</si>
  <si>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</si>
  <si>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</si>
  <si>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</si>
  <si>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</si>
  <si>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</si>
  <si>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</si>
  <si>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</si>
  <si>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</si>
  <si>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</si>
  <si>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</si>
  <si>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</si>
  <si>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</si>
  <si>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</si>
  <si>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</si>
  <si>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</si>
  <si>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</si>
  <si>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</si>
  <si>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</si>
  <si>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</si>
  <si>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</si>
  <si>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</si>
  <si>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</si>
  <si>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</si>
  <si>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</si>
  <si>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</si>
  <si>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</si>
  <si>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</si>
  <si>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</si>
  <si>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</si>
  <si>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</si>
  <si>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</si>
  <si>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</si>
  <si>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</si>
  <si>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</si>
  <si>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</si>
  <si>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</si>
  <si>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</si>
  <si>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</si>
  <si>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</si>
  <si>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</si>
  <si>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</si>
  <si>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</si>
  <si>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</si>
  <si>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</si>
  <si>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</si>
  <si>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</si>
  <si>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</si>
  <si>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</si>
  <si>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</si>
  <si>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</si>
  <si>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</si>
  <si>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</si>
  <si>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</si>
  <si>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</si>
  <si>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</si>
  <si>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</si>
  <si>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</si>
  <si>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</si>
  <si>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</si>
  <si>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</si>
  <si>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</si>
  <si>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</si>
  <si>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</si>
  <si>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</si>
  <si>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</si>
  <si>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</si>
  <si>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</si>
  <si>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</si>
  <si>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</si>
  <si>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</si>
  <si>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</si>
  <si>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</si>
  <si>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</si>
  <si>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</si>
  <si>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</si>
  <si>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</si>
  <si>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</si>
  <si>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</si>
  <si>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</si>
  <si>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</si>
  <si>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</si>
  <si>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</si>
  <si>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</si>
  <si>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</si>
  <si>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</si>
  <si>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</si>
  <si>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</si>
  <si>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</si>
  <si>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</si>
  <si>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</si>
  <si>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</si>
  <si>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</si>
  <si>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</si>
  <si>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</si>
  <si>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</si>
  <si>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</si>
  <si>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</si>
  <si>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</si>
  <si>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</si>
  <si>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</si>
  <si>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</si>
  <si>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</si>
  <si>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</si>
  <si>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</si>
  <si>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</si>
  <si>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</si>
  <si>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</si>
  <si>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</si>
  <si>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</si>
  <si>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</si>
  <si>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</si>
  <si>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</si>
  <si>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</si>
  <si>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</si>
  <si>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</si>
  <si>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</si>
  <si>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</si>
  <si>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</si>
  <si>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</si>
  <si>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</si>
  <si>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</si>
  <si>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</si>
  <si>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</si>
  <si>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</si>
  <si>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</si>
  <si>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</si>
  <si>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</si>
  <si>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</si>
  <si>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</si>
  <si>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</si>
  <si>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</si>
  <si>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</si>
  <si>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</si>
  <si>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</si>
  <si>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</si>
  <si>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</si>
  <si>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</si>
  <si>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</si>
  <si>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</si>
  <si>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</si>
  <si>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</si>
  <si>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</si>
  <si>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</si>
  <si>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</si>
  <si>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</si>
  <si>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</si>
  <si>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</si>
  <si>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</si>
  <si>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</si>
  <si>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</si>
  <si>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</si>
  <si>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</si>
  <si>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</si>
  <si>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</si>
  <si>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</si>
  <si>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</si>
  <si>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</si>
  <si>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</si>
  <si>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</si>
  <si>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</si>
  <si>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</si>
  <si>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</si>
  <si>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</si>
  <si>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</si>
  <si>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</si>
  <si>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</si>
  <si>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</si>
  <si>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</si>
  <si>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</si>
  <si>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</si>
  <si>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</si>
  <si>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</si>
  <si>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</si>
  <si>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</si>
  <si>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</si>
  <si>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</si>
  <si>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</si>
  <si>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</si>
  <si>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</si>
  <si>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</si>
  <si>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</si>
  <si>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</si>
  <si>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</si>
  <si>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</si>
  <si>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</si>
  <si>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</si>
  <si>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</si>
  <si>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</si>
  <si>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</si>
  <si>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</si>
  <si>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</si>
  <si>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</si>
  <si>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</si>
  <si>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</si>
  <si>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</si>
  <si>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</si>
  <si>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</si>
  <si>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</si>
  <si>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</si>
  <si>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</si>
  <si>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</si>
  <si>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</si>
  <si>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</si>
  <si>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</si>
  <si>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</si>
  <si>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</si>
  <si>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</si>
  <si>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</si>
  <si>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</si>
  <si>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</si>
  <si>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</si>
  <si>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</si>
  <si>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</si>
  <si>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</si>
  <si>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</si>
  <si>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</si>
  <si>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</si>
  <si>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</si>
  <si>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</si>
  <si>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</si>
  <si>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</si>
  <si>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</si>
  <si>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</si>
  <si>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</si>
  <si>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</si>
  <si>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</si>
  <si>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</si>
  <si>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</si>
  <si>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</si>
  <si>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</si>
  <si>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</si>
  <si>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</si>
  <si>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</si>
  <si>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</si>
  <si>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</si>
  <si>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</si>
  <si>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</si>
  <si>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</si>
  <si>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</si>
  <si>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</si>
  <si>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</si>
  <si>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</si>
  <si>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</si>
  <si>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</si>
  <si>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</si>
  <si>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</si>
  <si>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</si>
  <si>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</si>
  <si>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</si>
  <si>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</si>
  <si>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</si>
  <si>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</si>
  <si>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</si>
  <si>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</si>
  <si>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</si>
  <si>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</si>
  <si>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</si>
  <si>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</si>
  <si>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</si>
  <si>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</si>
  <si>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</si>
  <si>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</si>
  <si>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</si>
  <si>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</si>
  <si>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</si>
  <si>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</si>
  <si>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</si>
  <si>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</si>
  <si>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</si>
  <si>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</si>
  <si>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</si>
  <si>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</si>
  <si>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</si>
  <si>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</si>
  <si>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</si>
  <si>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</si>
  <si>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</si>
  <si>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</si>
  <si>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</si>
  <si>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</si>
  <si>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</si>
  <si>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</si>
  <si>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</si>
  <si>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</si>
  <si>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</si>
  <si>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</si>
  <si>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</si>
  <si>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</si>
  <si>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</si>
  <si>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</si>
  <si>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</si>
  <si>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</si>
  <si>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</si>
  <si>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</si>
  <si>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</si>
  <si>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</si>
  <si>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</si>
  <si>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</si>
  <si>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</si>
  <si>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</si>
  <si>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</si>
  <si>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</si>
  <si>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</si>
  <si>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</si>
  <si>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</si>
  <si>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</si>
  <si>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</si>
  <si>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</si>
  <si>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</si>
  <si>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</si>
  <si>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</si>
  <si>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</si>
  <si>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</si>
  <si>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</si>
  <si>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</si>
  <si>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</si>
  <si>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</si>
  <si>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</si>
  <si>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</si>
  <si>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</si>
  <si>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</si>
  <si>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</si>
  <si>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</si>
  <si>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</si>
  <si>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</si>
  <si>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</si>
  <si>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</si>
  <si>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</si>
  <si>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</si>
  <si>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</si>
  <si>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</si>
  <si>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</si>
  <si>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</si>
  <si>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</si>
  <si>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</si>
  <si>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</si>
  <si>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</si>
  <si>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</si>
  <si>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</si>
  <si>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</si>
  <si>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</si>
  <si>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</si>
  <si>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</si>
  <si>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</si>
  <si>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</si>
  <si>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</si>
  <si>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</si>
  <si>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</si>
  <si>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</si>
  <si>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</si>
  <si>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</si>
  <si>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</si>
  <si>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</si>
  <si>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</si>
  <si>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</si>
  <si>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</si>
  <si>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</si>
  <si>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</si>
  <si>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</si>
  <si>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</si>
  <si>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</si>
  <si>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</si>
  <si>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</si>
  <si>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</si>
  <si>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</si>
  <si>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</si>
  <si>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</si>
  <si>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</si>
  <si>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</si>
  <si>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</si>
  <si>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</si>
  <si>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</si>
  <si>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</si>
  <si>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</si>
  <si>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</si>
  <si>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</si>
  <si>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</si>
  <si>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</si>
  <si>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</si>
  <si>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</si>
  <si>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</si>
  <si>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</si>
  <si>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</si>
  <si>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</si>
  <si>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</si>
  <si>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</si>
  <si>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</si>
  <si>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</si>
  <si>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</si>
  <si>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</si>
  <si>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</si>
  <si>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</si>
  <si>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</si>
  <si>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</si>
  <si>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</si>
  <si>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</si>
  <si>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</si>
  <si>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</si>
  <si>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</si>
  <si>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</si>
  <si>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</si>
  <si>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</si>
  <si>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</si>
  <si>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</si>
  <si>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</si>
  <si>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</si>
  <si>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</si>
  <si>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</si>
  <si>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</si>
  <si>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</si>
  <si>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</si>
  <si>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</si>
  <si>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</si>
  <si>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</si>
  <si>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</si>
  <si>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</si>
  <si>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</si>
  <si>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</si>
  <si>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</si>
  <si>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</si>
  <si>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</si>
  <si>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</si>
  <si>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</si>
  <si>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</si>
  <si>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</si>
  <si>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</si>
  <si>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</si>
  <si>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</si>
  <si>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</si>
  <si>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</si>
  <si>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</si>
  <si>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</si>
  <si>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</si>
  <si>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</si>
  <si>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</si>
  <si>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</si>
  <si>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</si>
  <si>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</si>
  <si>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</si>
  <si>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</si>
  <si>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</si>
  <si>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</si>
  <si>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</si>
  <si>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</si>
  <si>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</si>
  <si>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</si>
  <si>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</si>
  <si>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</si>
  <si>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</si>
  <si>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</si>
  <si>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</si>
  <si>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</si>
  <si>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</si>
  <si>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</si>
  <si>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</si>
  <si>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</si>
  <si>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</si>
  <si>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</si>
  <si>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</si>
  <si>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</si>
  <si>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</si>
  <si>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</si>
  <si>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</si>
  <si>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</si>
  <si>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</si>
  <si>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</si>
  <si>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</si>
  <si>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</si>
  <si>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</si>
  <si>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</si>
  <si>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</si>
  <si>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</si>
  <si>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</si>
  <si>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</si>
  <si>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</si>
  <si>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</si>
  <si>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</si>
  <si>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</si>
  <si>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</si>
  <si>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</si>
  <si>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</si>
  <si>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</si>
  <si>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</si>
  <si>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</si>
  <si>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</si>
  <si>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</si>
  <si>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</si>
  <si>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</si>
  <si>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</si>
  <si>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</si>
  <si>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</si>
  <si>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</si>
  <si>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</si>
  <si>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</si>
  <si>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</si>
  <si>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</si>
  <si>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</si>
  <si>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</si>
  <si>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</si>
  <si>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</si>
  <si>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</si>
  <si>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</si>
  <si>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</si>
  <si>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</si>
  <si>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</si>
  <si>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</si>
  <si>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</si>
  <si>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</si>
  <si>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</si>
  <si>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</si>
  <si>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</si>
  <si>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</si>
  <si>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</si>
  <si>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</si>
  <si>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</si>
  <si>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</si>
  <si>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</si>
  <si>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</si>
  <si>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</si>
  <si>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</si>
  <si>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</si>
  <si>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</si>
  <si>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</si>
  <si>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</si>
  <si>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</si>
  <si>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</si>
  <si>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</si>
  <si>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</si>
  <si>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</si>
  <si>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</si>
  <si>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</si>
  <si>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</si>
  <si>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</si>
  <si>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</si>
  <si>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</si>
  <si>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</si>
  <si>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</si>
  <si>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</si>
  <si>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</si>
  <si>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Falagria sulcata</t>
  </si>
  <si>
    <t>Hydromecta sp. 1</t>
  </si>
  <si>
    <t>Hydromecta sp. 2</t>
  </si>
  <si>
    <t>Hydromecta sp. 3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</si>
  <si>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</si>
  <si>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</si>
  <si>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</si>
  <si>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</si>
  <si>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</si>
  <si>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</si>
  <si>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</si>
  <si>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</si>
  <si>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</si>
  <si>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</si>
  <si>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</si>
  <si>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</si>
  <si>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</si>
  <si>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</si>
  <si>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</si>
  <si>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</si>
  <si>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</si>
  <si>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</si>
  <si>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</si>
  <si>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</si>
  <si>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</si>
  <si>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</si>
  <si>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</si>
  <si>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</si>
  <si>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</si>
  <si>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</si>
  <si>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</si>
  <si>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</si>
  <si>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</si>
  <si>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</si>
  <si>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</si>
  <si>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</si>
  <si>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</si>
  <si>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</si>
  <si>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</si>
  <si>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</si>
  <si>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</si>
  <si>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</si>
  <si>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</si>
  <si>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</si>
  <si>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</si>
  <si>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</si>
  <si>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</si>
  <si>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</si>
  <si>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</si>
  <si>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</si>
  <si>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</si>
  <si>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</si>
  <si>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</si>
  <si>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</si>
  <si>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</si>
  <si>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</si>
  <si>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</si>
  <si>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Lathrobium voraensis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</si>
  <si>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</si>
  <si>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</si>
  <si>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</si>
  <si>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</si>
  <si>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</si>
  <si>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</si>
  <si>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</si>
  <si>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</si>
  <si>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</si>
  <si>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</si>
  <si>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</si>
  <si>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</si>
  <si>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</si>
  <si>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</si>
  <si>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</si>
  <si>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</si>
  <si>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</si>
  <si>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</si>
  <si>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</si>
  <si>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</si>
  <si>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</si>
  <si>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</si>
  <si>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</si>
  <si>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</si>
  <si>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</si>
  <si>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</si>
  <si>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</si>
  <si>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</si>
  <si>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</si>
  <si>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</si>
  <si>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</si>
  <si>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</si>
  <si>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</si>
  <si>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</si>
  <si>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</si>
  <si>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</si>
  <si>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</si>
  <si>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</si>
  <si>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</si>
  <si>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</si>
  <si>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</si>
  <si>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</si>
  <si>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</si>
  <si>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</si>
  <si>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</si>
  <si>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</si>
  <si>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</si>
  <si>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</si>
  <si>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</si>
  <si>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</si>
  <si>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</si>
  <si>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</si>
  <si>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</si>
  <si>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</si>
  <si>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</si>
  <si>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</si>
  <si>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</si>
  <si>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</si>
  <si>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</si>
  <si>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</si>
  <si>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</si>
  <si>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</si>
  <si>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</si>
  <si>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</si>
  <si>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</si>
  <si>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</si>
  <si>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</si>
  <si>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</si>
  <si>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</si>
  <si>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</si>
  <si>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</si>
  <si>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</si>
  <si>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</si>
  <si>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</si>
  <si>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</si>
  <si>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</si>
  <si>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</si>
  <si>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</si>
  <si>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</si>
  <si>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</si>
  <si>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</si>
  <si>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</si>
  <si>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</si>
  <si>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</si>
  <si>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</si>
  <si>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</si>
  <si>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</si>
  <si>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</si>
  <si>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</si>
  <si>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</si>
  <si>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</si>
  <si>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</si>
  <si>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</si>
  <si>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</si>
  <si>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</si>
  <si>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</si>
  <si>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</si>
  <si>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</si>
  <si>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</si>
  <si>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</si>
  <si>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</si>
  <si>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</si>
  <si>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</si>
  <si>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</si>
  <si>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</si>
  <si>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</si>
  <si>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</si>
  <si>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</si>
  <si>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</si>
  <si>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</si>
  <si>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</si>
  <si>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</si>
  <si>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</si>
  <si>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</si>
  <si>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</si>
  <si>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</si>
  <si>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</si>
  <si>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</si>
  <si>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</si>
  <si>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</si>
  <si>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</si>
  <si>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</si>
  <si>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</si>
  <si>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</si>
  <si>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</si>
  <si>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</si>
  <si>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</si>
  <si>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</si>
  <si>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</si>
  <si>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</si>
  <si>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</si>
  <si>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</si>
  <si>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</si>
  <si>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</si>
  <si>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</si>
  <si>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</si>
  <si>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</si>
  <si>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</si>
  <si>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</si>
  <si>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</si>
  <si>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</si>
  <si>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</si>
  <si>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</si>
  <si>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</si>
  <si>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</si>
  <si>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</si>
  <si>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</si>
  <si>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</si>
  <si>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</si>
  <si>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</si>
  <si>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</si>
  <si>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</si>
  <si>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</si>
  <si>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</si>
  <si>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</si>
  <si>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</si>
  <si>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</si>
  <si>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</si>
  <si>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</si>
  <si>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</si>
  <si>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</si>
  <si>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</si>
  <si>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</si>
  <si>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</si>
  <si>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</si>
  <si>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</si>
  <si>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</si>
  <si>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</si>
  <si>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</si>
  <si>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</si>
  <si>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</si>
  <si>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</si>
  <si>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</si>
  <si>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</si>
  <si>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</si>
  <si>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</si>
  <si>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</si>
  <si>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</si>
  <si>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</si>
  <si>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</si>
  <si>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</si>
  <si>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</si>
  <si>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</si>
  <si>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</si>
  <si>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</si>
  <si>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</si>
  <si>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</si>
  <si>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</si>
  <si>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</si>
  <si>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</si>
  <si>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</si>
  <si>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</si>
  <si>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</si>
  <si>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</si>
  <si>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</si>
  <si>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</si>
  <si>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</si>
  <si>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</si>
  <si>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</si>
  <si>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</si>
  <si>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</si>
  <si>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</si>
  <si>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</si>
  <si>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</si>
  <si>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</si>
  <si>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</si>
  <si>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</si>
  <si>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</si>
  <si>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</si>
  <si>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</si>
  <si>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</si>
  <si>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</si>
  <si>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</si>
  <si>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</si>
  <si>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</si>
  <si>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</si>
  <si>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</si>
  <si>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</si>
  <si>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</si>
  <si>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</si>
  <si>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</si>
  <si>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</si>
  <si>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</si>
  <si>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</si>
  <si>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</si>
  <si>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</si>
  <si>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</si>
  <si>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</si>
  <si>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</si>
  <si>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</si>
  <si>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</si>
  <si>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</si>
  <si>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</si>
  <si>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</si>
  <si>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</si>
  <si>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</si>
  <si>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</si>
  <si>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</si>
  <si>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</si>
  <si>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</si>
  <si>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</si>
  <si>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</si>
  <si>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</si>
  <si>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</si>
  <si>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</si>
  <si>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</si>
  <si>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</si>
  <si>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</si>
  <si>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</si>
  <si>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</si>
  <si>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</si>
  <si>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</si>
  <si>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</si>
  <si>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</si>
  <si>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</si>
  <si>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</si>
  <si>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</si>
  <si>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</si>
  <si>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</si>
  <si>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</si>
  <si>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</si>
  <si>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</si>
  <si>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</si>
  <si>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</si>
  <si>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</si>
  <si>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</si>
  <si>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</si>
  <si>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</si>
  <si>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</si>
  <si>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</si>
  <si>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</si>
  <si>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</si>
  <si>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</si>
  <si>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</si>
  <si>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</si>
  <si>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</si>
  <si>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</si>
  <si>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</si>
  <si>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</si>
  <si>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</si>
  <si>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</si>
  <si>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</si>
  <si>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</si>
  <si>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</si>
  <si>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</si>
  <si>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</si>
  <si>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</si>
  <si>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</si>
  <si>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</si>
  <si>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</si>
  <si>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</si>
  <si>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</si>
  <si>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</si>
  <si>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</si>
  <si>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</si>
  <si>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</si>
  <si>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</si>
  <si>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</si>
  <si>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</si>
  <si>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</si>
  <si>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</si>
  <si>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</si>
  <si>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</si>
  <si>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</si>
  <si>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</si>
  <si>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</si>
  <si>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</si>
  <si>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</si>
  <si>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</si>
  <si>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</si>
  <si>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</si>
  <si>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</si>
  <si>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</si>
  <si>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</si>
  <si>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</si>
  <si>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</si>
  <si>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</si>
  <si>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</si>
  <si>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</si>
  <si>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</si>
  <si>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</si>
  <si>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</si>
  <si>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</si>
  <si>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</si>
  <si>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</si>
  <si>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</si>
  <si>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</si>
  <si>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</si>
  <si>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</si>
  <si>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</si>
  <si>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</si>
  <si>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</si>
  <si>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</si>
  <si>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</si>
  <si>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</si>
  <si>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</si>
  <si>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</si>
  <si>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</si>
  <si>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</si>
  <si>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</si>
  <si>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</si>
  <si>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</si>
  <si>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</si>
  <si>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</si>
  <si>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</si>
  <si>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</si>
  <si>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</si>
  <si>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</si>
  <si>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</si>
  <si>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</si>
  <si>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</si>
  <si>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</si>
  <si>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</si>
  <si>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</si>
  <si>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</si>
  <si>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</si>
  <si>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</si>
  <si>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</si>
  <si>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</si>
  <si>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</si>
  <si>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</si>
  <si>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</si>
  <si>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</si>
  <si>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</si>
  <si>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</si>
  <si>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</si>
  <si>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</si>
  <si>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</si>
  <si>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Stenichus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</si>
  <si>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</si>
  <si>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</si>
  <si>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</si>
  <si>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</si>
  <si>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</si>
  <si>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</si>
  <si>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</si>
  <si>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</si>
  <si>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</si>
  <si>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</si>
  <si>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</si>
  <si>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</si>
  <si>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</si>
  <si>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</si>
  <si>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</si>
  <si>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</si>
  <si>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</si>
  <si>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</si>
  <si>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</si>
  <si>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</si>
  <si>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</si>
  <si>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</si>
  <si>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</si>
  <si>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</si>
  <si>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</si>
  <si>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</si>
  <si>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</si>
  <si>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</si>
  <si>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</si>
  <si>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</si>
  <si>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</si>
  <si>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</si>
  <si>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</si>
  <si>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</si>
  <si>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</si>
  <si>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</si>
  <si>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</si>
  <si>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</si>
  <si>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</si>
  <si>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</si>
  <si>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</si>
  <si>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</si>
  <si>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</si>
  <si>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</si>
  <si>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</si>
  <si>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</si>
  <si>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</si>
  <si>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</si>
  <si>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</si>
  <si>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Stenichus basimpressus (E) </t>
  </si>
  <si>
    <t xml:space="preserve">Scydmoraphes ziegleri (E) </t>
  </si>
  <si>
    <t xml:space="preserve">Stenichnus creticus (E) </t>
  </si>
  <si>
    <t xml:space="preserve">Stenichus hummleri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</si>
  <si>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</si>
  <si>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</si>
  <si>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</si>
  <si>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</si>
  <si>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</si>
  <si>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</si>
  <si>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</si>
  <si>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</si>
  <si>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</si>
  <si>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</si>
  <si>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</si>
  <si>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</si>
  <si>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</si>
  <si>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</si>
  <si>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</si>
  <si>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</si>
  <si>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</si>
  <si>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</si>
  <si>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</si>
  <si>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</si>
  <si>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</si>
  <si>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</si>
  <si>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</si>
  <si>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</si>
  <si>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</si>
  <si>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</si>
  <si>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</si>
  <si>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</si>
  <si>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</si>
  <si>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</si>
  <si>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</si>
  <si>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</si>
  <si>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</si>
  <si>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</si>
  <si>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</si>
  <si>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</si>
  <si>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</si>
  <si>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</si>
  <si>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</si>
  <si>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</si>
  <si>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</si>
  <si>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</si>
  <si>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</si>
  <si>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</si>
  <si>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</si>
  <si>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</si>
  <si>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*Stenichus lesbius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</si>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</sst>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2.1641359882333039E-2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0.93101814572617736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4.7340494391489588E-2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5920046</c:v>
                </c:pt>
                <c:pt idx="1">
                  <c:v>0</c:v>
                </c:pt>
                <c:pt idx="2">
                  <c:v>0</c:v>
                </c:pt>
                <c:pt idx="3">
                  <c:v>254682251</c:v>
                </c:pt>
                <c:pt idx="4">
                  <c:v>12950106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1123"/>
  <sheetViews>
    <sheetView workbookViewId="0">
      <pane xSplit="1" ySplit="1" topLeftCell="H2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M13" sqref="B3:U49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4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933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1118</v>
      </c>
      <c r="P1" s="116" t="s">
        <v>941</v>
      </c>
      <c r="Q1" s="116" t="s">
        <v>960</v>
      </c>
      <c r="R1" s="116" t="s">
        <v>965</v>
      </c>
      <c r="S1" s="116" t="s">
        <v>942</v>
      </c>
      <c r="T1" s="117" t="s">
        <v>993</v>
      </c>
      <c r="U1" s="117" t="s">
        <v>994</v>
      </c>
      <c r="V1" s="117" t="s">
        <v>1123</v>
      </c>
      <c r="W1" s="132" t="s">
        <v>1258</v>
      </c>
      <c r="X1" s="133" t="s">
        <v>1259</v>
      </c>
    </row>
    <row r="2" spans="1:24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110"/>
      <c r="Q2" s="110"/>
      <c r="R2" s="110"/>
      <c r="S2" s="110"/>
      <c r="W2" s="134"/>
      <c r="X2" s="134"/>
    </row>
    <row r="3" spans="1:24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106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t="s">
        <v>119</v>
      </c>
      <c r="W3" s="11" t="s">
        <v>134</v>
      </c>
      <c r="X3" s="11" t="s">
        <v>119</v>
      </c>
    </row>
    <row r="4" spans="1:24" x14ac:dyDescent="0.3">
      <c r="A4" s="35" t="s">
        <v>761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106" t="s">
        <v>119</v>
      </c>
      <c r="Q4" s="106" t="s">
        <v>119</v>
      </c>
      <c r="R4" s="106" t="s">
        <v>119</v>
      </c>
      <c r="S4" s="106">
        <v>4</v>
      </c>
      <c r="T4" s="106" t="s">
        <v>119</v>
      </c>
      <c r="U4" s="106">
        <v>2</v>
      </c>
      <c r="V4" t="s">
        <v>119</v>
      </c>
      <c r="W4" s="11" t="str">
        <f t="shared" ref="W4:W66" si="0">IF(SUM(P4:U4)&gt;=1,"X","")</f>
        <v>X</v>
      </c>
      <c r="X4" s="11" t="s">
        <v>119</v>
      </c>
    </row>
    <row r="5" spans="1:24" s="5" customFormat="1" x14ac:dyDescent="0.3">
      <c r="A5" s="8" t="s">
        <v>759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107" t="s">
        <v>119</v>
      </c>
      <c r="Q5" s="107" t="s">
        <v>119</v>
      </c>
      <c r="R5" s="107">
        <v>1</v>
      </c>
      <c r="S5" s="107">
        <f>2+9+2+1+1</f>
        <v>15</v>
      </c>
      <c r="T5" s="106" t="s">
        <v>119</v>
      </c>
      <c r="U5" s="106" t="s">
        <v>119</v>
      </c>
      <c r="V5" t="s">
        <v>119</v>
      </c>
      <c r="W5" s="11" t="str">
        <f t="shared" si="0"/>
        <v>X</v>
      </c>
      <c r="X5" s="11" t="s">
        <v>119</v>
      </c>
    </row>
    <row r="6" spans="1:24" s="11" customFormat="1" x14ac:dyDescent="0.3">
      <c r="A6" s="13" t="s">
        <v>1000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108" t="s">
        <v>119</v>
      </c>
      <c r="Q6" s="108" t="s">
        <v>119</v>
      </c>
      <c r="R6" s="108" t="s">
        <v>119</v>
      </c>
      <c r="S6" s="108">
        <v>15</v>
      </c>
      <c r="T6" s="108"/>
      <c r="U6" s="108"/>
      <c r="V6" t="s">
        <v>119</v>
      </c>
      <c r="W6" s="11" t="str">
        <f t="shared" si="0"/>
        <v>X</v>
      </c>
      <c r="X6" s="11" t="s">
        <v>134</v>
      </c>
    </row>
    <row r="7" spans="1:24" x14ac:dyDescent="0.3">
      <c r="A7" s="21" t="s">
        <v>1247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106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t="s">
        <v>134</v>
      </c>
      <c r="W7" s="11" t="s">
        <v>119</v>
      </c>
      <c r="X7" s="11" t="s">
        <v>119</v>
      </c>
    </row>
    <row r="8" spans="1:24" s="11" customFormat="1" x14ac:dyDescent="0.3">
      <c r="A8" s="13" t="s">
        <v>760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108" t="s">
        <v>119</v>
      </c>
      <c r="Q8" s="108" t="s">
        <v>119</v>
      </c>
      <c r="R8" s="108" t="s">
        <v>119</v>
      </c>
      <c r="S8" s="108">
        <v>5</v>
      </c>
      <c r="T8" s="106" t="s">
        <v>119</v>
      </c>
      <c r="U8" s="106" t="s">
        <v>119</v>
      </c>
      <c r="V8" t="s">
        <v>119</v>
      </c>
      <c r="W8" s="11" t="str">
        <f t="shared" si="0"/>
        <v>X</v>
      </c>
      <c r="X8" s="11" t="s">
        <v>119</v>
      </c>
    </row>
    <row r="9" spans="1:24" s="11" customFormat="1" x14ac:dyDescent="0.3">
      <c r="A9" s="13" t="s">
        <v>758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108">
        <v>1</v>
      </c>
      <c r="Q9" s="108" t="s">
        <v>119</v>
      </c>
      <c r="R9" s="108">
        <v>4</v>
      </c>
      <c r="S9" s="108">
        <v>6</v>
      </c>
      <c r="T9" s="106" t="s">
        <v>119</v>
      </c>
      <c r="U9" s="106" t="s">
        <v>119</v>
      </c>
      <c r="V9" t="s">
        <v>119</v>
      </c>
      <c r="W9" s="11" t="str">
        <f t="shared" si="0"/>
        <v>X</v>
      </c>
      <c r="X9" s="11" t="s">
        <v>119</v>
      </c>
    </row>
    <row r="10" spans="1:24" s="11" customFormat="1" x14ac:dyDescent="0.3">
      <c r="A10" s="13" t="s">
        <v>1266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108" t="s">
        <v>119</v>
      </c>
      <c r="Q10" s="108" t="s">
        <v>119</v>
      </c>
      <c r="R10" s="108" t="s">
        <v>119</v>
      </c>
      <c r="S10" s="108" t="s">
        <v>119</v>
      </c>
      <c r="T10" s="106" t="s">
        <v>119</v>
      </c>
      <c r="U10" s="106" t="s">
        <v>119</v>
      </c>
      <c r="V10" t="s">
        <v>119</v>
      </c>
      <c r="W10" s="11" t="s">
        <v>119</v>
      </c>
      <c r="X10" s="11" t="s">
        <v>119</v>
      </c>
    </row>
    <row r="11" spans="1:24" x14ac:dyDescent="0.3">
      <c r="A11" s="21" t="s">
        <v>1151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106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t="s">
        <v>134</v>
      </c>
      <c r="W11" s="11" t="s">
        <v>119</v>
      </c>
      <c r="X11" s="11" t="s">
        <v>119</v>
      </c>
    </row>
    <row r="12" spans="1:24" x14ac:dyDescent="0.3">
      <c r="A12" s="25" t="s">
        <v>1152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106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t="s">
        <v>134</v>
      </c>
      <c r="W12" s="11" t="s">
        <v>119</v>
      </c>
      <c r="X12" s="11" t="s">
        <v>119</v>
      </c>
    </row>
    <row r="13" spans="1:24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106" t="s">
        <v>119</v>
      </c>
      <c r="Q13" s="106">
        <v>5</v>
      </c>
      <c r="R13" s="106">
        <v>2</v>
      </c>
      <c r="S13" s="106" t="s">
        <v>119</v>
      </c>
      <c r="T13" s="106" t="s">
        <v>119</v>
      </c>
      <c r="U13" s="106" t="s">
        <v>119</v>
      </c>
      <c r="V13" t="s">
        <v>119</v>
      </c>
      <c r="W13" s="11" t="str">
        <f t="shared" si="0"/>
        <v>X</v>
      </c>
      <c r="X13" s="11" t="s">
        <v>134</v>
      </c>
    </row>
    <row r="14" spans="1:24" s="5" customFormat="1" x14ac:dyDescent="0.3">
      <c r="A14" s="10" t="s">
        <v>765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107" t="s">
        <v>119</v>
      </c>
      <c r="Q14" s="107" t="s">
        <v>119</v>
      </c>
      <c r="R14" s="107">
        <v>1</v>
      </c>
      <c r="S14" s="107" t="s">
        <v>119</v>
      </c>
      <c r="T14" s="106" t="s">
        <v>119</v>
      </c>
      <c r="U14" s="106" t="s">
        <v>119</v>
      </c>
      <c r="V14" t="s">
        <v>119</v>
      </c>
      <c r="W14" s="11" t="str">
        <f t="shared" si="0"/>
        <v>X</v>
      </c>
      <c r="X14" s="11" t="s">
        <v>119</v>
      </c>
    </row>
    <row r="15" spans="1:24" s="11" customFormat="1" x14ac:dyDescent="0.3">
      <c r="A15" s="14" t="s">
        <v>1001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10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>
        <v>1</v>
      </c>
      <c r="V15" t="s">
        <v>119</v>
      </c>
      <c r="W15" s="11" t="str">
        <f t="shared" si="0"/>
        <v>X</v>
      </c>
      <c r="X15" s="11" t="s">
        <v>119</v>
      </c>
    </row>
    <row r="16" spans="1:24" x14ac:dyDescent="0.3">
      <c r="A16" s="1" t="s">
        <v>763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106" t="s">
        <v>119</v>
      </c>
      <c r="Q16" s="106">
        <v>2</v>
      </c>
      <c r="R16" s="106">
        <v>4</v>
      </c>
      <c r="S16" s="106" t="s">
        <v>119</v>
      </c>
      <c r="T16" s="106" t="s">
        <v>119</v>
      </c>
      <c r="U16" s="106" t="s">
        <v>119</v>
      </c>
      <c r="V16" t="s">
        <v>119</v>
      </c>
      <c r="W16" s="11" t="str">
        <f t="shared" si="0"/>
        <v>X</v>
      </c>
      <c r="X16" s="11" t="s">
        <v>119</v>
      </c>
    </row>
    <row r="17" spans="1:24" x14ac:dyDescent="0.3">
      <c r="A17" s="1" t="s">
        <v>764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106">
        <v>1</v>
      </c>
      <c r="Q17" s="106" t="s">
        <v>119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t="s">
        <v>119</v>
      </c>
      <c r="W17" s="11" t="str">
        <f t="shared" si="0"/>
        <v>X</v>
      </c>
      <c r="X17" s="11" t="s">
        <v>119</v>
      </c>
    </row>
    <row r="18" spans="1:24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106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t="s">
        <v>119</v>
      </c>
      <c r="W18" s="11" t="s">
        <v>119</v>
      </c>
      <c r="X18" s="11" t="s">
        <v>119</v>
      </c>
    </row>
    <row r="19" spans="1:24" x14ac:dyDescent="0.3">
      <c r="A19" s="3" t="s">
        <v>980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106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t="s">
        <v>119</v>
      </c>
      <c r="W19" s="11" t="s">
        <v>134</v>
      </c>
      <c r="X19" s="11" t="s">
        <v>119</v>
      </c>
    </row>
    <row r="20" spans="1:24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106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t="s">
        <v>119</v>
      </c>
      <c r="W20" s="11" t="s">
        <v>119</v>
      </c>
      <c r="X20" s="11" t="s">
        <v>119</v>
      </c>
    </row>
    <row r="21" spans="1:24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106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t="s">
        <v>119</v>
      </c>
      <c r="W21" s="11" t="s">
        <v>119</v>
      </c>
      <c r="X21" s="11" t="s">
        <v>119</v>
      </c>
    </row>
    <row r="22" spans="1:24" x14ac:dyDescent="0.3">
      <c r="A22" s="3" t="s">
        <v>996</v>
      </c>
      <c r="B22" s="17" t="s">
        <v>119</v>
      </c>
      <c r="C22" s="4" t="s">
        <v>119</v>
      </c>
      <c r="D22" s="4" t="s">
        <v>119</v>
      </c>
      <c r="E22" s="1" t="s">
        <v>119</v>
      </c>
      <c r="F22" s="37" t="s">
        <v>119</v>
      </c>
      <c r="G22" s="37" t="s">
        <v>119</v>
      </c>
      <c r="H22" s="28" t="s">
        <v>119</v>
      </c>
      <c r="I22" s="28" t="s">
        <v>119</v>
      </c>
      <c r="J22" s="28" t="s">
        <v>119</v>
      </c>
      <c r="K22" s="28" t="s">
        <v>119</v>
      </c>
      <c r="L22" s="28" t="s">
        <v>119</v>
      </c>
      <c r="M22" s="28" t="s">
        <v>119</v>
      </c>
      <c r="N22" s="1" t="s">
        <v>119</v>
      </c>
      <c r="O22" s="28" t="s">
        <v>119</v>
      </c>
      <c r="P22" s="106" t="s">
        <v>119</v>
      </c>
      <c r="Q22" s="106" t="s">
        <v>119</v>
      </c>
      <c r="R22" s="106" t="s">
        <v>119</v>
      </c>
      <c r="S22" s="106">
        <v>2</v>
      </c>
      <c r="T22" s="106" t="s">
        <v>119</v>
      </c>
      <c r="U22" s="106">
        <v>3</v>
      </c>
      <c r="V22" t="s">
        <v>119</v>
      </c>
      <c r="W22" s="11" t="str">
        <f t="shared" si="0"/>
        <v>X</v>
      </c>
      <c r="X22" s="11" t="s">
        <v>119</v>
      </c>
    </row>
    <row r="23" spans="1:24" s="5" customFormat="1" x14ac:dyDescent="0.3">
      <c r="A23" s="8" t="s">
        <v>995</v>
      </c>
      <c r="B23" s="95" t="s">
        <v>119</v>
      </c>
      <c r="C23" s="7" t="s">
        <v>119</v>
      </c>
      <c r="D23" s="7" t="s">
        <v>119</v>
      </c>
      <c r="E23" s="10" t="s">
        <v>119</v>
      </c>
      <c r="F23" s="29" t="s">
        <v>119</v>
      </c>
      <c r="G23" s="29" t="s">
        <v>119</v>
      </c>
      <c r="H23" s="29" t="s">
        <v>119</v>
      </c>
      <c r="I23" s="29" t="s">
        <v>119</v>
      </c>
      <c r="J23" s="29" t="s">
        <v>119</v>
      </c>
      <c r="K23" s="29" t="s">
        <v>119</v>
      </c>
      <c r="L23" s="29" t="s">
        <v>119</v>
      </c>
      <c r="M23" s="29" t="s">
        <v>119</v>
      </c>
      <c r="N23" s="10" t="s">
        <v>119</v>
      </c>
      <c r="O23" s="28" t="s">
        <v>119</v>
      </c>
      <c r="P23" s="107" t="s">
        <v>119</v>
      </c>
      <c r="Q23" s="107" t="s">
        <v>119</v>
      </c>
      <c r="R23" s="107" t="s">
        <v>119</v>
      </c>
      <c r="S23" s="107" t="s">
        <v>119</v>
      </c>
      <c r="T23" s="107" t="s">
        <v>119</v>
      </c>
      <c r="U23" s="107">
        <v>1</v>
      </c>
      <c r="V23" t="s">
        <v>119</v>
      </c>
      <c r="W23" s="11" t="str">
        <f t="shared" si="0"/>
        <v>X</v>
      </c>
      <c r="X23" s="11" t="s">
        <v>119</v>
      </c>
    </row>
    <row r="24" spans="1:24" s="11" customFormat="1" x14ac:dyDescent="0.3">
      <c r="A24" s="13" t="s">
        <v>997</v>
      </c>
      <c r="B24" s="26" t="s">
        <v>119</v>
      </c>
      <c r="C24" s="12" t="s">
        <v>119</v>
      </c>
      <c r="D24" s="12" t="s">
        <v>119</v>
      </c>
      <c r="E24" s="14" t="s">
        <v>119</v>
      </c>
      <c r="F24" s="31" t="s">
        <v>119</v>
      </c>
      <c r="G24" s="31" t="s">
        <v>119</v>
      </c>
      <c r="H24" s="31" t="s">
        <v>119</v>
      </c>
      <c r="I24" s="31" t="s">
        <v>119</v>
      </c>
      <c r="J24" s="31" t="s">
        <v>119</v>
      </c>
      <c r="K24" s="31" t="s">
        <v>119</v>
      </c>
      <c r="L24" s="31" t="s">
        <v>119</v>
      </c>
      <c r="M24" s="31" t="s">
        <v>119</v>
      </c>
      <c r="N24" s="14" t="s">
        <v>119</v>
      </c>
      <c r="O24" s="28" t="s">
        <v>119</v>
      </c>
      <c r="P24" s="108" t="s">
        <v>119</v>
      </c>
      <c r="Q24" s="108" t="s">
        <v>119</v>
      </c>
      <c r="R24" s="108" t="s">
        <v>119</v>
      </c>
      <c r="S24" s="108" t="s">
        <v>119</v>
      </c>
      <c r="T24" s="108" t="s">
        <v>119</v>
      </c>
      <c r="U24" s="108">
        <v>1</v>
      </c>
      <c r="V24" t="s">
        <v>119</v>
      </c>
      <c r="W24" s="11" t="str">
        <f t="shared" si="0"/>
        <v>X</v>
      </c>
      <c r="X24" s="11" t="s">
        <v>119</v>
      </c>
    </row>
    <row r="25" spans="1:24" x14ac:dyDescent="0.3">
      <c r="A25" s="3" t="s">
        <v>338</v>
      </c>
      <c r="B25" s="17" t="s">
        <v>119</v>
      </c>
      <c r="C25" s="4" t="s">
        <v>119</v>
      </c>
      <c r="D25" s="4" t="s">
        <v>119</v>
      </c>
      <c r="E25" s="1" t="s">
        <v>119</v>
      </c>
      <c r="F25" s="37" t="s">
        <v>119</v>
      </c>
      <c r="G25" s="37" t="s">
        <v>119</v>
      </c>
      <c r="H25" s="28" t="s">
        <v>119</v>
      </c>
      <c r="I25" s="28" t="s">
        <v>119</v>
      </c>
      <c r="J25" s="28" t="s">
        <v>119</v>
      </c>
      <c r="K25" s="28" t="s">
        <v>119</v>
      </c>
      <c r="L25" s="28" t="s">
        <v>119</v>
      </c>
      <c r="M25" s="28" t="s">
        <v>134</v>
      </c>
      <c r="N25" s="1" t="s">
        <v>119</v>
      </c>
      <c r="O25" s="28" t="s">
        <v>119</v>
      </c>
      <c r="P25" s="106" t="s">
        <v>119</v>
      </c>
      <c r="Q25" s="106" t="s">
        <v>119</v>
      </c>
      <c r="R25" s="106" t="s">
        <v>119</v>
      </c>
      <c r="S25" s="106" t="s">
        <v>119</v>
      </c>
      <c r="T25" s="106" t="s">
        <v>119</v>
      </c>
      <c r="U25" s="106" t="s">
        <v>119</v>
      </c>
      <c r="V25" t="s">
        <v>119</v>
      </c>
      <c r="W25" s="11" t="s">
        <v>119</v>
      </c>
      <c r="X25" s="11" t="s">
        <v>119</v>
      </c>
    </row>
    <row r="26" spans="1:24" x14ac:dyDescent="0.3">
      <c r="A26" s="3" t="s">
        <v>1154</v>
      </c>
      <c r="B26" s="17" t="s">
        <v>119</v>
      </c>
      <c r="C26" s="17" t="s">
        <v>119</v>
      </c>
      <c r="D26" s="17" t="s">
        <v>119</v>
      </c>
      <c r="E26" s="17" t="s">
        <v>119</v>
      </c>
      <c r="F26" s="17" t="s">
        <v>119</v>
      </c>
      <c r="G26" s="17" t="s">
        <v>119</v>
      </c>
      <c r="H26" s="17" t="s">
        <v>119</v>
      </c>
      <c r="I26" s="17" t="s">
        <v>119</v>
      </c>
      <c r="J26" s="28" t="s">
        <v>134</v>
      </c>
      <c r="K26" s="28" t="s">
        <v>119</v>
      </c>
      <c r="L26" s="28" t="s">
        <v>119</v>
      </c>
      <c r="M26" s="28" t="s">
        <v>119</v>
      </c>
      <c r="N26" s="28" t="s">
        <v>119</v>
      </c>
      <c r="O26" s="28" t="s">
        <v>119</v>
      </c>
      <c r="P26" s="106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27" t="s">
        <v>134</v>
      </c>
      <c r="W26" s="11" t="s">
        <v>119</v>
      </c>
      <c r="X26" s="11" t="s">
        <v>119</v>
      </c>
    </row>
    <row r="27" spans="1:24" x14ac:dyDescent="0.3">
      <c r="A27" s="21" t="s">
        <v>1248</v>
      </c>
      <c r="B27" s="22">
        <f>6+49+11+2</f>
        <v>68</v>
      </c>
      <c r="C27" s="24">
        <v>0</v>
      </c>
      <c r="D27" s="24">
        <v>0</v>
      </c>
      <c r="E27" s="24">
        <v>1</v>
      </c>
      <c r="F27" s="37" t="s">
        <v>119</v>
      </c>
      <c r="G27" s="37" t="s">
        <v>119</v>
      </c>
      <c r="H27" s="27" t="s">
        <v>119</v>
      </c>
      <c r="I27" s="28" t="s">
        <v>119</v>
      </c>
      <c r="J27" s="28" t="s">
        <v>119</v>
      </c>
      <c r="K27" s="28" t="s">
        <v>119</v>
      </c>
      <c r="L27" s="28" t="s">
        <v>119</v>
      </c>
      <c r="M27" s="28" t="s">
        <v>119</v>
      </c>
      <c r="N27" s="1" t="s">
        <v>119</v>
      </c>
      <c r="O27" s="28" t="s">
        <v>119</v>
      </c>
      <c r="P27" s="106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t="s">
        <v>134</v>
      </c>
      <c r="W27" s="11" t="s">
        <v>119</v>
      </c>
      <c r="X27" s="11" t="s">
        <v>119</v>
      </c>
    </row>
    <row r="28" spans="1:24" s="11" customFormat="1" x14ac:dyDescent="0.3">
      <c r="A28" s="14" t="s">
        <v>762</v>
      </c>
      <c r="B28" s="18" t="s">
        <v>119</v>
      </c>
      <c r="C28" s="14" t="s">
        <v>119</v>
      </c>
      <c r="D28" s="14" t="s">
        <v>119</v>
      </c>
      <c r="E28" s="14" t="s">
        <v>119</v>
      </c>
      <c r="F28" s="37" t="s">
        <v>119</v>
      </c>
      <c r="G28" s="31" t="s">
        <v>119</v>
      </c>
      <c r="H28" s="34" t="s">
        <v>119</v>
      </c>
      <c r="I28" s="31" t="s">
        <v>119</v>
      </c>
      <c r="J28" s="31" t="s">
        <v>119</v>
      </c>
      <c r="K28" s="31" t="s">
        <v>119</v>
      </c>
      <c r="L28" s="31" t="s">
        <v>119</v>
      </c>
      <c r="M28" s="31" t="s">
        <v>119</v>
      </c>
      <c r="N28" s="14" t="s">
        <v>119</v>
      </c>
      <c r="O28" s="28" t="s">
        <v>119</v>
      </c>
      <c r="P28" s="108" t="s">
        <v>119</v>
      </c>
      <c r="Q28" s="108" t="s">
        <v>119</v>
      </c>
      <c r="R28" s="108" t="s">
        <v>119</v>
      </c>
      <c r="S28" s="108">
        <f>45+4+100+127+37+13</f>
        <v>326</v>
      </c>
      <c r="T28" s="106" t="s">
        <v>119</v>
      </c>
      <c r="U28" s="106" t="s">
        <v>119</v>
      </c>
      <c r="V28" t="s">
        <v>119</v>
      </c>
      <c r="W28" s="11" t="str">
        <f t="shared" si="0"/>
        <v>X</v>
      </c>
      <c r="X28" s="11" t="s">
        <v>134</v>
      </c>
    </row>
    <row r="29" spans="1:24" s="11" customFormat="1" x14ac:dyDescent="0.3">
      <c r="A29" s="14" t="s">
        <v>1153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>
        <f>12+6+1+17+1+15+2+5</f>
        <v>59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108" t="s">
        <v>119</v>
      </c>
      <c r="Q29" s="108" t="s">
        <v>119</v>
      </c>
      <c r="R29" s="108" t="s">
        <v>119</v>
      </c>
      <c r="S29" s="108" t="s">
        <v>119</v>
      </c>
      <c r="T29" s="106" t="s">
        <v>119</v>
      </c>
      <c r="U29" s="106" t="s">
        <v>119</v>
      </c>
      <c r="V29" t="s">
        <v>134</v>
      </c>
      <c r="W29" s="11" t="s">
        <v>119</v>
      </c>
      <c r="X29" s="11" t="s">
        <v>119</v>
      </c>
    </row>
    <row r="30" spans="1:24" s="11" customFormat="1" x14ac:dyDescent="0.3">
      <c r="A30" s="14" t="s">
        <v>1155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31" t="s">
        <v>134</v>
      </c>
      <c r="K30" s="31" t="s">
        <v>119</v>
      </c>
      <c r="L30" s="31" t="s">
        <v>119</v>
      </c>
      <c r="M30" s="31" t="s">
        <v>119</v>
      </c>
      <c r="N30" s="31" t="s">
        <v>119</v>
      </c>
      <c r="O30" s="31" t="s">
        <v>119</v>
      </c>
      <c r="P30" s="10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8" t="s">
        <v>119</v>
      </c>
      <c r="V30" s="130" t="s">
        <v>134</v>
      </c>
      <c r="W30" s="11" t="s">
        <v>119</v>
      </c>
      <c r="X30" s="11" t="s">
        <v>119</v>
      </c>
    </row>
    <row r="31" spans="1:24" s="11" customFormat="1" x14ac:dyDescent="0.3">
      <c r="A31" s="14" t="s">
        <v>1156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10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31" t="s">
        <v>134</v>
      </c>
      <c r="W31" s="11" t="s">
        <v>119</v>
      </c>
      <c r="X31" s="11" t="s">
        <v>119</v>
      </c>
    </row>
    <row r="32" spans="1:24" s="11" customFormat="1" x14ac:dyDescent="0.3">
      <c r="A32" s="14" t="s">
        <v>339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37" t="s">
        <v>119</v>
      </c>
      <c r="G32" s="37" t="s">
        <v>119</v>
      </c>
      <c r="H32" s="34" t="s">
        <v>119</v>
      </c>
      <c r="I32" s="31" t="s">
        <v>119</v>
      </c>
      <c r="J32" s="31" t="s">
        <v>119</v>
      </c>
      <c r="K32" s="31" t="s">
        <v>119</v>
      </c>
      <c r="L32" s="31" t="s">
        <v>119</v>
      </c>
      <c r="M32" s="31" t="s">
        <v>134</v>
      </c>
      <c r="N32" s="14" t="s">
        <v>119</v>
      </c>
      <c r="O32" s="28" t="s">
        <v>119</v>
      </c>
      <c r="P32" s="106" t="s">
        <v>119</v>
      </c>
      <c r="Q32" s="106" t="s">
        <v>119</v>
      </c>
      <c r="R32" s="106" t="s">
        <v>119</v>
      </c>
      <c r="S32" s="106" t="s">
        <v>119</v>
      </c>
      <c r="T32" s="106">
        <v>1</v>
      </c>
      <c r="U32" s="106" t="s">
        <v>119</v>
      </c>
      <c r="V32" t="s">
        <v>119</v>
      </c>
      <c r="W32" s="11" t="str">
        <f t="shared" si="0"/>
        <v>X</v>
      </c>
      <c r="X32" s="11" t="s">
        <v>134</v>
      </c>
    </row>
    <row r="33" spans="1:24" x14ac:dyDescent="0.3">
      <c r="A33" s="1" t="s">
        <v>9</v>
      </c>
      <c r="B33" s="2">
        <v>34</v>
      </c>
      <c r="C33" s="1">
        <f>4+13+1+7+14</f>
        <v>39</v>
      </c>
      <c r="D33" s="1">
        <v>0</v>
      </c>
      <c r="E33" s="1">
        <v>0</v>
      </c>
      <c r="F33" s="37">
        <f>8+1+1+1+2+11+1+7</f>
        <v>32</v>
      </c>
      <c r="G33" s="37">
        <v>2</v>
      </c>
      <c r="H33" s="28">
        <v>6</v>
      </c>
      <c r="I33" s="28" t="s">
        <v>119</v>
      </c>
      <c r="J33" s="28">
        <f>1+6+3+4+3+2+2+1+1+2</f>
        <v>25</v>
      </c>
      <c r="K33" s="28" t="s">
        <v>119</v>
      </c>
      <c r="L33" s="28">
        <v>6</v>
      </c>
      <c r="M33" s="28">
        <v>1</v>
      </c>
      <c r="N33" s="1" t="s">
        <v>119</v>
      </c>
      <c r="O33" s="28" t="s">
        <v>119</v>
      </c>
      <c r="P33" s="106" t="s">
        <v>119</v>
      </c>
      <c r="Q33" s="106">
        <v>2</v>
      </c>
      <c r="R33" s="106" t="s">
        <v>119</v>
      </c>
      <c r="S33" s="106" t="s">
        <v>119</v>
      </c>
      <c r="T33" s="106">
        <v>1</v>
      </c>
      <c r="U33" s="106" t="s">
        <v>119</v>
      </c>
      <c r="V33" t="s">
        <v>119</v>
      </c>
      <c r="W33" s="11" t="str">
        <f t="shared" si="0"/>
        <v>X</v>
      </c>
      <c r="X33" s="11" t="s">
        <v>134</v>
      </c>
    </row>
    <row r="34" spans="1:24" x14ac:dyDescent="0.3">
      <c r="A34" s="1" t="s">
        <v>207</v>
      </c>
      <c r="B34" s="2" t="s">
        <v>119</v>
      </c>
      <c r="C34" s="1" t="s">
        <v>119</v>
      </c>
      <c r="D34" s="1" t="s">
        <v>119</v>
      </c>
      <c r="E34" s="1" t="s">
        <v>119</v>
      </c>
      <c r="F34" s="37" t="s">
        <v>119</v>
      </c>
      <c r="G34" s="37" t="s">
        <v>119</v>
      </c>
      <c r="H34" s="28" t="s">
        <v>119</v>
      </c>
      <c r="I34" s="28" t="s">
        <v>119</v>
      </c>
      <c r="J34" s="28">
        <f>13+10+19+4+3+4</f>
        <v>53</v>
      </c>
      <c r="K34" s="28" t="s">
        <v>119</v>
      </c>
      <c r="L34" s="28" t="s">
        <v>119</v>
      </c>
      <c r="M34" s="28" t="s">
        <v>119</v>
      </c>
      <c r="N34" s="1" t="s">
        <v>119</v>
      </c>
      <c r="O34" s="28" t="s">
        <v>119</v>
      </c>
      <c r="P34" s="106">
        <v>1</v>
      </c>
      <c r="Q34" s="106">
        <v>1</v>
      </c>
      <c r="R34" s="106">
        <v>2</v>
      </c>
      <c r="S34" s="106">
        <v>5</v>
      </c>
      <c r="T34" s="106" t="s">
        <v>119</v>
      </c>
      <c r="U34" s="106" t="s">
        <v>119</v>
      </c>
      <c r="V34" t="s">
        <v>119</v>
      </c>
      <c r="W34" s="11" t="str">
        <f t="shared" si="0"/>
        <v>X</v>
      </c>
      <c r="X34" s="11" t="s">
        <v>119</v>
      </c>
    </row>
    <row r="35" spans="1:24" x14ac:dyDescent="0.3">
      <c r="A35" s="1" t="s">
        <v>10</v>
      </c>
      <c r="B35" s="2">
        <v>1</v>
      </c>
      <c r="C35" s="1">
        <v>2</v>
      </c>
      <c r="D35" s="1">
        <v>0</v>
      </c>
      <c r="E35" s="1">
        <v>0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 t="s">
        <v>119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106" t="s">
        <v>119</v>
      </c>
      <c r="Q35" s="106" t="s">
        <v>119</v>
      </c>
      <c r="R35" s="106" t="s">
        <v>119</v>
      </c>
      <c r="S35" s="106" t="s">
        <v>119</v>
      </c>
      <c r="T35" s="106" t="s">
        <v>119</v>
      </c>
      <c r="U35" s="106" t="s">
        <v>119</v>
      </c>
      <c r="V35" t="s">
        <v>119</v>
      </c>
      <c r="W35" s="11" t="s">
        <v>119</v>
      </c>
      <c r="X35" s="11" t="s">
        <v>119</v>
      </c>
    </row>
    <row r="36" spans="1:24" x14ac:dyDescent="0.3">
      <c r="A36" s="4" t="s">
        <v>708</v>
      </c>
      <c r="B36" s="2" t="s">
        <v>119</v>
      </c>
      <c r="C36" s="1" t="s">
        <v>119</v>
      </c>
      <c r="D36" s="1" t="s">
        <v>119</v>
      </c>
      <c r="E36" s="1" t="s">
        <v>119</v>
      </c>
      <c r="F36" s="37" t="s">
        <v>119</v>
      </c>
      <c r="G36" s="37" t="s">
        <v>119</v>
      </c>
      <c r="H36" s="28" t="s">
        <v>119</v>
      </c>
      <c r="I36" s="28">
        <v>1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106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t="s">
        <v>119</v>
      </c>
      <c r="W36" s="11" t="s">
        <v>134</v>
      </c>
      <c r="X36" s="11" t="s">
        <v>134</v>
      </c>
    </row>
    <row r="37" spans="1:24" x14ac:dyDescent="0.3">
      <c r="A37" s="1" t="s">
        <v>247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>
        <v>2</v>
      </c>
      <c r="H37" s="28" t="s">
        <v>119</v>
      </c>
      <c r="I37" s="28">
        <v>2</v>
      </c>
      <c r="J37" s="28">
        <v>1</v>
      </c>
      <c r="K37" s="27">
        <v>1</v>
      </c>
      <c r="L37" s="28" t="s">
        <v>119</v>
      </c>
      <c r="M37" s="28" t="s">
        <v>119</v>
      </c>
      <c r="N37" s="1" t="s">
        <v>119</v>
      </c>
      <c r="O37" s="28" t="s">
        <v>119</v>
      </c>
      <c r="P37" s="106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t="s">
        <v>119</v>
      </c>
      <c r="W37" s="11" t="s">
        <v>119</v>
      </c>
      <c r="X37" s="11" t="s">
        <v>119</v>
      </c>
    </row>
    <row r="38" spans="1:24" x14ac:dyDescent="0.3">
      <c r="A38" s="1" t="s">
        <v>11</v>
      </c>
      <c r="B38" s="2">
        <v>0</v>
      </c>
      <c r="C38" s="1">
        <v>0</v>
      </c>
      <c r="D38" s="1">
        <v>0</v>
      </c>
      <c r="E38" s="1">
        <v>9</v>
      </c>
      <c r="F38" s="37" t="s">
        <v>119</v>
      </c>
      <c r="G38" s="37" t="s">
        <v>119</v>
      </c>
      <c r="H38" s="28" t="s">
        <v>119</v>
      </c>
      <c r="I38" s="28" t="s">
        <v>119</v>
      </c>
      <c r="J38" s="28" t="s">
        <v>119</v>
      </c>
      <c r="K38" s="28" t="s">
        <v>119</v>
      </c>
      <c r="L38" s="28" t="s">
        <v>119</v>
      </c>
      <c r="M38" s="28" t="s">
        <v>119</v>
      </c>
      <c r="N38" s="1" t="s">
        <v>119</v>
      </c>
      <c r="O38" s="28" t="s">
        <v>119</v>
      </c>
      <c r="P38" s="106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t="s">
        <v>119</v>
      </c>
      <c r="W38" s="11" t="s">
        <v>119</v>
      </c>
      <c r="X38" s="11" t="s">
        <v>119</v>
      </c>
    </row>
    <row r="39" spans="1:24" x14ac:dyDescent="0.3">
      <c r="A39" s="4" t="s">
        <v>340</v>
      </c>
      <c r="B39" s="2" t="s">
        <v>119</v>
      </c>
      <c r="C39" s="1" t="s">
        <v>119</v>
      </c>
      <c r="D39" s="1" t="s">
        <v>119</v>
      </c>
      <c r="E39" s="1" t="s">
        <v>119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134</v>
      </c>
      <c r="N39" s="1" t="s">
        <v>119</v>
      </c>
      <c r="O39" s="28" t="s">
        <v>119</v>
      </c>
      <c r="P39" s="106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t="s">
        <v>119</v>
      </c>
      <c r="W39" s="11" t="s">
        <v>119</v>
      </c>
      <c r="X39" s="11" t="s">
        <v>119</v>
      </c>
    </row>
    <row r="40" spans="1:24" x14ac:dyDescent="0.3">
      <c r="A40" s="4" t="s">
        <v>757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>
        <v>1</v>
      </c>
      <c r="L40" s="28" t="s">
        <v>119</v>
      </c>
      <c r="M40" s="28" t="s">
        <v>119</v>
      </c>
      <c r="N40" s="1" t="s">
        <v>119</v>
      </c>
      <c r="O40" s="28" t="s">
        <v>119</v>
      </c>
      <c r="P40" s="106" t="s">
        <v>119</v>
      </c>
      <c r="Q40" s="106" t="s">
        <v>119</v>
      </c>
      <c r="R40" s="106" t="s">
        <v>119</v>
      </c>
      <c r="S40" s="106">
        <v>2</v>
      </c>
      <c r="T40" s="106" t="s">
        <v>119</v>
      </c>
      <c r="U40" s="106" t="s">
        <v>119</v>
      </c>
      <c r="V40" t="s">
        <v>119</v>
      </c>
      <c r="W40" s="11" t="str">
        <f t="shared" si="0"/>
        <v>X</v>
      </c>
      <c r="X40" s="11" t="s">
        <v>134</v>
      </c>
    </row>
    <row r="41" spans="1:24" x14ac:dyDescent="0.3">
      <c r="A41" s="1" t="s">
        <v>8</v>
      </c>
      <c r="B41" s="2">
        <v>94</v>
      </c>
      <c r="C41" s="1">
        <f>13+2</f>
        <v>15</v>
      </c>
      <c r="D41" s="1">
        <v>0</v>
      </c>
      <c r="E41" s="1">
        <v>3</v>
      </c>
      <c r="F41" s="37" t="s">
        <v>119</v>
      </c>
      <c r="G41" s="37" t="s">
        <v>119</v>
      </c>
      <c r="H41" s="28">
        <v>2</v>
      </c>
      <c r="I41" s="28">
        <v>3</v>
      </c>
      <c r="J41" s="27">
        <v>3</v>
      </c>
      <c r="K41" s="28">
        <v>158</v>
      </c>
      <c r="L41" s="28" t="s">
        <v>119</v>
      </c>
      <c r="M41" s="28">
        <v>2</v>
      </c>
      <c r="N41" s="1" t="s">
        <v>119</v>
      </c>
      <c r="O41" s="28" t="s">
        <v>119</v>
      </c>
      <c r="P41" s="106">
        <v>1</v>
      </c>
      <c r="Q41" s="106" t="s">
        <v>119</v>
      </c>
      <c r="R41" s="106">
        <v>1</v>
      </c>
      <c r="S41" s="106">
        <v>2</v>
      </c>
      <c r="T41" s="106" t="s">
        <v>119</v>
      </c>
      <c r="U41" s="106" t="s">
        <v>119</v>
      </c>
      <c r="V41" t="s">
        <v>119</v>
      </c>
      <c r="W41" s="11" t="str">
        <f t="shared" si="0"/>
        <v>X</v>
      </c>
      <c r="X41" s="11" t="s">
        <v>134</v>
      </c>
    </row>
    <row r="42" spans="1:24" x14ac:dyDescent="0.3">
      <c r="A42" s="1" t="s">
        <v>7</v>
      </c>
      <c r="B42" s="2">
        <v>94</v>
      </c>
      <c r="C42" s="1">
        <v>0</v>
      </c>
      <c r="D42" s="1">
        <v>0</v>
      </c>
      <c r="E42" s="1">
        <v>0</v>
      </c>
      <c r="F42" s="37" t="s">
        <v>119</v>
      </c>
      <c r="G42" s="37" t="s">
        <v>119</v>
      </c>
      <c r="H42" s="28" t="s">
        <v>119</v>
      </c>
      <c r="I42" s="28" t="s">
        <v>119</v>
      </c>
      <c r="J42" s="28" t="s">
        <v>119</v>
      </c>
      <c r="K42" s="28" t="s">
        <v>119</v>
      </c>
      <c r="L42" s="28" t="s">
        <v>119</v>
      </c>
      <c r="M42" s="28" t="s">
        <v>119</v>
      </c>
      <c r="N42" s="1" t="s">
        <v>119</v>
      </c>
      <c r="O42" s="28" t="s">
        <v>119</v>
      </c>
      <c r="P42" s="106" t="s">
        <v>119</v>
      </c>
      <c r="Q42" s="106" t="s">
        <v>119</v>
      </c>
      <c r="R42" s="106" t="s">
        <v>119</v>
      </c>
      <c r="S42" s="106" t="s">
        <v>119</v>
      </c>
      <c r="T42" s="106" t="s">
        <v>119</v>
      </c>
      <c r="U42" s="106" t="s">
        <v>119</v>
      </c>
      <c r="V42" t="s">
        <v>119</v>
      </c>
      <c r="W42" s="11" t="s">
        <v>119</v>
      </c>
      <c r="X42" s="11" t="s">
        <v>134</v>
      </c>
    </row>
    <row r="43" spans="1:24" x14ac:dyDescent="0.3">
      <c r="A43" s="4" t="s">
        <v>341</v>
      </c>
      <c r="B43" s="2" t="s">
        <v>119</v>
      </c>
      <c r="C43" s="1" t="s">
        <v>119</v>
      </c>
      <c r="D43" s="1" t="s">
        <v>119</v>
      </c>
      <c r="E43" s="1" t="s">
        <v>119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>
        <v>17</v>
      </c>
      <c r="N43" s="1" t="s">
        <v>119</v>
      </c>
      <c r="O43" s="28" t="s">
        <v>119</v>
      </c>
      <c r="P43" s="106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t="s">
        <v>119</v>
      </c>
      <c r="W43" s="11" t="s">
        <v>119</v>
      </c>
      <c r="X43" s="11" t="s">
        <v>119</v>
      </c>
    </row>
    <row r="44" spans="1:24" x14ac:dyDescent="0.3">
      <c r="A44" s="4" t="s">
        <v>766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 t="s">
        <v>119</v>
      </c>
      <c r="N44" s="1" t="s">
        <v>119</v>
      </c>
      <c r="O44" s="28" t="s">
        <v>119</v>
      </c>
      <c r="P44" s="106" t="s">
        <v>119</v>
      </c>
      <c r="Q44" s="106" t="s">
        <v>119</v>
      </c>
      <c r="R44" s="106">
        <v>4</v>
      </c>
      <c r="S44" s="106" t="s">
        <v>119</v>
      </c>
      <c r="T44" s="106" t="s">
        <v>119</v>
      </c>
      <c r="U44" s="106" t="s">
        <v>119</v>
      </c>
      <c r="V44" t="s">
        <v>119</v>
      </c>
      <c r="W44" s="11" t="str">
        <f t="shared" si="0"/>
        <v>X</v>
      </c>
      <c r="X44" s="11" t="s">
        <v>119</v>
      </c>
    </row>
    <row r="45" spans="1:24" x14ac:dyDescent="0.3">
      <c r="A45" s="4" t="s">
        <v>673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>
        <v>1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106" t="s">
        <v>119</v>
      </c>
      <c r="Q45" s="106" t="s">
        <v>119</v>
      </c>
      <c r="R45" s="106" t="s">
        <v>119</v>
      </c>
      <c r="S45" s="106" t="s">
        <v>119</v>
      </c>
      <c r="T45" s="106" t="s">
        <v>119</v>
      </c>
      <c r="U45" s="106" t="s">
        <v>119</v>
      </c>
      <c r="V45" t="s">
        <v>119</v>
      </c>
      <c r="W45" s="11" t="s">
        <v>134</v>
      </c>
      <c r="X45" s="11" t="s">
        <v>119</v>
      </c>
    </row>
    <row r="46" spans="1:24" x14ac:dyDescent="0.3">
      <c r="A46" s="75" t="s">
        <v>755</v>
      </c>
      <c r="B46" s="2" t="s">
        <v>119</v>
      </c>
      <c r="C46" s="1" t="s">
        <v>119</v>
      </c>
      <c r="D46" s="16" t="s">
        <v>119</v>
      </c>
      <c r="E46" s="1" t="s">
        <v>119</v>
      </c>
      <c r="F46" s="37" t="s">
        <v>119</v>
      </c>
      <c r="G46" s="37" t="s">
        <v>119</v>
      </c>
      <c r="H46" s="27" t="s">
        <v>119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106" t="s">
        <v>119</v>
      </c>
      <c r="Q46" s="106" t="s">
        <v>119</v>
      </c>
      <c r="R46" s="106">
        <v>1</v>
      </c>
      <c r="S46" s="106" t="s">
        <v>119</v>
      </c>
      <c r="T46" s="106" t="s">
        <v>119</v>
      </c>
      <c r="U46" s="106" t="s">
        <v>119</v>
      </c>
      <c r="V46" t="s">
        <v>119</v>
      </c>
      <c r="W46" s="11" t="str">
        <f t="shared" si="0"/>
        <v>X</v>
      </c>
      <c r="X46" s="11" t="s">
        <v>119</v>
      </c>
    </row>
    <row r="47" spans="1:24" x14ac:dyDescent="0.3">
      <c r="A47" s="75" t="s">
        <v>756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106" t="s">
        <v>119</v>
      </c>
      <c r="Q47" s="106">
        <v>1</v>
      </c>
      <c r="R47" s="106" t="s">
        <v>119</v>
      </c>
      <c r="S47" s="106" t="s">
        <v>119</v>
      </c>
      <c r="T47" s="106" t="s">
        <v>119</v>
      </c>
      <c r="U47" s="106" t="s">
        <v>119</v>
      </c>
      <c r="V47" t="s">
        <v>119</v>
      </c>
      <c r="W47" s="11" t="str">
        <f t="shared" si="0"/>
        <v>X</v>
      </c>
      <c r="X47" s="11" t="s">
        <v>134</v>
      </c>
    </row>
    <row r="48" spans="1:24" x14ac:dyDescent="0.3">
      <c r="A48" s="75" t="s">
        <v>998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106" t="s">
        <v>119</v>
      </c>
      <c r="Q48" s="106" t="s">
        <v>119</v>
      </c>
      <c r="R48" s="106" t="s">
        <v>119</v>
      </c>
      <c r="S48" s="106" t="s">
        <v>119</v>
      </c>
      <c r="T48" s="106" t="s">
        <v>119</v>
      </c>
      <c r="U48" s="106">
        <v>18</v>
      </c>
      <c r="V48" t="s">
        <v>119</v>
      </c>
      <c r="W48" s="11" t="str">
        <f t="shared" si="0"/>
        <v>X</v>
      </c>
      <c r="X48" s="11" t="s">
        <v>119</v>
      </c>
    </row>
    <row r="49" spans="1:24" x14ac:dyDescent="0.3">
      <c r="A49" s="75" t="s">
        <v>999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106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>
        <v>3</v>
      </c>
      <c r="V49" t="s">
        <v>119</v>
      </c>
      <c r="W49" s="11" t="str">
        <f t="shared" si="0"/>
        <v>X</v>
      </c>
      <c r="X49" s="11" t="s">
        <v>119</v>
      </c>
    </row>
    <row r="50" spans="1:24" s="51" customFormat="1" x14ac:dyDescent="0.3">
      <c r="A50" s="42" t="s">
        <v>249</v>
      </c>
      <c r="B50" s="60"/>
      <c r="C50" s="49"/>
      <c r="D50" s="49"/>
      <c r="E50" s="49"/>
      <c r="F50" s="92"/>
      <c r="G50" s="92"/>
      <c r="H50" s="50"/>
      <c r="I50" s="50"/>
      <c r="J50" s="50"/>
      <c r="K50" s="50"/>
      <c r="L50" s="50"/>
      <c r="M50" s="50"/>
      <c r="N50" s="49"/>
      <c r="O50" s="50"/>
      <c r="P50" s="105"/>
      <c r="Q50" s="105"/>
      <c r="R50" s="105"/>
      <c r="S50" s="105"/>
      <c r="T50" s="105"/>
      <c r="U50" s="105"/>
      <c r="V50" t="s">
        <v>119</v>
      </c>
      <c r="W50" s="11" t="str">
        <f t="shared" si="0"/>
        <v/>
      </c>
      <c r="X50" s="84"/>
    </row>
    <row r="51" spans="1:24" x14ac:dyDescent="0.3">
      <c r="A51" s="1" t="s">
        <v>4</v>
      </c>
      <c r="B51" s="2">
        <v>1</v>
      </c>
      <c r="C51" s="1">
        <v>0</v>
      </c>
      <c r="D51" s="1">
        <v>6</v>
      </c>
      <c r="E51" s="1">
        <v>2</v>
      </c>
      <c r="F51" s="37" t="s">
        <v>119</v>
      </c>
      <c r="G51" s="37">
        <v>1</v>
      </c>
      <c r="H51" s="27">
        <v>3</v>
      </c>
      <c r="I51" s="28">
        <v>3</v>
      </c>
      <c r="J51" s="28" t="s">
        <v>119</v>
      </c>
      <c r="K51" s="28">
        <f>1+8+3+1+1</f>
        <v>14</v>
      </c>
      <c r="L51" s="28" t="s">
        <v>119</v>
      </c>
      <c r="M51" s="28" t="s">
        <v>119</v>
      </c>
      <c r="N51" s="1" t="s">
        <v>119</v>
      </c>
      <c r="O51" s="28" t="s">
        <v>119</v>
      </c>
      <c r="P51" s="106" t="s">
        <v>119</v>
      </c>
      <c r="Q51" s="106" t="s">
        <v>119</v>
      </c>
      <c r="R51" s="106" t="s">
        <v>119</v>
      </c>
      <c r="S51" s="106" t="s">
        <v>119</v>
      </c>
      <c r="T51" s="106" t="s">
        <v>119</v>
      </c>
      <c r="U51" s="106" t="s">
        <v>119</v>
      </c>
      <c r="V51" t="s">
        <v>119</v>
      </c>
      <c r="W51" s="11" t="s">
        <v>134</v>
      </c>
      <c r="X51" s="11" t="s">
        <v>134</v>
      </c>
    </row>
    <row r="52" spans="1:24" x14ac:dyDescent="0.3">
      <c r="A52" s="4" t="s">
        <v>754</v>
      </c>
      <c r="B52" s="2" t="s">
        <v>119</v>
      </c>
      <c r="C52" s="1" t="s">
        <v>119</v>
      </c>
      <c r="D52" s="1" t="s">
        <v>119</v>
      </c>
      <c r="E52" s="1" t="s">
        <v>119</v>
      </c>
      <c r="F52" s="37" t="s">
        <v>119</v>
      </c>
      <c r="G52" s="37" t="s">
        <v>119</v>
      </c>
      <c r="H52" s="27" t="s">
        <v>119</v>
      </c>
      <c r="I52" s="28" t="s">
        <v>119</v>
      </c>
      <c r="J52" s="28" t="s">
        <v>119</v>
      </c>
      <c r="K52" s="28" t="s">
        <v>119</v>
      </c>
      <c r="L52" s="28" t="s">
        <v>119</v>
      </c>
      <c r="M52" s="28" t="s">
        <v>119</v>
      </c>
      <c r="N52" s="1" t="s">
        <v>119</v>
      </c>
      <c r="O52" s="28" t="s">
        <v>119</v>
      </c>
      <c r="P52" s="106" t="s">
        <v>119</v>
      </c>
      <c r="Q52" s="106" t="s">
        <v>119</v>
      </c>
      <c r="R52" s="106" t="s">
        <v>119</v>
      </c>
      <c r="S52" s="106">
        <v>1</v>
      </c>
      <c r="T52" s="106" t="s">
        <v>119</v>
      </c>
      <c r="U52" s="106" t="s">
        <v>119</v>
      </c>
      <c r="V52" t="s">
        <v>119</v>
      </c>
      <c r="W52" s="11" t="str">
        <f t="shared" si="0"/>
        <v>X</v>
      </c>
      <c r="X52" s="11" t="s">
        <v>134</v>
      </c>
    </row>
    <row r="53" spans="1:24" x14ac:dyDescent="0.3">
      <c r="A53" s="1" t="s">
        <v>5</v>
      </c>
      <c r="B53" s="2">
        <v>0</v>
      </c>
      <c r="C53" s="1">
        <v>2</v>
      </c>
      <c r="D53" s="1">
        <v>0</v>
      </c>
      <c r="E53" s="1">
        <v>0</v>
      </c>
      <c r="F53" s="37" t="s">
        <v>119</v>
      </c>
      <c r="G53" s="37" t="s">
        <v>119</v>
      </c>
      <c r="H53" s="28" t="s">
        <v>119</v>
      </c>
      <c r="I53" s="28" t="s">
        <v>119</v>
      </c>
      <c r="J53" s="27">
        <v>1</v>
      </c>
      <c r="K53" s="28" t="s">
        <v>119</v>
      </c>
      <c r="L53" s="28" t="s">
        <v>119</v>
      </c>
      <c r="M53" s="28" t="s">
        <v>134</v>
      </c>
      <c r="N53" s="1" t="s">
        <v>119</v>
      </c>
      <c r="O53" s="28" t="s">
        <v>119</v>
      </c>
      <c r="P53" s="106" t="s">
        <v>119</v>
      </c>
      <c r="Q53" s="106" t="s">
        <v>119</v>
      </c>
      <c r="R53" s="106" t="s">
        <v>119</v>
      </c>
      <c r="S53" s="106" t="s">
        <v>119</v>
      </c>
      <c r="T53" s="106" t="s">
        <v>119</v>
      </c>
      <c r="U53" s="106" t="s">
        <v>119</v>
      </c>
      <c r="V53" t="s">
        <v>119</v>
      </c>
      <c r="W53" s="11" t="s">
        <v>134</v>
      </c>
      <c r="X53" s="11" t="s">
        <v>134</v>
      </c>
    </row>
    <row r="54" spans="1:24" x14ac:dyDescent="0.3">
      <c r="A54" s="4" t="s">
        <v>981</v>
      </c>
      <c r="B54" s="2" t="s">
        <v>119</v>
      </c>
      <c r="C54" s="1" t="s">
        <v>119</v>
      </c>
      <c r="D54" s="1" t="s">
        <v>119</v>
      </c>
      <c r="E54" s="1" t="s">
        <v>119</v>
      </c>
      <c r="F54" s="37">
        <v>1</v>
      </c>
      <c r="G54" s="37" t="s">
        <v>119</v>
      </c>
      <c r="H54" s="28" t="s">
        <v>119</v>
      </c>
      <c r="I54" s="28" t="s">
        <v>119</v>
      </c>
      <c r="J54" s="27" t="s">
        <v>119</v>
      </c>
      <c r="K54" s="28" t="s">
        <v>119</v>
      </c>
      <c r="L54" s="28" t="s">
        <v>119</v>
      </c>
      <c r="M54" s="28" t="s">
        <v>119</v>
      </c>
      <c r="N54" s="1" t="s">
        <v>119</v>
      </c>
      <c r="O54" s="28" t="s">
        <v>119</v>
      </c>
      <c r="P54" s="106" t="s">
        <v>119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t="s">
        <v>119</v>
      </c>
      <c r="W54" s="11" t="s">
        <v>134</v>
      </c>
      <c r="X54" s="11" t="s">
        <v>119</v>
      </c>
    </row>
    <row r="55" spans="1:24" x14ac:dyDescent="0.3">
      <c r="A55" s="4" t="s">
        <v>342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11</v>
      </c>
      <c r="G55" s="37">
        <v>1</v>
      </c>
      <c r="H55" s="28" t="s">
        <v>119</v>
      </c>
      <c r="I55" s="28" t="s">
        <v>119</v>
      </c>
      <c r="J55" s="27">
        <v>1</v>
      </c>
      <c r="K55" s="28" t="s">
        <v>134</v>
      </c>
      <c r="L55" s="28" t="s">
        <v>119</v>
      </c>
      <c r="M55" s="28">
        <v>7</v>
      </c>
      <c r="N55" s="1" t="s">
        <v>119</v>
      </c>
      <c r="O55" s="28" t="s">
        <v>119</v>
      </c>
      <c r="P55" s="106" t="s">
        <v>119</v>
      </c>
      <c r="Q55" s="106" t="s">
        <v>119</v>
      </c>
      <c r="R55" s="106" t="s">
        <v>119</v>
      </c>
      <c r="S55" s="106">
        <v>1</v>
      </c>
      <c r="T55" s="106" t="s">
        <v>119</v>
      </c>
      <c r="U55" s="106" t="s">
        <v>119</v>
      </c>
      <c r="V55" t="s">
        <v>119</v>
      </c>
      <c r="W55" s="11" t="str">
        <f t="shared" si="0"/>
        <v>X</v>
      </c>
      <c r="X55" s="11" t="s">
        <v>134</v>
      </c>
    </row>
    <row r="56" spans="1:24" x14ac:dyDescent="0.3">
      <c r="A56" s="4" t="s">
        <v>343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</v>
      </c>
      <c r="G56" s="37" t="s">
        <v>119</v>
      </c>
      <c r="H56" s="28" t="s">
        <v>119</v>
      </c>
      <c r="I56" s="28" t="s">
        <v>119</v>
      </c>
      <c r="J56" s="27" t="s">
        <v>119</v>
      </c>
      <c r="K56" s="28" t="s">
        <v>119</v>
      </c>
      <c r="L56" s="28" t="s">
        <v>119</v>
      </c>
      <c r="M56" s="28" t="s">
        <v>134</v>
      </c>
      <c r="N56" s="1" t="s">
        <v>119</v>
      </c>
      <c r="O56" s="28" t="s">
        <v>119</v>
      </c>
      <c r="P56" s="106">
        <v>22</v>
      </c>
      <c r="Q56" s="106">
        <v>9</v>
      </c>
      <c r="R56" s="106">
        <v>8</v>
      </c>
      <c r="S56" s="106">
        <v>10</v>
      </c>
      <c r="T56" s="106">
        <v>1</v>
      </c>
      <c r="U56" s="106" t="s">
        <v>119</v>
      </c>
      <c r="V56" t="s">
        <v>119</v>
      </c>
      <c r="W56" s="11" t="str">
        <f t="shared" si="0"/>
        <v>X</v>
      </c>
      <c r="X56" s="11" t="s">
        <v>134</v>
      </c>
    </row>
    <row r="57" spans="1:24" x14ac:dyDescent="0.3">
      <c r="A57" s="1" t="s">
        <v>209</v>
      </c>
      <c r="B57" s="2" t="s">
        <v>119</v>
      </c>
      <c r="C57" s="1" t="s">
        <v>119</v>
      </c>
      <c r="D57" s="1" t="s">
        <v>119</v>
      </c>
      <c r="E57" s="1" t="s">
        <v>119</v>
      </c>
      <c r="F57" s="37" t="s">
        <v>119</v>
      </c>
      <c r="G57" s="37" t="s">
        <v>119</v>
      </c>
      <c r="H57" s="28" t="s">
        <v>119</v>
      </c>
      <c r="I57" s="28" t="s">
        <v>119</v>
      </c>
      <c r="J57" s="27">
        <f>5+1+23+1+1+3+6+7+23+1+2+1+142+3+13+2</f>
        <v>234</v>
      </c>
      <c r="K57" s="28" t="s">
        <v>119</v>
      </c>
      <c r="L57" s="28" t="s">
        <v>119</v>
      </c>
      <c r="M57" s="28" t="s">
        <v>119</v>
      </c>
      <c r="N57" s="1" t="s">
        <v>119</v>
      </c>
      <c r="O57" s="28" t="s">
        <v>119</v>
      </c>
      <c r="P57" s="106" t="s">
        <v>119</v>
      </c>
      <c r="Q57" s="106" t="s">
        <v>119</v>
      </c>
      <c r="R57" s="106" t="s">
        <v>119</v>
      </c>
      <c r="S57" s="106" t="s">
        <v>119</v>
      </c>
      <c r="T57" s="106" t="s">
        <v>119</v>
      </c>
      <c r="U57" s="106" t="s">
        <v>119</v>
      </c>
      <c r="V57" t="s">
        <v>119</v>
      </c>
      <c r="W57" s="11" t="s">
        <v>119</v>
      </c>
      <c r="X57" s="11" t="s">
        <v>119</v>
      </c>
    </row>
    <row r="58" spans="1:24" x14ac:dyDescent="0.3">
      <c r="A58" s="1" t="s">
        <v>6</v>
      </c>
      <c r="B58" s="2">
        <f>7+3+86+2+1+3</f>
        <v>102</v>
      </c>
      <c r="C58" s="1">
        <v>105</v>
      </c>
      <c r="D58" s="1">
        <v>0</v>
      </c>
      <c r="E58" s="1">
        <v>1</v>
      </c>
      <c r="F58" s="37">
        <v>1</v>
      </c>
      <c r="G58" s="37" t="s">
        <v>119</v>
      </c>
      <c r="H58" s="28" t="s">
        <v>119</v>
      </c>
      <c r="I58" s="28" t="s">
        <v>119</v>
      </c>
      <c r="J58" s="27">
        <f>1+72+5+4+52</f>
        <v>134</v>
      </c>
      <c r="K58" s="27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106" t="s">
        <v>119</v>
      </c>
      <c r="Q58" s="106">
        <v>2</v>
      </c>
      <c r="R58" s="106">
        <v>4</v>
      </c>
      <c r="S58" s="106">
        <v>3</v>
      </c>
      <c r="T58" s="106" t="s">
        <v>119</v>
      </c>
      <c r="U58" s="106" t="s">
        <v>119</v>
      </c>
      <c r="V58" t="s">
        <v>119</v>
      </c>
      <c r="W58" s="11" t="str">
        <f t="shared" si="0"/>
        <v>X</v>
      </c>
      <c r="X58" s="11" t="s">
        <v>119</v>
      </c>
    </row>
    <row r="59" spans="1:24" s="5" customFormat="1" x14ac:dyDescent="0.3">
      <c r="A59" s="10" t="s">
        <v>752</v>
      </c>
      <c r="B59" s="6" t="s">
        <v>119</v>
      </c>
      <c r="C59" s="10" t="s">
        <v>119</v>
      </c>
      <c r="D59" s="10" t="s">
        <v>119</v>
      </c>
      <c r="E59" s="10" t="s">
        <v>119</v>
      </c>
      <c r="F59" s="37" t="s">
        <v>119</v>
      </c>
      <c r="G59" s="29" t="s">
        <v>119</v>
      </c>
      <c r="H59" s="29" t="s">
        <v>119</v>
      </c>
      <c r="I59" s="29" t="s">
        <v>119</v>
      </c>
      <c r="J59" s="30" t="s">
        <v>119</v>
      </c>
      <c r="K59" s="30" t="s">
        <v>119</v>
      </c>
      <c r="L59" s="29" t="s">
        <v>119</v>
      </c>
      <c r="M59" s="29" t="s">
        <v>119</v>
      </c>
      <c r="N59" s="10" t="s">
        <v>119</v>
      </c>
      <c r="O59" s="28" t="s">
        <v>119</v>
      </c>
      <c r="P59" s="107">
        <v>1</v>
      </c>
      <c r="Q59" s="107" t="s">
        <v>119</v>
      </c>
      <c r="R59" s="107">
        <v>5</v>
      </c>
      <c r="S59" s="107">
        <v>12</v>
      </c>
      <c r="T59" s="106" t="s">
        <v>119</v>
      </c>
      <c r="U59" s="106" t="s">
        <v>119</v>
      </c>
      <c r="V59" t="s">
        <v>119</v>
      </c>
      <c r="W59" s="11" t="str">
        <f t="shared" si="0"/>
        <v>X</v>
      </c>
      <c r="X59" s="11" t="s">
        <v>119</v>
      </c>
    </row>
    <row r="60" spans="1:24" s="5" customFormat="1" x14ac:dyDescent="0.3">
      <c r="A60" s="10" t="s">
        <v>753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107" t="s">
        <v>119</v>
      </c>
      <c r="Q60" s="107" t="s">
        <v>119</v>
      </c>
      <c r="R60" s="107" t="s">
        <v>119</v>
      </c>
      <c r="S60" s="107">
        <v>2</v>
      </c>
      <c r="T60" s="106" t="s">
        <v>119</v>
      </c>
      <c r="U60" s="106" t="s">
        <v>119</v>
      </c>
      <c r="V60" t="s">
        <v>119</v>
      </c>
      <c r="W60" s="11" t="str">
        <f t="shared" si="0"/>
        <v>X</v>
      </c>
      <c r="X60" s="11" t="s">
        <v>119</v>
      </c>
    </row>
    <row r="61" spans="1:24" x14ac:dyDescent="0.3">
      <c r="A61" s="1" t="s">
        <v>118</v>
      </c>
      <c r="B61" s="17" t="s">
        <v>119</v>
      </c>
      <c r="C61" s="4" t="s">
        <v>119</v>
      </c>
      <c r="D61" s="4" t="s">
        <v>119</v>
      </c>
      <c r="E61" s="1" t="s">
        <v>119</v>
      </c>
      <c r="F61" s="37" t="s">
        <v>119</v>
      </c>
      <c r="G61" s="37">
        <f>1+22+52</f>
        <v>75</v>
      </c>
      <c r="H61" s="28">
        <v>75</v>
      </c>
      <c r="I61" s="28">
        <f>14+1+2+13+6+7+1+145+1+2+10+7+41+6+25+7+2+22</f>
        <v>312</v>
      </c>
      <c r="J61" s="28" t="s">
        <v>119</v>
      </c>
      <c r="K61" s="27">
        <f>2+12+1+45</f>
        <v>60</v>
      </c>
      <c r="L61" s="28">
        <f>1+1+2+14+6+1+6</f>
        <v>31</v>
      </c>
      <c r="M61" s="28" t="s">
        <v>119</v>
      </c>
      <c r="N61" s="1">
        <v>1</v>
      </c>
      <c r="O61" s="28">
        <v>1</v>
      </c>
      <c r="P61" s="106" t="s">
        <v>119</v>
      </c>
      <c r="Q61" s="106" t="s">
        <v>119</v>
      </c>
      <c r="R61" s="106" t="s">
        <v>119</v>
      </c>
      <c r="S61" s="106" t="s">
        <v>119</v>
      </c>
      <c r="T61" s="106" t="s">
        <v>119</v>
      </c>
      <c r="U61" s="106" t="s">
        <v>119</v>
      </c>
      <c r="V61" t="s">
        <v>119</v>
      </c>
      <c r="W61" s="11" t="s">
        <v>134</v>
      </c>
      <c r="X61" s="11" t="s">
        <v>134</v>
      </c>
    </row>
    <row r="62" spans="1:24" s="51" customFormat="1" x14ac:dyDescent="0.3">
      <c r="A62" s="36" t="s">
        <v>253</v>
      </c>
      <c r="B62" s="48"/>
      <c r="C62" s="49"/>
      <c r="D62" s="49"/>
      <c r="E62" s="49"/>
      <c r="F62" s="92"/>
      <c r="G62" s="92"/>
      <c r="H62" s="50"/>
      <c r="I62" s="50"/>
      <c r="J62" s="50"/>
      <c r="K62" s="50"/>
      <c r="L62" s="50"/>
      <c r="M62" s="50"/>
      <c r="N62" s="49"/>
      <c r="O62" s="50"/>
      <c r="P62" s="105"/>
      <c r="Q62" s="105"/>
      <c r="R62" s="105"/>
      <c r="S62" s="105"/>
      <c r="T62" s="105"/>
      <c r="U62" s="105"/>
      <c r="V62" t="s">
        <v>119</v>
      </c>
      <c r="W62" s="11" t="str">
        <f t="shared" si="0"/>
        <v/>
      </c>
      <c r="X62" s="84"/>
    </row>
    <row r="63" spans="1:24" s="97" customFormat="1" x14ac:dyDescent="0.3">
      <c r="A63" s="7" t="s">
        <v>982</v>
      </c>
      <c r="B63" s="55" t="s">
        <v>119</v>
      </c>
      <c r="C63" s="7" t="s">
        <v>119</v>
      </c>
      <c r="D63" s="7" t="s">
        <v>119</v>
      </c>
      <c r="E63" s="7" t="s">
        <v>119</v>
      </c>
      <c r="F63" s="30">
        <v>1</v>
      </c>
      <c r="G63" s="30" t="s">
        <v>119</v>
      </c>
      <c r="H63" s="30" t="s">
        <v>119</v>
      </c>
      <c r="I63" s="30" t="s">
        <v>119</v>
      </c>
      <c r="J63" s="30" t="s">
        <v>119</v>
      </c>
      <c r="K63" s="30" t="s">
        <v>119</v>
      </c>
      <c r="L63" s="30" t="s">
        <v>119</v>
      </c>
      <c r="M63" s="30" t="s">
        <v>119</v>
      </c>
      <c r="N63" s="7" t="s">
        <v>119</v>
      </c>
      <c r="O63" s="30" t="s">
        <v>119</v>
      </c>
      <c r="P63" s="107" t="s">
        <v>119</v>
      </c>
      <c r="Q63" s="107" t="s">
        <v>119</v>
      </c>
      <c r="R63" s="107" t="s">
        <v>119</v>
      </c>
      <c r="S63" s="107" t="s">
        <v>119</v>
      </c>
      <c r="T63" s="106" t="s">
        <v>119</v>
      </c>
      <c r="U63" s="106" t="s">
        <v>119</v>
      </c>
      <c r="V63" t="s">
        <v>119</v>
      </c>
      <c r="W63" s="11" t="s">
        <v>119</v>
      </c>
      <c r="X63" s="88" t="s">
        <v>119</v>
      </c>
    </row>
    <row r="64" spans="1:24" x14ac:dyDescent="0.3">
      <c r="A64" s="10" t="s">
        <v>252</v>
      </c>
      <c r="B64" s="6">
        <v>0</v>
      </c>
      <c r="C64" s="10">
        <v>1</v>
      </c>
      <c r="D64" s="10">
        <v>1</v>
      </c>
      <c r="E64" s="10">
        <v>1</v>
      </c>
      <c r="F64" s="37" t="s">
        <v>119</v>
      </c>
      <c r="G64" s="37" t="s">
        <v>119</v>
      </c>
      <c r="H64" s="29" t="s">
        <v>119</v>
      </c>
      <c r="I64" s="29" t="s">
        <v>119</v>
      </c>
      <c r="J64" s="29" t="s">
        <v>119</v>
      </c>
      <c r="K64" s="30" t="s">
        <v>119</v>
      </c>
      <c r="L64" s="28" t="s">
        <v>119</v>
      </c>
      <c r="M64" s="28" t="s">
        <v>119</v>
      </c>
      <c r="N64" s="1" t="s">
        <v>119</v>
      </c>
      <c r="O64" s="28" t="s">
        <v>119</v>
      </c>
      <c r="P64" s="106" t="s">
        <v>119</v>
      </c>
      <c r="Q64" s="106">
        <v>31</v>
      </c>
      <c r="R64" s="106" t="s">
        <v>119</v>
      </c>
      <c r="S64" s="106" t="s">
        <v>119</v>
      </c>
      <c r="T64" s="106" t="s">
        <v>119</v>
      </c>
      <c r="U64" s="106" t="s">
        <v>119</v>
      </c>
      <c r="V64" t="s">
        <v>119</v>
      </c>
      <c r="W64" s="11" t="str">
        <f t="shared" si="0"/>
        <v>X</v>
      </c>
      <c r="X64" s="11" t="s">
        <v>119</v>
      </c>
    </row>
    <row r="65" spans="1:24" x14ac:dyDescent="0.3">
      <c r="A65" s="1" t="s">
        <v>250</v>
      </c>
      <c r="B65" s="2">
        <v>2</v>
      </c>
      <c r="C65" s="1">
        <v>0</v>
      </c>
      <c r="D65" s="1">
        <v>0</v>
      </c>
      <c r="E65" s="1">
        <v>0</v>
      </c>
      <c r="F65" s="37" t="s">
        <v>119</v>
      </c>
      <c r="G65" s="37" t="s">
        <v>119</v>
      </c>
      <c r="H65" s="27">
        <v>114</v>
      </c>
      <c r="I65" s="27">
        <v>7</v>
      </c>
      <c r="J65" s="28" t="s">
        <v>119</v>
      </c>
      <c r="K65" s="29">
        <v>1</v>
      </c>
      <c r="L65" s="28">
        <v>9</v>
      </c>
      <c r="M65" s="28" t="s">
        <v>119</v>
      </c>
      <c r="N65" s="1" t="s">
        <v>119</v>
      </c>
      <c r="O65" s="28" t="s">
        <v>119</v>
      </c>
      <c r="P65" s="106" t="s">
        <v>119</v>
      </c>
      <c r="Q65" s="106" t="s">
        <v>119</v>
      </c>
      <c r="R65" s="106" t="s">
        <v>119</v>
      </c>
      <c r="S65" s="106" t="s">
        <v>119</v>
      </c>
      <c r="T65" s="106" t="s">
        <v>119</v>
      </c>
      <c r="U65" s="106" t="s">
        <v>119</v>
      </c>
      <c r="V65" t="s">
        <v>119</v>
      </c>
      <c r="W65" s="11" t="s">
        <v>134</v>
      </c>
      <c r="X65" s="11" t="s">
        <v>119</v>
      </c>
    </row>
    <row r="66" spans="1:24" x14ac:dyDescent="0.3">
      <c r="A66" s="4" t="s">
        <v>749</v>
      </c>
      <c r="B66" s="2" t="s">
        <v>119</v>
      </c>
      <c r="C66" s="1" t="s">
        <v>119</v>
      </c>
      <c r="D66" s="1" t="s">
        <v>119</v>
      </c>
      <c r="E66" s="1" t="s">
        <v>119</v>
      </c>
      <c r="F66" s="37" t="s">
        <v>119</v>
      </c>
      <c r="G66" s="37" t="s">
        <v>119</v>
      </c>
      <c r="H66" s="27" t="s">
        <v>119</v>
      </c>
      <c r="I66" s="27" t="s">
        <v>119</v>
      </c>
      <c r="J66" s="28" t="s">
        <v>119</v>
      </c>
      <c r="K66" s="29" t="s">
        <v>119</v>
      </c>
      <c r="L66" s="28" t="s">
        <v>119</v>
      </c>
      <c r="M66" s="28" t="s">
        <v>119</v>
      </c>
      <c r="N66" s="1" t="s">
        <v>119</v>
      </c>
      <c r="O66" s="28" t="s">
        <v>119</v>
      </c>
      <c r="P66" s="106" t="s">
        <v>119</v>
      </c>
      <c r="Q66" s="106" t="s">
        <v>119</v>
      </c>
      <c r="R66" s="106">
        <v>1</v>
      </c>
      <c r="S66" s="106">
        <v>1</v>
      </c>
      <c r="T66" s="106" t="s">
        <v>119</v>
      </c>
      <c r="U66" s="106" t="s">
        <v>119</v>
      </c>
      <c r="V66" t="s">
        <v>119</v>
      </c>
      <c r="W66" s="11" t="str">
        <f t="shared" si="0"/>
        <v>X</v>
      </c>
      <c r="X66" s="11" t="s">
        <v>119</v>
      </c>
    </row>
    <row r="67" spans="1:24" x14ac:dyDescent="0.3">
      <c r="A67" s="4" t="s">
        <v>344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134</v>
      </c>
      <c r="N67" s="1" t="s">
        <v>119</v>
      </c>
      <c r="O67" s="28" t="s">
        <v>119</v>
      </c>
      <c r="P67" s="106" t="s">
        <v>119</v>
      </c>
      <c r="Q67" s="106" t="s">
        <v>119</v>
      </c>
      <c r="R67" s="106" t="s">
        <v>119</v>
      </c>
      <c r="S67" s="106" t="s">
        <v>119</v>
      </c>
      <c r="T67" s="106" t="s">
        <v>119</v>
      </c>
      <c r="U67" s="106" t="s">
        <v>119</v>
      </c>
      <c r="V67" t="s">
        <v>119</v>
      </c>
      <c r="W67" s="11" t="s">
        <v>134</v>
      </c>
      <c r="X67" s="11" t="s">
        <v>119</v>
      </c>
    </row>
    <row r="68" spans="1:24" x14ac:dyDescent="0.3">
      <c r="A68" s="4" t="s">
        <v>750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119</v>
      </c>
      <c r="N68" s="1" t="s">
        <v>119</v>
      </c>
      <c r="O68" s="28" t="s">
        <v>119</v>
      </c>
      <c r="P68" s="106" t="s">
        <v>119</v>
      </c>
      <c r="Q68" s="106">
        <v>1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t="s">
        <v>119</v>
      </c>
      <c r="W68" s="11" t="str">
        <f t="shared" ref="W68:W71" si="1">IF(SUM(P68:U68)&gt;=1,"X","")</f>
        <v>X</v>
      </c>
      <c r="X68" s="11" t="s">
        <v>119</v>
      </c>
    </row>
    <row r="69" spans="1:24" s="5" customFormat="1" x14ac:dyDescent="0.3">
      <c r="A69" s="7" t="s">
        <v>751</v>
      </c>
      <c r="B69" s="6" t="s">
        <v>119</v>
      </c>
      <c r="C69" s="10" t="s">
        <v>119</v>
      </c>
      <c r="D69" s="10" t="s">
        <v>119</v>
      </c>
      <c r="E69" s="10" t="s">
        <v>119</v>
      </c>
      <c r="F69" s="37" t="s">
        <v>119</v>
      </c>
      <c r="G69" s="29" t="s">
        <v>119</v>
      </c>
      <c r="H69" s="30" t="s">
        <v>119</v>
      </c>
      <c r="I69" s="30" t="s">
        <v>119</v>
      </c>
      <c r="J69" s="29" t="s">
        <v>119</v>
      </c>
      <c r="K69" s="29" t="s">
        <v>119</v>
      </c>
      <c r="L69" s="29" t="s">
        <v>119</v>
      </c>
      <c r="M69" s="29" t="s">
        <v>119</v>
      </c>
      <c r="N69" s="10" t="s">
        <v>119</v>
      </c>
      <c r="O69" s="29" t="s">
        <v>119</v>
      </c>
      <c r="P69" s="107" t="s">
        <v>119</v>
      </c>
      <c r="Q69" s="107">
        <v>7</v>
      </c>
      <c r="R69" s="107" t="s">
        <v>119</v>
      </c>
      <c r="S69" s="107" t="s">
        <v>119</v>
      </c>
      <c r="T69" s="106" t="s">
        <v>119</v>
      </c>
      <c r="U69" s="106" t="s">
        <v>119</v>
      </c>
      <c r="V69" t="s">
        <v>119</v>
      </c>
      <c r="W69" s="11" t="str">
        <f t="shared" si="1"/>
        <v>X</v>
      </c>
      <c r="X69" s="11" t="s">
        <v>119</v>
      </c>
    </row>
    <row r="70" spans="1:24" x14ac:dyDescent="0.3">
      <c r="A70" s="1" t="s">
        <v>251</v>
      </c>
      <c r="B70" s="2">
        <v>2</v>
      </c>
      <c r="C70" s="1" t="s">
        <v>119</v>
      </c>
      <c r="D70" s="1" t="s">
        <v>119</v>
      </c>
      <c r="E70" s="1" t="s">
        <v>119</v>
      </c>
      <c r="F70" s="37" t="s">
        <v>119</v>
      </c>
      <c r="G70" s="37">
        <v>6</v>
      </c>
      <c r="H70" s="27">
        <v>33</v>
      </c>
      <c r="I70" s="28">
        <f>18+15+1+3</f>
        <v>37</v>
      </c>
      <c r="J70" s="28">
        <v>1</v>
      </c>
      <c r="K70" s="34">
        <v>2</v>
      </c>
      <c r="L70" s="28" t="s">
        <v>119</v>
      </c>
      <c r="M70" s="28" t="s">
        <v>134</v>
      </c>
      <c r="N70" s="1" t="s">
        <v>119</v>
      </c>
      <c r="O70" s="28">
        <v>5</v>
      </c>
      <c r="P70" s="106" t="s">
        <v>119</v>
      </c>
      <c r="Q70" s="106" t="s">
        <v>119</v>
      </c>
      <c r="R70" s="106" t="s">
        <v>119</v>
      </c>
      <c r="S70" s="106" t="s">
        <v>119</v>
      </c>
      <c r="T70" s="106" t="s">
        <v>119</v>
      </c>
      <c r="U70" s="106" t="s">
        <v>119</v>
      </c>
      <c r="V70" t="s">
        <v>119</v>
      </c>
      <c r="W70" s="11" t="s">
        <v>134</v>
      </c>
      <c r="X70" s="11" t="s">
        <v>119</v>
      </c>
    </row>
    <row r="71" spans="1:24" s="51" customFormat="1" x14ac:dyDescent="0.3">
      <c r="A71" s="41" t="s">
        <v>254</v>
      </c>
      <c r="B71" s="52"/>
      <c r="C71" s="53"/>
      <c r="D71" s="53"/>
      <c r="E71" s="53"/>
      <c r="F71" s="92"/>
      <c r="G71" s="92"/>
      <c r="H71" s="54"/>
      <c r="I71" s="54"/>
      <c r="J71" s="54"/>
      <c r="K71" s="54"/>
      <c r="L71" s="50"/>
      <c r="M71" s="50"/>
      <c r="N71" s="49"/>
      <c r="O71" s="50"/>
      <c r="P71" s="105"/>
      <c r="Q71" s="105"/>
      <c r="R71" s="105"/>
      <c r="S71" s="105"/>
      <c r="T71" s="105"/>
      <c r="U71" s="105"/>
      <c r="V71" t="s">
        <v>119</v>
      </c>
      <c r="W71" s="11" t="str">
        <f t="shared" si="1"/>
        <v/>
      </c>
      <c r="X71" s="84"/>
    </row>
    <row r="72" spans="1:24" x14ac:dyDescent="0.3">
      <c r="A72" s="7" t="s">
        <v>260</v>
      </c>
      <c r="B72" s="55" t="s">
        <v>119</v>
      </c>
      <c r="C72" s="7" t="s">
        <v>119</v>
      </c>
      <c r="D72" s="7" t="s">
        <v>119</v>
      </c>
      <c r="E72" s="7" t="s">
        <v>119</v>
      </c>
      <c r="F72" s="37" t="s">
        <v>119</v>
      </c>
      <c r="G72" s="37" t="s">
        <v>119</v>
      </c>
      <c r="H72" s="30" t="s">
        <v>119</v>
      </c>
      <c r="I72" s="30" t="s">
        <v>119</v>
      </c>
      <c r="J72" s="30">
        <v>7</v>
      </c>
      <c r="K72" s="34" t="s">
        <v>119</v>
      </c>
      <c r="L72" s="28" t="s">
        <v>119</v>
      </c>
      <c r="M72" s="28" t="s">
        <v>119</v>
      </c>
      <c r="N72" s="1" t="s">
        <v>119</v>
      </c>
      <c r="O72" s="28">
        <v>1</v>
      </c>
      <c r="P72" s="106" t="s">
        <v>119</v>
      </c>
      <c r="Q72" s="106" t="s">
        <v>119</v>
      </c>
      <c r="R72" s="106" t="s">
        <v>119</v>
      </c>
      <c r="S72" s="106" t="s">
        <v>119</v>
      </c>
      <c r="T72" s="106" t="s">
        <v>119</v>
      </c>
      <c r="U72" s="106" t="s">
        <v>119</v>
      </c>
      <c r="V72" t="s">
        <v>119</v>
      </c>
      <c r="W72" s="11" t="s">
        <v>119</v>
      </c>
      <c r="X72" s="11" t="s">
        <v>119</v>
      </c>
    </row>
    <row r="73" spans="1:24" x14ac:dyDescent="0.3">
      <c r="A73" s="7" t="s">
        <v>345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 t="s">
        <v>119</v>
      </c>
      <c r="K73" s="34" t="s">
        <v>119</v>
      </c>
      <c r="L73" s="28" t="s">
        <v>119</v>
      </c>
      <c r="M73" s="28">
        <v>1</v>
      </c>
      <c r="N73" s="1" t="s">
        <v>119</v>
      </c>
      <c r="O73" s="28" t="s">
        <v>119</v>
      </c>
      <c r="P73" s="106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t="s">
        <v>119</v>
      </c>
      <c r="W73" s="11" t="s">
        <v>119</v>
      </c>
      <c r="X73" s="11" t="s">
        <v>119</v>
      </c>
    </row>
    <row r="74" spans="1:24" s="74" customFormat="1" x14ac:dyDescent="0.3">
      <c r="A74" s="20" t="s">
        <v>1157</v>
      </c>
      <c r="B74" s="56" t="s">
        <v>119</v>
      </c>
      <c r="C74" s="20" t="s">
        <v>119</v>
      </c>
      <c r="D74" s="20" t="s">
        <v>119</v>
      </c>
      <c r="E74" s="20" t="s">
        <v>119</v>
      </c>
      <c r="F74" s="37" t="s">
        <v>119</v>
      </c>
      <c r="G74" s="32">
        <v>4</v>
      </c>
      <c r="H74" s="45" t="s">
        <v>119</v>
      </c>
      <c r="I74" s="45" t="s">
        <v>119</v>
      </c>
      <c r="J74" s="45" t="s">
        <v>119</v>
      </c>
      <c r="K74" s="45" t="s">
        <v>119</v>
      </c>
      <c r="L74" s="32" t="s">
        <v>119</v>
      </c>
      <c r="M74" s="32" t="s">
        <v>119</v>
      </c>
      <c r="N74" s="25" t="s">
        <v>119</v>
      </c>
      <c r="O74" s="28" t="s">
        <v>119</v>
      </c>
      <c r="P74" s="106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t="s">
        <v>134</v>
      </c>
      <c r="W74" s="11" t="s">
        <v>119</v>
      </c>
      <c r="X74" s="11" t="s">
        <v>119</v>
      </c>
    </row>
    <row r="75" spans="1:24" s="74" customFormat="1" x14ac:dyDescent="0.3">
      <c r="A75" s="20" t="s">
        <v>1158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7" t="s">
        <v>119</v>
      </c>
      <c r="H75" s="37" t="s">
        <v>119</v>
      </c>
      <c r="I75" s="37" t="s">
        <v>119</v>
      </c>
      <c r="J75" s="45" t="s">
        <v>134</v>
      </c>
      <c r="K75" s="45" t="s">
        <v>119</v>
      </c>
      <c r="L75" s="45" t="s">
        <v>119</v>
      </c>
      <c r="M75" s="45" t="s">
        <v>119</v>
      </c>
      <c r="N75" s="45" t="s">
        <v>119</v>
      </c>
      <c r="O75" s="45" t="s">
        <v>119</v>
      </c>
      <c r="P75" s="106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t="s">
        <v>134</v>
      </c>
      <c r="W75" s="11" t="s">
        <v>119</v>
      </c>
      <c r="X75" s="11" t="s">
        <v>119</v>
      </c>
    </row>
    <row r="76" spans="1:24" s="11" customFormat="1" x14ac:dyDescent="0.3">
      <c r="A76" s="14" t="s">
        <v>346</v>
      </c>
      <c r="B76" s="47" t="s">
        <v>119</v>
      </c>
      <c r="C76" s="12" t="s">
        <v>119</v>
      </c>
      <c r="D76" s="12" t="s">
        <v>119</v>
      </c>
      <c r="E76" s="12" t="s">
        <v>119</v>
      </c>
      <c r="F76" s="37" t="s">
        <v>119</v>
      </c>
      <c r="G76" s="37" t="s">
        <v>119</v>
      </c>
      <c r="H76" s="34" t="s">
        <v>119</v>
      </c>
      <c r="I76" s="34" t="s">
        <v>119</v>
      </c>
      <c r="J76" s="34" t="s">
        <v>119</v>
      </c>
      <c r="K76" s="34" t="s">
        <v>119</v>
      </c>
      <c r="L76" s="31" t="s">
        <v>119</v>
      </c>
      <c r="M76" s="31" t="s">
        <v>134</v>
      </c>
      <c r="N76" s="14" t="s">
        <v>119</v>
      </c>
      <c r="O76" s="28" t="s">
        <v>119</v>
      </c>
      <c r="P76" s="106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t="s">
        <v>119</v>
      </c>
      <c r="W76" s="11" t="s">
        <v>134</v>
      </c>
      <c r="X76" s="11" t="s">
        <v>134</v>
      </c>
    </row>
    <row r="77" spans="1:24" s="11" customFormat="1" x14ac:dyDescent="0.3">
      <c r="A77" s="14" t="s">
        <v>1159</v>
      </c>
      <c r="B77" s="47" t="s">
        <v>119</v>
      </c>
      <c r="C77" s="47" t="s">
        <v>119</v>
      </c>
      <c r="D77" s="47" t="s">
        <v>119</v>
      </c>
      <c r="E77" s="47" t="s">
        <v>119</v>
      </c>
      <c r="F77" s="47" t="s">
        <v>119</v>
      </c>
      <c r="G77" s="47" t="s">
        <v>119</v>
      </c>
      <c r="H77" s="47" t="s">
        <v>119</v>
      </c>
      <c r="I77" s="47" t="s">
        <v>119</v>
      </c>
      <c r="J77" s="34" t="s">
        <v>134</v>
      </c>
      <c r="K77" s="34" t="s">
        <v>119</v>
      </c>
      <c r="L77" s="34" t="s">
        <v>119</v>
      </c>
      <c r="M77" s="34" t="s">
        <v>119</v>
      </c>
      <c r="N77" s="34" t="s">
        <v>119</v>
      </c>
      <c r="O77" s="34" t="s">
        <v>119</v>
      </c>
      <c r="P77" s="106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t="s">
        <v>134</v>
      </c>
      <c r="W77" s="11" t="s">
        <v>119</v>
      </c>
      <c r="X77" s="11" t="s">
        <v>119</v>
      </c>
    </row>
    <row r="78" spans="1:24" s="11" customFormat="1" x14ac:dyDescent="0.3">
      <c r="A78" s="14" t="s">
        <v>347</v>
      </c>
      <c r="B78" s="47" t="s">
        <v>119</v>
      </c>
      <c r="C78" s="12" t="s">
        <v>119</v>
      </c>
      <c r="D78" s="12" t="s">
        <v>119</v>
      </c>
      <c r="E78" s="12" t="s">
        <v>119</v>
      </c>
      <c r="F78" s="37" t="s">
        <v>119</v>
      </c>
      <c r="G78" s="37" t="s">
        <v>119</v>
      </c>
      <c r="H78" s="34" t="s">
        <v>119</v>
      </c>
      <c r="I78" s="34" t="s">
        <v>119</v>
      </c>
      <c r="J78" s="34" t="s">
        <v>119</v>
      </c>
      <c r="K78" s="34" t="s">
        <v>119</v>
      </c>
      <c r="L78" s="31" t="s">
        <v>119</v>
      </c>
      <c r="M78" s="31" t="s">
        <v>134</v>
      </c>
      <c r="N78" s="14" t="s">
        <v>119</v>
      </c>
      <c r="O78" s="28" t="s">
        <v>119</v>
      </c>
      <c r="P78" s="106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t="s">
        <v>119</v>
      </c>
      <c r="W78" s="11" t="s">
        <v>134</v>
      </c>
      <c r="X78" s="11" t="s">
        <v>119</v>
      </c>
    </row>
    <row r="79" spans="1:24" s="11" customFormat="1" x14ac:dyDescent="0.3">
      <c r="A79" s="14" t="s">
        <v>348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>
        <v>5</v>
      </c>
      <c r="N79" s="14" t="s">
        <v>119</v>
      </c>
      <c r="O79" s="28" t="s">
        <v>119</v>
      </c>
      <c r="P79" s="106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t="s">
        <v>119</v>
      </c>
      <c r="W79" s="11" t="s">
        <v>134</v>
      </c>
      <c r="X79" s="11" t="s">
        <v>119</v>
      </c>
    </row>
    <row r="80" spans="1:24" s="11" customFormat="1" x14ac:dyDescent="0.3">
      <c r="A80" s="14" t="s">
        <v>349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4</v>
      </c>
      <c r="N80" s="14" t="s">
        <v>119</v>
      </c>
      <c r="O80" s="28" t="s">
        <v>119</v>
      </c>
      <c r="P80" s="106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t="s">
        <v>119</v>
      </c>
      <c r="W80" s="11" t="s">
        <v>119</v>
      </c>
      <c r="X80" s="11" t="s">
        <v>119</v>
      </c>
    </row>
    <row r="81" spans="1:24" s="11" customFormat="1" x14ac:dyDescent="0.3">
      <c r="A81" s="14" t="s">
        <v>350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106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t="s">
        <v>119</v>
      </c>
      <c r="W81" s="11" t="s">
        <v>134</v>
      </c>
      <c r="X81" s="11" t="s">
        <v>134</v>
      </c>
    </row>
    <row r="82" spans="1:24" s="11" customFormat="1" x14ac:dyDescent="0.3">
      <c r="A82" s="14" t="s">
        <v>351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7</v>
      </c>
      <c r="N82" s="14" t="s">
        <v>119</v>
      </c>
      <c r="O82" s="28" t="s">
        <v>119</v>
      </c>
      <c r="P82" s="106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t="s">
        <v>119</v>
      </c>
      <c r="W82" s="11" t="s">
        <v>134</v>
      </c>
      <c r="X82" s="11" t="s">
        <v>134</v>
      </c>
    </row>
    <row r="83" spans="1:24" x14ac:dyDescent="0.3">
      <c r="A83" s="12" t="s">
        <v>264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134</v>
      </c>
      <c r="I83" s="34" t="s">
        <v>119</v>
      </c>
      <c r="J83" s="34" t="s">
        <v>119</v>
      </c>
      <c r="K83" s="34" t="s">
        <v>119</v>
      </c>
      <c r="L83" s="28" t="s">
        <v>119</v>
      </c>
      <c r="M83" s="28" t="s">
        <v>119</v>
      </c>
      <c r="N83" s="1" t="s">
        <v>119</v>
      </c>
      <c r="O83" s="28" t="s">
        <v>119</v>
      </c>
      <c r="P83" s="106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t="s">
        <v>119</v>
      </c>
      <c r="W83" s="11" t="s">
        <v>119</v>
      </c>
      <c r="X83" s="11" t="s">
        <v>134</v>
      </c>
    </row>
    <row r="84" spans="1:24" x14ac:dyDescent="0.3">
      <c r="A84" s="7" t="s">
        <v>262</v>
      </c>
      <c r="B84" s="55" t="s">
        <v>119</v>
      </c>
      <c r="C84" s="7" t="s">
        <v>119</v>
      </c>
      <c r="D84" s="7" t="s">
        <v>119</v>
      </c>
      <c r="E84" s="7" t="s">
        <v>119</v>
      </c>
      <c r="F84" s="37" t="s">
        <v>119</v>
      </c>
      <c r="G84" s="37" t="s">
        <v>119</v>
      </c>
      <c r="H84" s="30" t="s">
        <v>119</v>
      </c>
      <c r="I84" s="30" t="s">
        <v>119</v>
      </c>
      <c r="J84" s="30">
        <v>1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106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t="s">
        <v>119</v>
      </c>
      <c r="W84" s="11" t="s">
        <v>119</v>
      </c>
      <c r="X84" s="11" t="s">
        <v>119</v>
      </c>
    </row>
    <row r="85" spans="1:24" s="11" customFormat="1" x14ac:dyDescent="0.3">
      <c r="A85" s="12" t="s">
        <v>352</v>
      </c>
      <c r="B85" s="47" t="s">
        <v>119</v>
      </c>
      <c r="C85" s="12" t="s">
        <v>119</v>
      </c>
      <c r="D85" s="12" t="s">
        <v>119</v>
      </c>
      <c r="E85" s="12" t="s">
        <v>119</v>
      </c>
      <c r="F85" s="37" t="s">
        <v>119</v>
      </c>
      <c r="G85" s="37" t="s">
        <v>119</v>
      </c>
      <c r="H85" s="34" t="s">
        <v>119</v>
      </c>
      <c r="I85" s="34" t="s">
        <v>119</v>
      </c>
      <c r="J85" s="34" t="s">
        <v>119</v>
      </c>
      <c r="K85" s="34" t="s">
        <v>119</v>
      </c>
      <c r="L85" s="31" t="s">
        <v>119</v>
      </c>
      <c r="M85" s="31" t="s">
        <v>134</v>
      </c>
      <c r="N85" s="14" t="s">
        <v>119</v>
      </c>
      <c r="O85" s="28" t="s">
        <v>119</v>
      </c>
      <c r="P85" s="106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t="s">
        <v>119</v>
      </c>
      <c r="W85" s="11" t="s">
        <v>134</v>
      </c>
      <c r="X85" s="11" t="s">
        <v>134</v>
      </c>
    </row>
    <row r="86" spans="1:24" s="11" customFormat="1" x14ac:dyDescent="0.3">
      <c r="A86" s="12" t="s">
        <v>1039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>
        <v>2</v>
      </c>
      <c r="H86" s="34" t="s">
        <v>119</v>
      </c>
      <c r="I86" s="34" t="s">
        <v>119</v>
      </c>
      <c r="J86" s="34">
        <v>7</v>
      </c>
      <c r="K86" s="34">
        <v>2</v>
      </c>
      <c r="L86" s="31" t="s">
        <v>119</v>
      </c>
      <c r="M86" s="31" t="s">
        <v>119</v>
      </c>
      <c r="N86" s="14" t="s">
        <v>119</v>
      </c>
      <c r="O86" s="28" t="s">
        <v>119</v>
      </c>
      <c r="P86" s="106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t="s">
        <v>119</v>
      </c>
      <c r="W86" s="11" t="s">
        <v>134</v>
      </c>
      <c r="X86" s="11" t="s">
        <v>134</v>
      </c>
    </row>
    <row r="87" spans="1:24" s="11" customFormat="1" x14ac:dyDescent="0.3">
      <c r="A87" s="12" t="s">
        <v>709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 t="s">
        <v>119</v>
      </c>
      <c r="H87" s="34" t="s">
        <v>119</v>
      </c>
      <c r="I87" s="34">
        <v>1</v>
      </c>
      <c r="J87" s="34" t="s">
        <v>119</v>
      </c>
      <c r="K87" s="34" t="s">
        <v>119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106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t="s">
        <v>119</v>
      </c>
      <c r="W87" s="11" t="s">
        <v>134</v>
      </c>
      <c r="X87" s="11" t="s">
        <v>134</v>
      </c>
    </row>
    <row r="88" spans="1:24" s="11" customFormat="1" x14ac:dyDescent="0.3">
      <c r="A88" s="12" t="s">
        <v>353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 t="s">
        <v>119</v>
      </c>
      <c r="J88" s="34" t="s">
        <v>119</v>
      </c>
      <c r="K88" s="34" t="s">
        <v>119</v>
      </c>
      <c r="L88" s="31" t="s">
        <v>119</v>
      </c>
      <c r="M88" s="31" t="s">
        <v>134</v>
      </c>
      <c r="N88" s="14" t="s">
        <v>119</v>
      </c>
      <c r="O88" s="28" t="s">
        <v>119</v>
      </c>
      <c r="P88" s="106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t="s">
        <v>119</v>
      </c>
      <c r="W88" s="11" t="s">
        <v>134</v>
      </c>
      <c r="X88" s="11" t="s">
        <v>134</v>
      </c>
    </row>
    <row r="89" spans="1:24" s="11" customFormat="1" x14ac:dyDescent="0.3">
      <c r="A89" s="12" t="s">
        <v>1160</v>
      </c>
      <c r="B89" s="47" t="s">
        <v>119</v>
      </c>
      <c r="C89" s="47" t="s">
        <v>119</v>
      </c>
      <c r="D89" s="47" t="s">
        <v>119</v>
      </c>
      <c r="E89" s="47" t="s">
        <v>119</v>
      </c>
      <c r="F89" s="47" t="s">
        <v>119</v>
      </c>
      <c r="G89" s="47" t="s">
        <v>119</v>
      </c>
      <c r="H89" s="47" t="s">
        <v>119</v>
      </c>
      <c r="I89" s="47" t="s">
        <v>119</v>
      </c>
      <c r="J89" s="34" t="s">
        <v>134</v>
      </c>
      <c r="K89" s="34" t="s">
        <v>119</v>
      </c>
      <c r="L89" s="34" t="s">
        <v>119</v>
      </c>
      <c r="M89" s="34" t="s">
        <v>119</v>
      </c>
      <c r="N89" s="34" t="s">
        <v>119</v>
      </c>
      <c r="O89" s="34" t="s">
        <v>119</v>
      </c>
      <c r="P89" s="106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t="s">
        <v>134</v>
      </c>
      <c r="W89" s="11" t="s">
        <v>119</v>
      </c>
      <c r="X89" s="11" t="s">
        <v>119</v>
      </c>
    </row>
    <row r="90" spans="1:24" s="11" customFormat="1" x14ac:dyDescent="0.3">
      <c r="A90" s="12" t="s">
        <v>354</v>
      </c>
      <c r="B90" s="47" t="s">
        <v>119</v>
      </c>
      <c r="C90" s="12" t="s">
        <v>119</v>
      </c>
      <c r="D90" s="12" t="s">
        <v>119</v>
      </c>
      <c r="E90" s="12" t="s">
        <v>119</v>
      </c>
      <c r="F90" s="37" t="s">
        <v>119</v>
      </c>
      <c r="G90" s="37" t="s">
        <v>119</v>
      </c>
      <c r="H90" s="34" t="s">
        <v>119</v>
      </c>
      <c r="I90" s="34" t="s">
        <v>119</v>
      </c>
      <c r="J90" s="34" t="s">
        <v>119</v>
      </c>
      <c r="K90" s="34" t="s">
        <v>119</v>
      </c>
      <c r="L90" s="31" t="s">
        <v>119</v>
      </c>
      <c r="M90" s="31">
        <v>3</v>
      </c>
      <c r="N90" s="14" t="s">
        <v>119</v>
      </c>
      <c r="O90" s="28" t="s">
        <v>119</v>
      </c>
      <c r="P90" s="106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t="s">
        <v>119</v>
      </c>
      <c r="W90" s="11" t="s">
        <v>134</v>
      </c>
      <c r="X90" s="11" t="s">
        <v>134</v>
      </c>
    </row>
    <row r="91" spans="1:24" x14ac:dyDescent="0.3">
      <c r="A91" s="12" t="s">
        <v>261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>
        <v>3</v>
      </c>
      <c r="K91" s="30" t="s">
        <v>119</v>
      </c>
      <c r="L91" s="28" t="s">
        <v>119</v>
      </c>
      <c r="M91" s="28" t="s">
        <v>119</v>
      </c>
      <c r="N91" s="1" t="s">
        <v>119</v>
      </c>
      <c r="O91" s="28" t="s">
        <v>119</v>
      </c>
      <c r="P91" s="106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t="s">
        <v>119</v>
      </c>
      <c r="W91" s="11" t="s">
        <v>119</v>
      </c>
      <c r="X91" s="11" t="s">
        <v>119</v>
      </c>
    </row>
    <row r="92" spans="1:24" x14ac:dyDescent="0.3">
      <c r="A92" s="12" t="s">
        <v>265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>
        <v>2</v>
      </c>
      <c r="I92" s="34" t="s">
        <v>119</v>
      </c>
      <c r="J92" s="34" t="s">
        <v>119</v>
      </c>
      <c r="K92" s="34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106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t="s">
        <v>119</v>
      </c>
      <c r="W92" s="11" t="s">
        <v>134</v>
      </c>
      <c r="X92" s="11" t="s">
        <v>134</v>
      </c>
    </row>
    <row r="93" spans="1:24" x14ac:dyDescent="0.3">
      <c r="A93" s="12" t="s">
        <v>355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 t="s">
        <v>119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134</v>
      </c>
      <c r="N93" s="1" t="s">
        <v>119</v>
      </c>
      <c r="O93" s="28" t="s">
        <v>119</v>
      </c>
      <c r="P93" s="106" t="s">
        <v>119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t="s">
        <v>119</v>
      </c>
      <c r="W93" s="11" t="s">
        <v>134</v>
      </c>
      <c r="X93" s="11" t="s">
        <v>134</v>
      </c>
    </row>
    <row r="94" spans="1:24" x14ac:dyDescent="0.3">
      <c r="A94" s="12" t="s">
        <v>356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106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t="s">
        <v>119</v>
      </c>
      <c r="W94" s="11" t="s">
        <v>134</v>
      </c>
      <c r="X94" s="11" t="s">
        <v>134</v>
      </c>
    </row>
    <row r="95" spans="1:24" x14ac:dyDescent="0.3">
      <c r="A95" s="12" t="s">
        <v>266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>
        <f>68+13+3+7</f>
        <v>91</v>
      </c>
      <c r="I95" s="34" t="s">
        <v>119</v>
      </c>
      <c r="J95" s="34" t="s">
        <v>119</v>
      </c>
      <c r="K95" s="30" t="s">
        <v>119</v>
      </c>
      <c r="L95" s="28" t="s">
        <v>119</v>
      </c>
      <c r="M95" s="28" t="s">
        <v>119</v>
      </c>
      <c r="N95" s="1" t="s">
        <v>119</v>
      </c>
      <c r="O95" s="28" t="s">
        <v>119</v>
      </c>
      <c r="P95" s="106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t="s">
        <v>119</v>
      </c>
      <c r="W95" s="11" t="s">
        <v>119</v>
      </c>
      <c r="X95" s="11" t="s">
        <v>134</v>
      </c>
    </row>
    <row r="96" spans="1:24" x14ac:dyDescent="0.3">
      <c r="A96" s="12" t="s">
        <v>357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 t="s">
        <v>119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>
        <v>57</v>
      </c>
      <c r="N96" s="1" t="s">
        <v>119</v>
      </c>
      <c r="O96" s="28" t="s">
        <v>119</v>
      </c>
      <c r="P96" s="106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t="s">
        <v>119</v>
      </c>
      <c r="W96" s="11" t="s">
        <v>134</v>
      </c>
      <c r="X96" s="11" t="s">
        <v>119</v>
      </c>
    </row>
    <row r="97" spans="1:24" x14ac:dyDescent="0.3">
      <c r="A97" s="12" t="s">
        <v>358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45</v>
      </c>
      <c r="N97" s="1" t="s">
        <v>119</v>
      </c>
      <c r="O97" s="28" t="s">
        <v>119</v>
      </c>
      <c r="P97" s="106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t="s">
        <v>119</v>
      </c>
      <c r="W97" s="11" t="s">
        <v>134</v>
      </c>
      <c r="X97" s="11" t="s">
        <v>119</v>
      </c>
    </row>
    <row r="98" spans="1:24" x14ac:dyDescent="0.3">
      <c r="A98" s="12" t="s">
        <v>359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f>4+4+1+1+3+6+2+5+3</f>
        <v>29</v>
      </c>
      <c r="N98" s="1" t="s">
        <v>119</v>
      </c>
      <c r="O98" s="28" t="s">
        <v>119</v>
      </c>
      <c r="P98" s="106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t="s">
        <v>119</v>
      </c>
      <c r="W98" s="11" t="s">
        <v>119</v>
      </c>
      <c r="X98" s="11" t="s">
        <v>119</v>
      </c>
    </row>
    <row r="99" spans="1:24" s="74" customFormat="1" x14ac:dyDescent="0.3">
      <c r="A99" s="20" t="s">
        <v>1235</v>
      </c>
      <c r="B99" s="56" t="s">
        <v>119</v>
      </c>
      <c r="C99" s="20" t="s">
        <v>119</v>
      </c>
      <c r="D99" s="20" t="s">
        <v>119</v>
      </c>
      <c r="E99" s="20" t="s">
        <v>119</v>
      </c>
      <c r="F99" s="37" t="s">
        <v>119</v>
      </c>
      <c r="G99" s="32" t="s">
        <v>119</v>
      </c>
      <c r="H99" s="45" t="s">
        <v>119</v>
      </c>
      <c r="I99" s="57">
        <v>2</v>
      </c>
      <c r="J99" s="45" t="s">
        <v>119</v>
      </c>
      <c r="K99" s="45" t="s">
        <v>119</v>
      </c>
      <c r="L99" s="32" t="s">
        <v>119</v>
      </c>
      <c r="M99" s="32" t="s">
        <v>119</v>
      </c>
      <c r="N99" s="25" t="s">
        <v>119</v>
      </c>
      <c r="O99" s="28" t="s">
        <v>119</v>
      </c>
      <c r="P99" s="106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t="s">
        <v>134</v>
      </c>
      <c r="W99" s="11" t="s">
        <v>119</v>
      </c>
      <c r="X99" s="11" t="s">
        <v>119</v>
      </c>
    </row>
    <row r="100" spans="1:24" x14ac:dyDescent="0.3">
      <c r="A100" s="10" t="s">
        <v>255</v>
      </c>
      <c r="B100" s="55" t="s">
        <v>119</v>
      </c>
      <c r="C100" s="7" t="s">
        <v>119</v>
      </c>
      <c r="D100" s="7" t="s">
        <v>119</v>
      </c>
      <c r="E100" s="7" t="s">
        <v>119</v>
      </c>
      <c r="F100" s="37" t="s">
        <v>119</v>
      </c>
      <c r="G100" s="37" t="s">
        <v>119</v>
      </c>
      <c r="H100" s="30" t="s">
        <v>119</v>
      </c>
      <c r="I100" s="30" t="s">
        <v>119</v>
      </c>
      <c r="J100" s="30" t="s">
        <v>119</v>
      </c>
      <c r="K100" s="30">
        <v>28</v>
      </c>
      <c r="L100" s="28" t="s">
        <v>119</v>
      </c>
      <c r="M100" s="28" t="s">
        <v>119</v>
      </c>
      <c r="N100" s="1" t="s">
        <v>119</v>
      </c>
      <c r="O100" s="28" t="s">
        <v>119</v>
      </c>
      <c r="P100" s="106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t="s">
        <v>119</v>
      </c>
      <c r="W100" s="11" t="s">
        <v>119</v>
      </c>
      <c r="X100" s="11" t="s">
        <v>119</v>
      </c>
    </row>
    <row r="101" spans="1:24" x14ac:dyDescent="0.3">
      <c r="A101" s="12" t="s">
        <v>267</v>
      </c>
      <c r="B101" s="47" t="s">
        <v>119</v>
      </c>
      <c r="C101" s="12" t="s">
        <v>119</v>
      </c>
      <c r="D101" s="12" t="s">
        <v>119</v>
      </c>
      <c r="E101" s="12" t="s">
        <v>119</v>
      </c>
      <c r="F101" s="37" t="s">
        <v>119</v>
      </c>
      <c r="G101" s="37" t="s">
        <v>119</v>
      </c>
      <c r="H101" s="34">
        <v>22</v>
      </c>
      <c r="I101" s="34" t="s">
        <v>119</v>
      </c>
      <c r="J101" s="34" t="s">
        <v>119</v>
      </c>
      <c r="K101" s="30" t="s">
        <v>119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106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t="s">
        <v>119</v>
      </c>
      <c r="W101" s="11" t="s">
        <v>119</v>
      </c>
      <c r="X101" s="11" t="s">
        <v>134</v>
      </c>
    </row>
    <row r="102" spans="1:24" x14ac:dyDescent="0.3">
      <c r="A102" s="10" t="s">
        <v>268</v>
      </c>
      <c r="B102" s="55" t="s">
        <v>119</v>
      </c>
      <c r="C102" s="7" t="s">
        <v>119</v>
      </c>
      <c r="D102" s="7" t="s">
        <v>119</v>
      </c>
      <c r="E102" s="7" t="s">
        <v>119</v>
      </c>
      <c r="F102" s="37" t="s">
        <v>119</v>
      </c>
      <c r="G102" s="37" t="s">
        <v>119</v>
      </c>
      <c r="H102" s="30">
        <v>2</v>
      </c>
      <c r="I102" s="30">
        <v>1</v>
      </c>
      <c r="J102" s="30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106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t="s">
        <v>119</v>
      </c>
      <c r="W102" s="11" t="s">
        <v>119</v>
      </c>
      <c r="X102" s="11" t="s">
        <v>119</v>
      </c>
    </row>
    <row r="103" spans="1:24" s="11" customFormat="1" x14ac:dyDescent="0.3">
      <c r="A103" s="14" t="s">
        <v>360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4" t="s">
        <v>119</v>
      </c>
      <c r="L103" s="31" t="s">
        <v>119</v>
      </c>
      <c r="M103" s="31" t="s">
        <v>134</v>
      </c>
      <c r="N103" s="14" t="s">
        <v>119</v>
      </c>
      <c r="O103" s="28" t="s">
        <v>119</v>
      </c>
      <c r="P103" s="106" t="s">
        <v>119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t="s">
        <v>119</v>
      </c>
      <c r="W103" s="11" t="s">
        <v>134</v>
      </c>
      <c r="X103" s="11" t="s">
        <v>119</v>
      </c>
    </row>
    <row r="104" spans="1:24" s="74" customFormat="1" x14ac:dyDescent="0.3">
      <c r="A104" s="25" t="s">
        <v>1236</v>
      </c>
      <c r="B104" s="56" t="s">
        <v>119</v>
      </c>
      <c r="C104" s="20" t="s">
        <v>119</v>
      </c>
      <c r="D104" s="20" t="s">
        <v>119</v>
      </c>
      <c r="E104" s="20" t="s">
        <v>119</v>
      </c>
      <c r="F104" s="37" t="s">
        <v>119</v>
      </c>
      <c r="G104" s="33">
        <v>5</v>
      </c>
      <c r="H104" s="45" t="s">
        <v>119</v>
      </c>
      <c r="I104" s="45" t="s">
        <v>119</v>
      </c>
      <c r="J104" s="45" t="s">
        <v>119</v>
      </c>
      <c r="K104" s="45" t="s">
        <v>119</v>
      </c>
      <c r="L104" s="32" t="s">
        <v>119</v>
      </c>
      <c r="M104" s="32" t="s">
        <v>119</v>
      </c>
      <c r="N104" s="25" t="s">
        <v>119</v>
      </c>
      <c r="O104" s="28" t="s">
        <v>119</v>
      </c>
      <c r="P104" s="106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t="s">
        <v>134</v>
      </c>
      <c r="W104" s="11" t="s">
        <v>119</v>
      </c>
      <c r="X104" s="11" t="s">
        <v>119</v>
      </c>
    </row>
    <row r="105" spans="1:24" s="11" customFormat="1" x14ac:dyDescent="0.3">
      <c r="A105" s="14" t="s">
        <v>361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>
        <f>6+1+1+1+5+9+4</f>
        <v>27</v>
      </c>
      <c r="N105" s="14" t="s">
        <v>119</v>
      </c>
      <c r="O105" s="28" t="s">
        <v>119</v>
      </c>
      <c r="P105" s="106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t="s">
        <v>119</v>
      </c>
      <c r="W105" s="11" t="s">
        <v>134</v>
      </c>
      <c r="X105" s="11" t="s">
        <v>119</v>
      </c>
    </row>
    <row r="106" spans="1:24" s="11" customFormat="1" x14ac:dyDescent="0.3">
      <c r="A106" s="14" t="s">
        <v>674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>
        <v>2</v>
      </c>
      <c r="I106" s="34">
        <v>1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106" t="s">
        <v>119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t="s">
        <v>119</v>
      </c>
      <c r="W106" s="11" t="s">
        <v>119</v>
      </c>
      <c r="X106" s="11" t="s">
        <v>119</v>
      </c>
    </row>
    <row r="107" spans="1:24" s="5" customFormat="1" x14ac:dyDescent="0.3">
      <c r="A107" s="10" t="s">
        <v>1038</v>
      </c>
      <c r="B107" s="55" t="s">
        <v>119</v>
      </c>
      <c r="C107" s="7" t="s">
        <v>119</v>
      </c>
      <c r="D107" s="7" t="s">
        <v>119</v>
      </c>
      <c r="E107" s="7" t="s">
        <v>119</v>
      </c>
      <c r="F107" s="37" t="s">
        <v>119</v>
      </c>
      <c r="G107" s="29" t="s">
        <v>119</v>
      </c>
      <c r="H107" s="30" t="s">
        <v>119</v>
      </c>
      <c r="I107" s="30">
        <v>8</v>
      </c>
      <c r="J107" s="30" t="s">
        <v>119</v>
      </c>
      <c r="K107" s="30" t="s">
        <v>119</v>
      </c>
      <c r="L107" s="29" t="s">
        <v>119</v>
      </c>
      <c r="M107" s="29" t="s">
        <v>119</v>
      </c>
      <c r="N107" s="10" t="s">
        <v>119</v>
      </c>
      <c r="O107" s="28" t="s">
        <v>119</v>
      </c>
      <c r="P107" s="106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t="s">
        <v>119</v>
      </c>
      <c r="W107" s="11" t="s">
        <v>119</v>
      </c>
      <c r="X107" s="11" t="s">
        <v>119</v>
      </c>
    </row>
    <row r="108" spans="1:24" x14ac:dyDescent="0.3">
      <c r="A108" s="10" t="s">
        <v>363</v>
      </c>
      <c r="B108" s="55" t="s">
        <v>119</v>
      </c>
      <c r="C108" s="7" t="s">
        <v>119</v>
      </c>
      <c r="D108" s="7" t="s">
        <v>119</v>
      </c>
      <c r="E108" s="7" t="s">
        <v>119</v>
      </c>
      <c r="F108" s="37" t="s">
        <v>119</v>
      </c>
      <c r="G108" s="37" t="s">
        <v>119</v>
      </c>
      <c r="H108" s="30">
        <v>22</v>
      </c>
      <c r="I108" s="30" t="s">
        <v>119</v>
      </c>
      <c r="J108" s="30">
        <v>1</v>
      </c>
      <c r="K108" s="30" t="s">
        <v>119</v>
      </c>
      <c r="L108" s="28" t="s">
        <v>119</v>
      </c>
      <c r="M108" s="28" t="s">
        <v>119</v>
      </c>
      <c r="N108" s="1" t="s">
        <v>119</v>
      </c>
      <c r="O108" s="28" t="s">
        <v>119</v>
      </c>
      <c r="P108" s="106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t="s">
        <v>119</v>
      </c>
      <c r="W108" s="11" t="s">
        <v>119</v>
      </c>
      <c r="X108" s="11" t="s">
        <v>119</v>
      </c>
    </row>
    <row r="109" spans="1:24" s="11" customFormat="1" x14ac:dyDescent="0.3">
      <c r="A109" s="14" t="s">
        <v>362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 t="s">
        <v>119</v>
      </c>
      <c r="I109" s="34" t="s">
        <v>119</v>
      </c>
      <c r="J109" s="34" t="s">
        <v>119</v>
      </c>
      <c r="K109" s="34" t="s">
        <v>119</v>
      </c>
      <c r="L109" s="31" t="s">
        <v>119</v>
      </c>
      <c r="M109" s="31">
        <v>10</v>
      </c>
      <c r="N109" s="14" t="s">
        <v>119</v>
      </c>
      <c r="O109" s="28" t="s">
        <v>119</v>
      </c>
      <c r="P109" s="106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t="s">
        <v>119</v>
      </c>
      <c r="W109" s="11" t="s">
        <v>134</v>
      </c>
      <c r="X109" s="11" t="s">
        <v>119</v>
      </c>
    </row>
    <row r="110" spans="1:24" s="11" customFormat="1" x14ac:dyDescent="0.3">
      <c r="A110" s="14" t="s">
        <v>1161</v>
      </c>
      <c r="B110" s="47" t="s">
        <v>119</v>
      </c>
      <c r="C110" s="47" t="s">
        <v>119</v>
      </c>
      <c r="D110" s="47" t="s">
        <v>119</v>
      </c>
      <c r="E110" s="47" t="s">
        <v>119</v>
      </c>
      <c r="F110" s="47" t="s">
        <v>119</v>
      </c>
      <c r="G110" s="47" t="s">
        <v>119</v>
      </c>
      <c r="H110" s="47" t="s">
        <v>119</v>
      </c>
      <c r="I110" s="47" t="s">
        <v>119</v>
      </c>
      <c r="J110" s="34" t="s">
        <v>134</v>
      </c>
      <c r="K110" s="34" t="s">
        <v>119</v>
      </c>
      <c r="L110" s="34" t="s">
        <v>119</v>
      </c>
      <c r="M110" s="34" t="s">
        <v>119</v>
      </c>
      <c r="N110" s="34" t="s">
        <v>119</v>
      </c>
      <c r="O110" s="34" t="s">
        <v>119</v>
      </c>
      <c r="P110" s="106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t="s">
        <v>134</v>
      </c>
      <c r="W110" s="11" t="s">
        <v>119</v>
      </c>
      <c r="X110" s="11" t="s">
        <v>119</v>
      </c>
    </row>
    <row r="111" spans="1:24" x14ac:dyDescent="0.3">
      <c r="A111" s="10" t="s">
        <v>269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8</v>
      </c>
      <c r="I111" s="30" t="s">
        <v>119</v>
      </c>
      <c r="J111" s="30" t="s">
        <v>119</v>
      </c>
      <c r="K111" s="34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106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t="s">
        <v>119</v>
      </c>
      <c r="W111" s="11" t="s">
        <v>119</v>
      </c>
      <c r="X111" s="11" t="s">
        <v>119</v>
      </c>
    </row>
    <row r="112" spans="1:24" s="74" customFormat="1" x14ac:dyDescent="0.3">
      <c r="A112" s="25" t="s">
        <v>675</v>
      </c>
      <c r="B112" s="56" t="s">
        <v>119</v>
      </c>
      <c r="C112" s="20" t="s">
        <v>119</v>
      </c>
      <c r="D112" s="20" t="s">
        <v>119</v>
      </c>
      <c r="E112" s="20" t="s">
        <v>119</v>
      </c>
      <c r="F112" s="37" t="s">
        <v>119</v>
      </c>
      <c r="G112" s="32" t="s">
        <v>119</v>
      </c>
      <c r="H112" s="45">
        <v>2</v>
      </c>
      <c r="I112" s="45" t="s">
        <v>119</v>
      </c>
      <c r="J112" s="45" t="s">
        <v>119</v>
      </c>
      <c r="K112" s="45" t="s">
        <v>119</v>
      </c>
      <c r="L112" s="32" t="s">
        <v>119</v>
      </c>
      <c r="M112" s="32" t="s">
        <v>119</v>
      </c>
      <c r="N112" s="25" t="s">
        <v>119</v>
      </c>
      <c r="O112" s="28" t="s">
        <v>119</v>
      </c>
      <c r="P112" s="106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t="s">
        <v>119</v>
      </c>
      <c r="W112" s="11" t="s">
        <v>119</v>
      </c>
      <c r="X112" s="11" t="s">
        <v>119</v>
      </c>
    </row>
    <row r="113" spans="1:24" s="11" customFormat="1" x14ac:dyDescent="0.3">
      <c r="A113" s="14" t="s">
        <v>364</v>
      </c>
      <c r="B113" s="47" t="s">
        <v>119</v>
      </c>
      <c r="C113" s="12" t="s">
        <v>119</v>
      </c>
      <c r="D113" s="12" t="s">
        <v>119</v>
      </c>
      <c r="E113" s="12" t="s">
        <v>119</v>
      </c>
      <c r="F113" s="37" t="s">
        <v>119</v>
      </c>
      <c r="G113" s="37" t="s">
        <v>119</v>
      </c>
      <c r="H113" s="34" t="s">
        <v>119</v>
      </c>
      <c r="I113" s="34" t="s">
        <v>119</v>
      </c>
      <c r="J113" s="34" t="s">
        <v>119</v>
      </c>
      <c r="K113" s="34" t="s">
        <v>119</v>
      </c>
      <c r="L113" s="31" t="s">
        <v>119</v>
      </c>
      <c r="M113" s="31" t="s">
        <v>134</v>
      </c>
      <c r="N113" s="14" t="s">
        <v>119</v>
      </c>
      <c r="O113" s="28" t="s">
        <v>119</v>
      </c>
      <c r="P113" s="106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t="s">
        <v>119</v>
      </c>
      <c r="W113" s="11" t="s">
        <v>134</v>
      </c>
      <c r="X113" s="11" t="s">
        <v>134</v>
      </c>
    </row>
    <row r="114" spans="1:24" s="11" customFormat="1" x14ac:dyDescent="0.3">
      <c r="A114" s="14" t="s">
        <v>1040</v>
      </c>
      <c r="B114" s="47" t="s">
        <v>119</v>
      </c>
      <c r="C114" s="12" t="s">
        <v>119</v>
      </c>
      <c r="D114" s="12" t="s">
        <v>119</v>
      </c>
      <c r="E114" s="12" t="s">
        <v>119</v>
      </c>
      <c r="F114" s="37" t="s">
        <v>119</v>
      </c>
      <c r="G114" s="37" t="s">
        <v>119</v>
      </c>
      <c r="H114" s="34" t="s">
        <v>119</v>
      </c>
      <c r="I114" s="34" t="s">
        <v>119</v>
      </c>
      <c r="J114" s="34">
        <v>4</v>
      </c>
      <c r="K114" s="34" t="s">
        <v>119</v>
      </c>
      <c r="L114" s="31" t="s">
        <v>119</v>
      </c>
      <c r="M114" s="31" t="s">
        <v>119</v>
      </c>
      <c r="N114" s="14" t="s">
        <v>119</v>
      </c>
      <c r="O114" s="28" t="s">
        <v>119</v>
      </c>
      <c r="P114" s="106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t="s">
        <v>119</v>
      </c>
      <c r="W114" s="11" t="s">
        <v>134</v>
      </c>
      <c r="X114" s="11" t="s">
        <v>134</v>
      </c>
    </row>
    <row r="115" spans="1:24" s="11" customFormat="1" x14ac:dyDescent="0.3">
      <c r="A115" s="14" t="s">
        <v>365</v>
      </c>
      <c r="B115" s="47" t="s">
        <v>119</v>
      </c>
      <c r="C115" s="12" t="s">
        <v>119</v>
      </c>
      <c r="D115" s="12" t="s">
        <v>119</v>
      </c>
      <c r="E115" s="12" t="s">
        <v>119</v>
      </c>
      <c r="F115" s="37" t="s">
        <v>119</v>
      </c>
      <c r="G115" s="37" t="s">
        <v>119</v>
      </c>
      <c r="H115" s="34" t="s">
        <v>119</v>
      </c>
      <c r="I115" s="34" t="s">
        <v>119</v>
      </c>
      <c r="J115" s="34" t="s">
        <v>119</v>
      </c>
      <c r="K115" s="34" t="s">
        <v>119</v>
      </c>
      <c r="L115" s="31" t="s">
        <v>119</v>
      </c>
      <c r="M115" s="31">
        <v>4</v>
      </c>
      <c r="N115" s="14" t="s">
        <v>119</v>
      </c>
      <c r="O115" s="28" t="s">
        <v>119</v>
      </c>
      <c r="P115" s="106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t="s">
        <v>119</v>
      </c>
      <c r="W115" s="11" t="s">
        <v>134</v>
      </c>
      <c r="X115" s="11" t="s">
        <v>134</v>
      </c>
    </row>
    <row r="116" spans="1:24" s="11" customFormat="1" x14ac:dyDescent="0.3">
      <c r="A116" s="14" t="s">
        <v>366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106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t="s">
        <v>119</v>
      </c>
      <c r="W116" s="11" t="s">
        <v>134</v>
      </c>
      <c r="X116" s="11" t="s">
        <v>134</v>
      </c>
    </row>
    <row r="117" spans="1:24" s="11" customFormat="1" x14ac:dyDescent="0.3">
      <c r="A117" s="14" t="s">
        <v>367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 t="s">
        <v>119</v>
      </c>
      <c r="K117" s="34" t="s">
        <v>119</v>
      </c>
      <c r="L117" s="31" t="s">
        <v>119</v>
      </c>
      <c r="M117" s="31">
        <v>7</v>
      </c>
      <c r="N117" s="14" t="s">
        <v>119</v>
      </c>
      <c r="O117" s="28" t="s">
        <v>119</v>
      </c>
      <c r="P117" s="106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t="s">
        <v>119</v>
      </c>
      <c r="W117" s="11" t="s">
        <v>134</v>
      </c>
      <c r="X117" s="11" t="s">
        <v>119</v>
      </c>
    </row>
    <row r="118" spans="1:24" s="5" customFormat="1" x14ac:dyDescent="0.3">
      <c r="A118" s="25" t="s">
        <v>1222</v>
      </c>
      <c r="B118" s="56" t="s">
        <v>119</v>
      </c>
      <c r="C118" s="20" t="s">
        <v>119</v>
      </c>
      <c r="D118" s="20" t="s">
        <v>119</v>
      </c>
      <c r="E118" s="20" t="s">
        <v>119</v>
      </c>
      <c r="F118" s="37" t="s">
        <v>119</v>
      </c>
      <c r="G118" s="32" t="s">
        <v>119</v>
      </c>
      <c r="H118" s="57">
        <v>1</v>
      </c>
      <c r="I118" s="45" t="s">
        <v>119</v>
      </c>
      <c r="J118" s="45" t="s">
        <v>119</v>
      </c>
      <c r="K118" s="45" t="s">
        <v>119</v>
      </c>
      <c r="L118" s="32" t="s">
        <v>119</v>
      </c>
      <c r="M118" s="32" t="s">
        <v>119</v>
      </c>
      <c r="N118" s="25" t="s">
        <v>119</v>
      </c>
      <c r="O118" s="28" t="s">
        <v>119</v>
      </c>
      <c r="P118" s="106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t="s">
        <v>134</v>
      </c>
      <c r="W118" s="11" t="s">
        <v>119</v>
      </c>
      <c r="X118" s="11" t="s">
        <v>119</v>
      </c>
    </row>
    <row r="119" spans="1:24" s="11" customFormat="1" x14ac:dyDescent="0.3">
      <c r="A119" s="14" t="s">
        <v>368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>
        <v>15</v>
      </c>
      <c r="N119" s="14" t="s">
        <v>119</v>
      </c>
      <c r="O119" s="28" t="s">
        <v>119</v>
      </c>
      <c r="P119" s="106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t="s">
        <v>119</v>
      </c>
      <c r="W119" s="11" t="s">
        <v>134</v>
      </c>
      <c r="X119" s="11" t="s">
        <v>134</v>
      </c>
    </row>
    <row r="120" spans="1:24" x14ac:dyDescent="0.3">
      <c r="A120" s="14" t="s">
        <v>256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>
        <v>8</v>
      </c>
      <c r="I120" s="34">
        <v>2</v>
      </c>
      <c r="J120" s="34" t="s">
        <v>119</v>
      </c>
      <c r="K120" s="34">
        <v>2</v>
      </c>
      <c r="L120" s="28" t="s">
        <v>119</v>
      </c>
      <c r="M120" s="28" t="s">
        <v>119</v>
      </c>
      <c r="N120" s="1">
        <f>3+19+2+1</f>
        <v>25</v>
      </c>
      <c r="O120" s="28" t="s">
        <v>119</v>
      </c>
      <c r="P120" s="106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t="s">
        <v>119</v>
      </c>
      <c r="W120" s="11" t="s">
        <v>119</v>
      </c>
      <c r="X120" s="11" t="s">
        <v>134</v>
      </c>
    </row>
    <row r="121" spans="1:24" s="74" customFormat="1" x14ac:dyDescent="0.3">
      <c r="A121" s="25" t="s">
        <v>1221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3">
        <v>7</v>
      </c>
      <c r="H121" s="45" t="s">
        <v>119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106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t="s">
        <v>134</v>
      </c>
      <c r="W121" s="11" t="s">
        <v>119</v>
      </c>
      <c r="X121" s="11" t="s">
        <v>119</v>
      </c>
    </row>
    <row r="122" spans="1:24" x14ac:dyDescent="0.3">
      <c r="A122" s="10" t="s">
        <v>324</v>
      </c>
      <c r="B122" s="55" t="s">
        <v>119</v>
      </c>
      <c r="C122" s="7" t="s">
        <v>119</v>
      </c>
      <c r="D122" s="7" t="s">
        <v>119</v>
      </c>
      <c r="E122" s="7" t="s">
        <v>119</v>
      </c>
      <c r="F122" s="37" t="s">
        <v>119</v>
      </c>
      <c r="G122" s="37" t="s">
        <v>119</v>
      </c>
      <c r="H122" s="30" t="s">
        <v>119</v>
      </c>
      <c r="I122" s="30" t="s">
        <v>119</v>
      </c>
      <c r="J122" s="30" t="s">
        <v>119</v>
      </c>
      <c r="K122" s="30" t="s">
        <v>119</v>
      </c>
      <c r="L122" s="29">
        <v>25</v>
      </c>
      <c r="M122" s="28" t="s">
        <v>119</v>
      </c>
      <c r="N122" s="1" t="s">
        <v>119</v>
      </c>
      <c r="O122" s="28" t="s">
        <v>119</v>
      </c>
      <c r="P122" s="106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t="s">
        <v>119</v>
      </c>
      <c r="W122" s="11" t="s">
        <v>119</v>
      </c>
      <c r="X122" s="11" t="s">
        <v>119</v>
      </c>
    </row>
    <row r="123" spans="1:24" s="11" customFormat="1" x14ac:dyDescent="0.3">
      <c r="A123" s="14" t="s">
        <v>369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 t="s">
        <v>119</v>
      </c>
      <c r="I123" s="34" t="s">
        <v>119</v>
      </c>
      <c r="J123" s="34" t="s">
        <v>119</v>
      </c>
      <c r="K123" s="34" t="s">
        <v>119</v>
      </c>
      <c r="L123" s="31" t="s">
        <v>119</v>
      </c>
      <c r="M123" s="31">
        <v>4</v>
      </c>
      <c r="N123" s="14">
        <v>4</v>
      </c>
      <c r="O123" s="28" t="s">
        <v>119</v>
      </c>
      <c r="P123" s="106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t="s">
        <v>119</v>
      </c>
      <c r="W123" s="11" t="s">
        <v>134</v>
      </c>
      <c r="X123" s="11" t="s">
        <v>134</v>
      </c>
    </row>
    <row r="124" spans="1:24" s="11" customFormat="1" x14ac:dyDescent="0.3">
      <c r="A124" s="14" t="s">
        <v>370</v>
      </c>
      <c r="B124" s="47" t="s">
        <v>119</v>
      </c>
      <c r="C124" s="12" t="s">
        <v>119</v>
      </c>
      <c r="D124" s="12" t="s">
        <v>119</v>
      </c>
      <c r="E124" s="12" t="s">
        <v>119</v>
      </c>
      <c r="F124" s="37" t="s">
        <v>119</v>
      </c>
      <c r="G124" s="37" t="s">
        <v>119</v>
      </c>
      <c r="H124" s="34" t="s">
        <v>119</v>
      </c>
      <c r="I124" s="34" t="s">
        <v>119</v>
      </c>
      <c r="J124" s="34" t="s">
        <v>119</v>
      </c>
      <c r="K124" s="34" t="s">
        <v>119</v>
      </c>
      <c r="L124" s="31" t="s">
        <v>119</v>
      </c>
      <c r="M124" s="31">
        <v>1</v>
      </c>
      <c r="N124" s="14" t="s">
        <v>119</v>
      </c>
      <c r="O124" s="28" t="s">
        <v>119</v>
      </c>
      <c r="P124" s="106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t="s">
        <v>119</v>
      </c>
      <c r="W124" s="11" t="s">
        <v>134</v>
      </c>
      <c r="X124" s="11" t="s">
        <v>119</v>
      </c>
    </row>
    <row r="125" spans="1:24" x14ac:dyDescent="0.3">
      <c r="A125" s="25" t="s">
        <v>1218</v>
      </c>
      <c r="B125" s="56" t="s">
        <v>119</v>
      </c>
      <c r="C125" s="20" t="s">
        <v>119</v>
      </c>
      <c r="D125" s="20" t="s">
        <v>119</v>
      </c>
      <c r="E125" s="20" t="s">
        <v>119</v>
      </c>
      <c r="F125" s="37" t="s">
        <v>119</v>
      </c>
      <c r="G125" s="37" t="s">
        <v>119</v>
      </c>
      <c r="H125" s="57">
        <v>3</v>
      </c>
      <c r="I125" s="45" t="s">
        <v>119</v>
      </c>
      <c r="J125" s="45" t="s">
        <v>119</v>
      </c>
      <c r="K125" s="30" t="s">
        <v>119</v>
      </c>
      <c r="L125" s="28" t="s">
        <v>119</v>
      </c>
      <c r="M125" s="28" t="s">
        <v>119</v>
      </c>
      <c r="N125" s="1" t="s">
        <v>119</v>
      </c>
      <c r="O125" s="28" t="s">
        <v>119</v>
      </c>
      <c r="P125" s="106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t="s">
        <v>134</v>
      </c>
      <c r="W125" s="11" t="s">
        <v>119</v>
      </c>
      <c r="X125" s="11" t="s">
        <v>119</v>
      </c>
    </row>
    <row r="126" spans="1:24" x14ac:dyDescent="0.3">
      <c r="A126" s="14" t="s">
        <v>257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>
        <v>4</v>
      </c>
      <c r="J126" s="34" t="s">
        <v>119</v>
      </c>
      <c r="K126" s="30">
        <v>2</v>
      </c>
      <c r="L126" s="28" t="s">
        <v>119</v>
      </c>
      <c r="M126" s="28" t="s">
        <v>119</v>
      </c>
      <c r="N126" s="1" t="s">
        <v>119</v>
      </c>
      <c r="O126" s="28" t="s">
        <v>119</v>
      </c>
      <c r="P126" s="106" t="s">
        <v>119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t="s">
        <v>119</v>
      </c>
      <c r="W126" s="11" t="s">
        <v>119</v>
      </c>
      <c r="X126" s="11" t="s">
        <v>134</v>
      </c>
    </row>
    <row r="127" spans="1:24" x14ac:dyDescent="0.3">
      <c r="A127" s="14" t="s">
        <v>371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0" t="s">
        <v>119</v>
      </c>
      <c r="L127" s="28" t="s">
        <v>119</v>
      </c>
      <c r="M127" s="28" t="s">
        <v>134</v>
      </c>
      <c r="N127" s="1" t="s">
        <v>119</v>
      </c>
      <c r="O127" s="28" t="s">
        <v>119</v>
      </c>
      <c r="P127" s="106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t="s">
        <v>119</v>
      </c>
      <c r="W127" s="11" t="s">
        <v>134</v>
      </c>
      <c r="X127" s="11" t="s">
        <v>134</v>
      </c>
    </row>
    <row r="128" spans="1:24" x14ac:dyDescent="0.3">
      <c r="A128" s="10" t="s">
        <v>270</v>
      </c>
      <c r="B128" s="55" t="s">
        <v>119</v>
      </c>
      <c r="C128" s="7" t="s">
        <v>119</v>
      </c>
      <c r="D128" s="7" t="s">
        <v>119</v>
      </c>
      <c r="E128" s="7" t="s">
        <v>119</v>
      </c>
      <c r="F128" s="37" t="s">
        <v>119</v>
      </c>
      <c r="G128" s="37" t="s">
        <v>119</v>
      </c>
      <c r="H128" s="30">
        <v>2</v>
      </c>
      <c r="I128" s="30" t="s">
        <v>119</v>
      </c>
      <c r="J128" s="30" t="s">
        <v>119</v>
      </c>
      <c r="K128" s="34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106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t="s">
        <v>119</v>
      </c>
      <c r="W128" s="11" t="s">
        <v>119</v>
      </c>
      <c r="X128" s="11" t="s">
        <v>119</v>
      </c>
    </row>
    <row r="129" spans="1:24" s="11" customFormat="1" x14ac:dyDescent="0.3">
      <c r="A129" s="14" t="s">
        <v>372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>
        <v>2</v>
      </c>
      <c r="I129" s="34">
        <v>3</v>
      </c>
      <c r="J129" s="34" t="s">
        <v>119</v>
      </c>
      <c r="K129" s="34" t="s">
        <v>119</v>
      </c>
      <c r="L129" s="31" t="s">
        <v>119</v>
      </c>
      <c r="M129" s="31" t="s">
        <v>134</v>
      </c>
      <c r="N129" s="14" t="s">
        <v>119</v>
      </c>
      <c r="O129" s="28" t="s">
        <v>119</v>
      </c>
      <c r="P129" s="106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t="s">
        <v>119</v>
      </c>
      <c r="W129" s="11" t="s">
        <v>134</v>
      </c>
      <c r="X129" s="11" t="s">
        <v>134</v>
      </c>
    </row>
    <row r="130" spans="1:24" x14ac:dyDescent="0.3">
      <c r="A130" s="25" t="s">
        <v>1219</v>
      </c>
      <c r="B130" s="56" t="s">
        <v>119</v>
      </c>
      <c r="C130" s="20" t="s">
        <v>119</v>
      </c>
      <c r="D130" s="20" t="s">
        <v>119</v>
      </c>
      <c r="E130" s="20" t="s">
        <v>119</v>
      </c>
      <c r="F130" s="37" t="s">
        <v>119</v>
      </c>
      <c r="G130" s="32" t="s">
        <v>119</v>
      </c>
      <c r="H130" s="57">
        <v>1</v>
      </c>
      <c r="I130" s="45" t="s">
        <v>119</v>
      </c>
      <c r="J130" s="45" t="s">
        <v>119</v>
      </c>
      <c r="K130" s="45" t="s">
        <v>119</v>
      </c>
      <c r="L130" s="32" t="s">
        <v>119</v>
      </c>
      <c r="M130" s="32" t="s">
        <v>119</v>
      </c>
      <c r="N130" s="25" t="s">
        <v>119</v>
      </c>
      <c r="O130" s="28" t="s">
        <v>119</v>
      </c>
      <c r="P130" s="106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t="s">
        <v>134</v>
      </c>
      <c r="W130" s="11" t="s">
        <v>119</v>
      </c>
      <c r="X130" s="11" t="s">
        <v>119</v>
      </c>
    </row>
    <row r="131" spans="1:24" x14ac:dyDescent="0.3">
      <c r="A131" s="25" t="s">
        <v>1220</v>
      </c>
      <c r="B131" s="56" t="s">
        <v>119</v>
      </c>
      <c r="C131" s="20" t="s">
        <v>119</v>
      </c>
      <c r="D131" s="20" t="s">
        <v>119</v>
      </c>
      <c r="E131" s="20" t="s">
        <v>119</v>
      </c>
      <c r="F131" s="37" t="s">
        <v>119</v>
      </c>
      <c r="G131" s="32" t="s">
        <v>119</v>
      </c>
      <c r="H131" s="45" t="s">
        <v>119</v>
      </c>
      <c r="I131" s="57">
        <v>1</v>
      </c>
      <c r="J131" s="45" t="s">
        <v>119</v>
      </c>
      <c r="K131" s="45" t="s">
        <v>119</v>
      </c>
      <c r="L131" s="32" t="s">
        <v>119</v>
      </c>
      <c r="M131" s="32" t="s">
        <v>119</v>
      </c>
      <c r="N131" s="25" t="s">
        <v>119</v>
      </c>
      <c r="O131" s="28" t="s">
        <v>119</v>
      </c>
      <c r="P131" s="106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t="s">
        <v>134</v>
      </c>
      <c r="W131" s="11" t="s">
        <v>119</v>
      </c>
      <c r="X131" s="11" t="s">
        <v>119</v>
      </c>
    </row>
    <row r="132" spans="1:24" s="11" customFormat="1" x14ac:dyDescent="0.3">
      <c r="A132" s="14" t="s">
        <v>373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 t="s">
        <v>119</v>
      </c>
      <c r="I132" s="34" t="s">
        <v>119</v>
      </c>
      <c r="J132" s="34" t="s">
        <v>119</v>
      </c>
      <c r="K132" s="34" t="s">
        <v>134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106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t="s">
        <v>119</v>
      </c>
      <c r="W132" s="11" t="s">
        <v>134</v>
      </c>
      <c r="X132" s="11" t="s">
        <v>134</v>
      </c>
    </row>
    <row r="133" spans="1:24" s="11" customFormat="1" x14ac:dyDescent="0.3">
      <c r="A133" s="14" t="s">
        <v>374</v>
      </c>
      <c r="B133" s="47" t="s">
        <v>119</v>
      </c>
      <c r="C133" s="12" t="s">
        <v>119</v>
      </c>
      <c r="D133" s="12" t="s">
        <v>119</v>
      </c>
      <c r="E133" s="12" t="s">
        <v>119</v>
      </c>
      <c r="F133" s="37" t="s">
        <v>119</v>
      </c>
      <c r="G133" s="37" t="s">
        <v>119</v>
      </c>
      <c r="H133" s="34" t="s">
        <v>119</v>
      </c>
      <c r="I133" s="34" t="s">
        <v>119</v>
      </c>
      <c r="J133" s="34" t="s">
        <v>119</v>
      </c>
      <c r="K133" s="34" t="s">
        <v>119</v>
      </c>
      <c r="L133" s="31" t="s">
        <v>119</v>
      </c>
      <c r="M133" s="31">
        <v>1</v>
      </c>
      <c r="N133" s="14" t="s">
        <v>119</v>
      </c>
      <c r="O133" s="28" t="s">
        <v>119</v>
      </c>
      <c r="P133" s="106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t="s">
        <v>119</v>
      </c>
      <c r="W133" s="11" t="s">
        <v>134</v>
      </c>
      <c r="X133" s="11" t="s">
        <v>119</v>
      </c>
    </row>
    <row r="134" spans="1:24" s="11" customFormat="1" x14ac:dyDescent="0.3">
      <c r="A134" s="14" t="s">
        <v>375</v>
      </c>
      <c r="B134" s="47" t="s">
        <v>119</v>
      </c>
      <c r="C134" s="12" t="s">
        <v>119</v>
      </c>
      <c r="D134" s="12" t="s">
        <v>119</v>
      </c>
      <c r="E134" s="12" t="s">
        <v>119</v>
      </c>
      <c r="F134" s="37" t="s">
        <v>119</v>
      </c>
      <c r="G134" s="37" t="s">
        <v>119</v>
      </c>
      <c r="H134" s="34" t="s">
        <v>119</v>
      </c>
      <c r="I134" s="34" t="s">
        <v>119</v>
      </c>
      <c r="J134" s="34" t="s">
        <v>119</v>
      </c>
      <c r="K134" s="34" t="s">
        <v>119</v>
      </c>
      <c r="L134" s="31" t="s">
        <v>119</v>
      </c>
      <c r="M134" s="31">
        <v>2</v>
      </c>
      <c r="N134" s="14" t="s">
        <v>119</v>
      </c>
      <c r="O134" s="28" t="s">
        <v>119</v>
      </c>
      <c r="P134" s="106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t="s">
        <v>119</v>
      </c>
      <c r="W134" s="11" t="s">
        <v>134</v>
      </c>
      <c r="X134" s="11" t="s">
        <v>134</v>
      </c>
    </row>
    <row r="135" spans="1:24" x14ac:dyDescent="0.3">
      <c r="A135" s="14" t="s">
        <v>258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>
        <v>6</v>
      </c>
      <c r="I135" s="34">
        <v>1</v>
      </c>
      <c r="J135" s="34">
        <v>9</v>
      </c>
      <c r="K135" s="34">
        <v>1</v>
      </c>
      <c r="L135" s="28" t="s">
        <v>119</v>
      </c>
      <c r="M135" s="28" t="s">
        <v>119</v>
      </c>
      <c r="N135" s="1" t="s">
        <v>119</v>
      </c>
      <c r="O135" s="28" t="s">
        <v>119</v>
      </c>
      <c r="P135" s="106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t="s">
        <v>119</v>
      </c>
      <c r="W135" s="11" t="s">
        <v>119</v>
      </c>
      <c r="X135" s="11" t="s">
        <v>134</v>
      </c>
    </row>
    <row r="136" spans="1:24" x14ac:dyDescent="0.3">
      <c r="A136" s="14" t="s">
        <v>376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28" t="s">
        <v>119</v>
      </c>
      <c r="M136" s="28">
        <v>11</v>
      </c>
      <c r="N136" s="1" t="s">
        <v>119</v>
      </c>
      <c r="O136" s="28" t="s">
        <v>119</v>
      </c>
      <c r="P136" s="106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t="s">
        <v>119</v>
      </c>
      <c r="W136" s="11" t="s">
        <v>134</v>
      </c>
      <c r="X136" s="11" t="s">
        <v>119</v>
      </c>
    </row>
    <row r="137" spans="1:24" x14ac:dyDescent="0.3">
      <c r="A137" s="14" t="s">
        <v>271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>
        <v>7</v>
      </c>
      <c r="I137" s="34" t="s">
        <v>119</v>
      </c>
      <c r="J137" s="34" t="s">
        <v>119</v>
      </c>
      <c r="K137" s="34" t="s">
        <v>119</v>
      </c>
      <c r="L137" s="28" t="s">
        <v>119</v>
      </c>
      <c r="M137" s="28" t="s">
        <v>119</v>
      </c>
      <c r="N137" s="1" t="s">
        <v>119</v>
      </c>
      <c r="O137" s="28" t="s">
        <v>119</v>
      </c>
      <c r="P137" s="106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t="s">
        <v>119</v>
      </c>
      <c r="W137" s="11" t="s">
        <v>119</v>
      </c>
      <c r="X137" s="11" t="s">
        <v>134</v>
      </c>
    </row>
    <row r="138" spans="1:24" x14ac:dyDescent="0.3">
      <c r="A138" s="14" t="s">
        <v>377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 t="s">
        <v>119</v>
      </c>
      <c r="I138" s="34" t="s">
        <v>119</v>
      </c>
      <c r="J138" s="34" t="s">
        <v>119</v>
      </c>
      <c r="K138" s="34" t="s">
        <v>119</v>
      </c>
      <c r="L138" s="28" t="s">
        <v>119</v>
      </c>
      <c r="M138" s="28">
        <v>2</v>
      </c>
      <c r="N138" s="1" t="s">
        <v>119</v>
      </c>
      <c r="O138" s="28" t="s">
        <v>119</v>
      </c>
      <c r="P138" s="106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t="s">
        <v>119</v>
      </c>
      <c r="W138" s="11" t="s">
        <v>134</v>
      </c>
      <c r="X138" s="11" t="s">
        <v>119</v>
      </c>
    </row>
    <row r="139" spans="1:24" x14ac:dyDescent="0.3">
      <c r="A139" s="14" t="s">
        <v>1102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134</v>
      </c>
      <c r="L139" s="28" t="s">
        <v>119</v>
      </c>
      <c r="M139" s="28" t="s">
        <v>119</v>
      </c>
      <c r="N139" s="1" t="s">
        <v>119</v>
      </c>
      <c r="O139" s="28" t="s">
        <v>119</v>
      </c>
      <c r="P139" s="106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t="s">
        <v>119</v>
      </c>
      <c r="W139" s="11" t="s">
        <v>119</v>
      </c>
      <c r="X139" s="11" t="s">
        <v>134</v>
      </c>
    </row>
    <row r="140" spans="1:24" x14ac:dyDescent="0.3">
      <c r="A140" s="10" t="s">
        <v>676</v>
      </c>
      <c r="B140" s="55" t="s">
        <v>119</v>
      </c>
      <c r="C140" s="7" t="s">
        <v>119</v>
      </c>
      <c r="D140" s="7" t="s">
        <v>119</v>
      </c>
      <c r="E140" s="7" t="s">
        <v>119</v>
      </c>
      <c r="F140" s="37" t="s">
        <v>119</v>
      </c>
      <c r="G140" s="29" t="s">
        <v>119</v>
      </c>
      <c r="H140" s="30">
        <v>1</v>
      </c>
      <c r="I140" s="30" t="s">
        <v>119</v>
      </c>
      <c r="J140" s="30" t="s">
        <v>119</v>
      </c>
      <c r="K140" s="30" t="s">
        <v>119</v>
      </c>
      <c r="L140" s="29" t="s">
        <v>119</v>
      </c>
      <c r="M140" s="29" t="s">
        <v>119</v>
      </c>
      <c r="N140" s="10" t="s">
        <v>119</v>
      </c>
      <c r="O140" s="28" t="s">
        <v>119</v>
      </c>
      <c r="P140" s="106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t="s">
        <v>119</v>
      </c>
      <c r="W140" s="11" t="s">
        <v>119</v>
      </c>
      <c r="X140" s="11" t="s">
        <v>119</v>
      </c>
    </row>
    <row r="141" spans="1:24" x14ac:dyDescent="0.3">
      <c r="A141" s="14" t="s">
        <v>378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 t="s">
        <v>134</v>
      </c>
      <c r="N141" s="1" t="s">
        <v>119</v>
      </c>
      <c r="O141" s="28" t="s">
        <v>119</v>
      </c>
      <c r="P141" s="106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t="s">
        <v>119</v>
      </c>
      <c r="W141" s="11" t="s">
        <v>134</v>
      </c>
      <c r="X141" s="11" t="s">
        <v>134</v>
      </c>
    </row>
    <row r="142" spans="1:24" x14ac:dyDescent="0.3">
      <c r="A142" s="25" t="s">
        <v>1223</v>
      </c>
      <c r="B142" s="56" t="s">
        <v>119</v>
      </c>
      <c r="C142" s="20" t="s">
        <v>119</v>
      </c>
      <c r="D142" s="20" t="s">
        <v>119</v>
      </c>
      <c r="E142" s="20" t="s">
        <v>119</v>
      </c>
      <c r="F142" s="37" t="s">
        <v>119</v>
      </c>
      <c r="G142" s="37" t="s">
        <v>119</v>
      </c>
      <c r="H142" s="57">
        <v>1</v>
      </c>
      <c r="I142" s="45" t="s">
        <v>119</v>
      </c>
      <c r="J142" s="45" t="s">
        <v>119</v>
      </c>
      <c r="K142" s="34" t="s">
        <v>119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106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t="s">
        <v>134</v>
      </c>
      <c r="W142" s="11" t="s">
        <v>119</v>
      </c>
      <c r="X142" s="11" t="s">
        <v>119</v>
      </c>
    </row>
    <row r="143" spans="1:24" s="11" customFormat="1" x14ac:dyDescent="0.3">
      <c r="A143" s="14" t="s">
        <v>379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31" t="s">
        <v>119</v>
      </c>
      <c r="M143" s="31" t="s">
        <v>134</v>
      </c>
      <c r="N143" s="14" t="s">
        <v>119</v>
      </c>
      <c r="O143" s="28" t="s">
        <v>119</v>
      </c>
      <c r="P143" s="106" t="s">
        <v>119</v>
      </c>
      <c r="Q143" s="106" t="s">
        <v>119</v>
      </c>
      <c r="R143" s="106" t="s">
        <v>119</v>
      </c>
      <c r="S143" s="106" t="s">
        <v>119</v>
      </c>
      <c r="T143" s="106" t="s">
        <v>119</v>
      </c>
      <c r="U143" s="106" t="s">
        <v>119</v>
      </c>
      <c r="V143" t="s">
        <v>119</v>
      </c>
      <c r="W143" s="11" t="s">
        <v>134</v>
      </c>
      <c r="X143" s="11" t="s">
        <v>119</v>
      </c>
    </row>
    <row r="144" spans="1:24" s="11" customFormat="1" x14ac:dyDescent="0.3">
      <c r="A144" s="14" t="s">
        <v>380</v>
      </c>
      <c r="B144" s="47" t="s">
        <v>119</v>
      </c>
      <c r="C144" s="12" t="s">
        <v>119</v>
      </c>
      <c r="D144" s="12" t="s">
        <v>119</v>
      </c>
      <c r="E144" s="12" t="s">
        <v>119</v>
      </c>
      <c r="F144" s="37" t="s">
        <v>119</v>
      </c>
      <c r="G144" s="37" t="s">
        <v>119</v>
      </c>
      <c r="H144" s="34" t="s">
        <v>119</v>
      </c>
      <c r="I144" s="34" t="s">
        <v>119</v>
      </c>
      <c r="J144" s="34" t="s">
        <v>119</v>
      </c>
      <c r="K144" s="34" t="s">
        <v>119</v>
      </c>
      <c r="L144" s="31" t="s">
        <v>119</v>
      </c>
      <c r="M144" s="31" t="s">
        <v>134</v>
      </c>
      <c r="N144" s="14" t="s">
        <v>119</v>
      </c>
      <c r="O144" s="28" t="s">
        <v>119</v>
      </c>
      <c r="P144" s="106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t="s">
        <v>119</v>
      </c>
      <c r="W144" s="11" t="s">
        <v>134</v>
      </c>
      <c r="X144" s="11" t="s">
        <v>119</v>
      </c>
    </row>
    <row r="145" spans="1:24" x14ac:dyDescent="0.3">
      <c r="A145" s="14" t="s">
        <v>272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>
        <v>2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119</v>
      </c>
      <c r="N145" s="1" t="s">
        <v>119</v>
      </c>
      <c r="O145" s="28" t="s">
        <v>119</v>
      </c>
      <c r="P145" s="106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t="s">
        <v>119</v>
      </c>
      <c r="W145" s="11" t="s">
        <v>134</v>
      </c>
      <c r="X145" s="11" t="s">
        <v>134</v>
      </c>
    </row>
    <row r="146" spans="1:24" x14ac:dyDescent="0.3">
      <c r="A146" s="14" t="s">
        <v>710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>
        <v>6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106" t="s">
        <v>119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t="s">
        <v>119</v>
      </c>
      <c r="W146" s="11" t="s">
        <v>134</v>
      </c>
      <c r="X146" s="11" t="s">
        <v>134</v>
      </c>
    </row>
    <row r="147" spans="1:24" x14ac:dyDescent="0.3">
      <c r="A147" s="14" t="s">
        <v>381</v>
      </c>
      <c r="B147" s="47" t="s">
        <v>119</v>
      </c>
      <c r="C147" s="12" t="s">
        <v>119</v>
      </c>
      <c r="D147" s="12" t="s">
        <v>119</v>
      </c>
      <c r="E147" s="12" t="s">
        <v>119</v>
      </c>
      <c r="F147" s="37" t="s">
        <v>119</v>
      </c>
      <c r="G147" s="37" t="s">
        <v>119</v>
      </c>
      <c r="H147" s="34" t="s">
        <v>119</v>
      </c>
      <c r="I147" s="34" t="s">
        <v>119</v>
      </c>
      <c r="J147" s="34" t="s">
        <v>119</v>
      </c>
      <c r="K147" s="34" t="s">
        <v>119</v>
      </c>
      <c r="L147" s="28" t="s">
        <v>119</v>
      </c>
      <c r="M147" s="28">
        <v>1</v>
      </c>
      <c r="N147" s="1" t="s">
        <v>119</v>
      </c>
      <c r="O147" s="28" t="s">
        <v>119</v>
      </c>
      <c r="P147" s="106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t="s">
        <v>119</v>
      </c>
      <c r="W147" s="11" t="s">
        <v>134</v>
      </c>
      <c r="X147" s="11" t="s">
        <v>119</v>
      </c>
    </row>
    <row r="148" spans="1:24" x14ac:dyDescent="0.3">
      <c r="A148" s="14" t="s">
        <v>1142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28" t="s">
        <v>119</v>
      </c>
      <c r="M148" s="28" t="s">
        <v>119</v>
      </c>
      <c r="N148" s="1" t="s">
        <v>119</v>
      </c>
      <c r="O148" s="28" t="s">
        <v>134</v>
      </c>
      <c r="P148" s="106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t="s">
        <v>134</v>
      </c>
      <c r="W148" s="11" t="s">
        <v>119</v>
      </c>
      <c r="X148" s="11" t="s">
        <v>119</v>
      </c>
    </row>
    <row r="149" spans="1:24" x14ac:dyDescent="0.3">
      <c r="A149" s="14" t="s">
        <v>382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28" t="s">
        <v>119</v>
      </c>
      <c r="M149" s="28" t="s">
        <v>134</v>
      </c>
      <c r="N149" s="1" t="s">
        <v>119</v>
      </c>
      <c r="O149" s="28" t="s">
        <v>119</v>
      </c>
      <c r="P149" s="106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t="s">
        <v>119</v>
      </c>
      <c r="W149" s="11" t="s">
        <v>134</v>
      </c>
      <c r="X149" s="11" t="s">
        <v>134</v>
      </c>
    </row>
    <row r="150" spans="1:24" x14ac:dyDescent="0.3">
      <c r="A150" s="14" t="s">
        <v>1162</v>
      </c>
      <c r="B150" s="47" t="s">
        <v>119</v>
      </c>
      <c r="C150" s="47" t="s">
        <v>119</v>
      </c>
      <c r="D150" s="47" t="s">
        <v>119</v>
      </c>
      <c r="E150" s="47" t="s">
        <v>119</v>
      </c>
      <c r="F150" s="47" t="s">
        <v>119</v>
      </c>
      <c r="G150" s="47" t="s">
        <v>119</v>
      </c>
      <c r="H150" s="47" t="s">
        <v>119</v>
      </c>
      <c r="I150" s="47" t="s">
        <v>119</v>
      </c>
      <c r="J150" s="34" t="s">
        <v>134</v>
      </c>
      <c r="K150" s="34" t="s">
        <v>119</v>
      </c>
      <c r="L150" s="34" t="s">
        <v>119</v>
      </c>
      <c r="M150" s="34" t="s">
        <v>119</v>
      </c>
      <c r="N150" s="34" t="s">
        <v>119</v>
      </c>
      <c r="O150" s="34" t="s">
        <v>119</v>
      </c>
      <c r="P150" s="106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t="s">
        <v>134</v>
      </c>
      <c r="W150" s="11" t="s">
        <v>119</v>
      </c>
      <c r="X150" s="11" t="s">
        <v>119</v>
      </c>
    </row>
    <row r="151" spans="1:24" x14ac:dyDescent="0.3">
      <c r="A151" s="14" t="s">
        <v>383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 t="s">
        <v>119</v>
      </c>
      <c r="J151" s="34">
        <v>2</v>
      </c>
      <c r="K151" s="34" t="s">
        <v>119</v>
      </c>
      <c r="L151" s="28" t="s">
        <v>119</v>
      </c>
      <c r="M151" s="28">
        <v>2</v>
      </c>
      <c r="N151" s="1" t="s">
        <v>119</v>
      </c>
      <c r="O151" s="28" t="s">
        <v>119</v>
      </c>
      <c r="P151" s="106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t="s">
        <v>119</v>
      </c>
      <c r="W151" s="11" t="s">
        <v>134</v>
      </c>
      <c r="X151" s="11" t="s">
        <v>134</v>
      </c>
    </row>
    <row r="152" spans="1:24" s="74" customFormat="1" x14ac:dyDescent="0.3">
      <c r="A152" s="25" t="s">
        <v>1237</v>
      </c>
      <c r="B152" s="56" t="s">
        <v>119</v>
      </c>
      <c r="C152" s="20" t="s">
        <v>119</v>
      </c>
      <c r="D152" s="20" t="s">
        <v>119</v>
      </c>
      <c r="E152" s="20" t="s">
        <v>119</v>
      </c>
      <c r="F152" s="37" t="s">
        <v>119</v>
      </c>
      <c r="G152" s="33">
        <v>1</v>
      </c>
      <c r="H152" s="45" t="s">
        <v>119</v>
      </c>
      <c r="I152" s="45" t="s">
        <v>119</v>
      </c>
      <c r="J152" s="45" t="s">
        <v>119</v>
      </c>
      <c r="K152" s="45" t="s">
        <v>119</v>
      </c>
      <c r="L152" s="32" t="s">
        <v>119</v>
      </c>
      <c r="M152" s="32" t="s">
        <v>119</v>
      </c>
      <c r="N152" s="25" t="s">
        <v>119</v>
      </c>
      <c r="O152" s="28" t="s">
        <v>119</v>
      </c>
      <c r="P152" s="106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t="s">
        <v>134</v>
      </c>
      <c r="W152" s="11" t="s">
        <v>119</v>
      </c>
      <c r="X152" s="11" t="s">
        <v>119</v>
      </c>
    </row>
    <row r="153" spans="1:24" s="74" customFormat="1" x14ac:dyDescent="0.3">
      <c r="A153" s="25" t="s">
        <v>1238</v>
      </c>
      <c r="B153" s="56" t="s">
        <v>119</v>
      </c>
      <c r="C153" s="20" t="s">
        <v>119</v>
      </c>
      <c r="D153" s="20" t="s">
        <v>119</v>
      </c>
      <c r="E153" s="20" t="s">
        <v>119</v>
      </c>
      <c r="F153" s="37" t="s">
        <v>119</v>
      </c>
      <c r="G153" s="37" t="s">
        <v>119</v>
      </c>
      <c r="H153" s="45" t="s">
        <v>119</v>
      </c>
      <c r="I153" s="45" t="s">
        <v>119</v>
      </c>
      <c r="J153" s="45" t="s">
        <v>119</v>
      </c>
      <c r="K153" s="45" t="s">
        <v>119</v>
      </c>
      <c r="L153" s="32" t="s">
        <v>119</v>
      </c>
      <c r="M153" s="33" t="s">
        <v>134</v>
      </c>
      <c r="N153" s="25" t="s">
        <v>119</v>
      </c>
      <c r="O153" s="28" t="s">
        <v>119</v>
      </c>
      <c r="P153" s="106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t="s">
        <v>134</v>
      </c>
      <c r="W153" s="11" t="s">
        <v>119</v>
      </c>
      <c r="X153" s="11" t="s">
        <v>119</v>
      </c>
    </row>
    <row r="154" spans="1:24" s="11" customFormat="1" x14ac:dyDescent="0.3">
      <c r="A154" s="14" t="s">
        <v>1163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1" t="s">
        <v>119</v>
      </c>
      <c r="G154" s="31" t="s">
        <v>119</v>
      </c>
      <c r="H154" s="34" t="s">
        <v>119</v>
      </c>
      <c r="I154" s="34" t="s">
        <v>119</v>
      </c>
      <c r="J154" s="34">
        <v>1</v>
      </c>
      <c r="K154" s="34" t="s">
        <v>119</v>
      </c>
      <c r="L154" s="31" t="s">
        <v>119</v>
      </c>
      <c r="M154" s="120" t="s">
        <v>119</v>
      </c>
      <c r="N154" s="14" t="s">
        <v>119</v>
      </c>
      <c r="O154" s="28" t="s">
        <v>119</v>
      </c>
      <c r="P154" s="108" t="s">
        <v>119</v>
      </c>
      <c r="Q154" s="108" t="s">
        <v>119</v>
      </c>
      <c r="R154" s="108" t="s">
        <v>119</v>
      </c>
      <c r="S154" s="108" t="s">
        <v>119</v>
      </c>
      <c r="T154" s="108" t="s">
        <v>119</v>
      </c>
      <c r="U154" s="108" t="s">
        <v>119</v>
      </c>
      <c r="V154" t="s">
        <v>134</v>
      </c>
      <c r="W154" s="11" t="s">
        <v>119</v>
      </c>
      <c r="X154" s="11" t="s">
        <v>119</v>
      </c>
    </row>
    <row r="155" spans="1:24" s="74" customFormat="1" x14ac:dyDescent="0.3">
      <c r="A155" s="14" t="s">
        <v>711</v>
      </c>
      <c r="B155" s="47" t="s">
        <v>119</v>
      </c>
      <c r="C155" s="12" t="s">
        <v>119</v>
      </c>
      <c r="D155" s="12" t="s">
        <v>119</v>
      </c>
      <c r="E155" s="12" t="s">
        <v>119</v>
      </c>
      <c r="F155" s="37" t="s">
        <v>119</v>
      </c>
      <c r="G155" s="31" t="s">
        <v>119</v>
      </c>
      <c r="H155" s="34" t="s">
        <v>119</v>
      </c>
      <c r="I155" s="34">
        <v>3</v>
      </c>
      <c r="J155" s="34" t="s">
        <v>119</v>
      </c>
      <c r="K155" s="34" t="s">
        <v>119</v>
      </c>
      <c r="L155" s="31" t="s">
        <v>119</v>
      </c>
      <c r="M155" s="31" t="s">
        <v>119</v>
      </c>
      <c r="N155" s="14" t="s">
        <v>119</v>
      </c>
      <c r="O155" s="28" t="s">
        <v>119</v>
      </c>
      <c r="P155" s="106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t="s">
        <v>119</v>
      </c>
      <c r="W155" s="11" t="s">
        <v>134</v>
      </c>
      <c r="X155" s="11" t="s">
        <v>134</v>
      </c>
    </row>
    <row r="156" spans="1:24" s="74" customFormat="1" x14ac:dyDescent="0.3">
      <c r="A156" s="25" t="s">
        <v>1239</v>
      </c>
      <c r="B156" s="56" t="s">
        <v>119</v>
      </c>
      <c r="C156" s="20" t="s">
        <v>119</v>
      </c>
      <c r="D156" s="20" t="s">
        <v>119</v>
      </c>
      <c r="E156" s="20" t="s">
        <v>119</v>
      </c>
      <c r="F156" s="37" t="s">
        <v>119</v>
      </c>
      <c r="G156" s="37" t="s">
        <v>119</v>
      </c>
      <c r="H156" s="45" t="s">
        <v>119</v>
      </c>
      <c r="I156" s="57">
        <v>2</v>
      </c>
      <c r="J156" s="45" t="s">
        <v>119</v>
      </c>
      <c r="K156" s="45" t="s">
        <v>119</v>
      </c>
      <c r="L156" s="32" t="s">
        <v>119</v>
      </c>
      <c r="M156" s="32" t="s">
        <v>119</v>
      </c>
      <c r="N156" s="25" t="s">
        <v>119</v>
      </c>
      <c r="O156" s="28" t="s">
        <v>119</v>
      </c>
      <c r="P156" s="106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t="s">
        <v>134</v>
      </c>
      <c r="W156" s="11" t="s">
        <v>119</v>
      </c>
      <c r="X156" s="11" t="s">
        <v>119</v>
      </c>
    </row>
    <row r="157" spans="1:24" s="74" customFormat="1" x14ac:dyDescent="0.3">
      <c r="A157" s="25" t="s">
        <v>1240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7" t="s">
        <v>119</v>
      </c>
      <c r="H157" s="45" t="s">
        <v>119</v>
      </c>
      <c r="I157" s="57">
        <v>3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106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t="s">
        <v>134</v>
      </c>
      <c r="W157" s="11" t="s">
        <v>119</v>
      </c>
      <c r="X157" s="11" t="s">
        <v>119</v>
      </c>
    </row>
    <row r="158" spans="1:24" x14ac:dyDescent="0.3">
      <c r="A158" s="10" t="s">
        <v>263</v>
      </c>
      <c r="B158" s="55" t="s">
        <v>119</v>
      </c>
      <c r="C158" s="7" t="s">
        <v>119</v>
      </c>
      <c r="D158" s="7" t="s">
        <v>119</v>
      </c>
      <c r="E158" s="7" t="s">
        <v>119</v>
      </c>
      <c r="F158" s="37" t="s">
        <v>119</v>
      </c>
      <c r="G158" s="37" t="s">
        <v>119</v>
      </c>
      <c r="H158" s="30" t="s">
        <v>119</v>
      </c>
      <c r="I158" s="30" t="s">
        <v>119</v>
      </c>
      <c r="J158" s="30">
        <v>8</v>
      </c>
      <c r="K158" s="28" t="s">
        <v>119</v>
      </c>
      <c r="L158" s="28" t="s">
        <v>119</v>
      </c>
      <c r="M158" s="28" t="s">
        <v>119</v>
      </c>
      <c r="N158" s="1" t="s">
        <v>119</v>
      </c>
      <c r="O158" s="28">
        <v>1</v>
      </c>
      <c r="P158" s="106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t="s">
        <v>119</v>
      </c>
      <c r="W158" s="11" t="s">
        <v>119</v>
      </c>
      <c r="X158" s="11" t="s">
        <v>119</v>
      </c>
    </row>
    <row r="159" spans="1:24" s="11" customFormat="1" x14ac:dyDescent="0.3">
      <c r="A159" s="14" t="s">
        <v>384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7" t="s">
        <v>119</v>
      </c>
      <c r="G159" s="37" t="s">
        <v>119</v>
      </c>
      <c r="H159" s="34" t="s">
        <v>119</v>
      </c>
      <c r="I159" s="34" t="s">
        <v>119</v>
      </c>
      <c r="J159" s="34" t="s">
        <v>119</v>
      </c>
      <c r="K159" s="31" t="s">
        <v>119</v>
      </c>
      <c r="L159" s="31" t="s">
        <v>119</v>
      </c>
      <c r="M159" s="31" t="s">
        <v>134</v>
      </c>
      <c r="N159" s="14" t="s">
        <v>119</v>
      </c>
      <c r="O159" s="28" t="s">
        <v>119</v>
      </c>
      <c r="P159" s="106" t="s">
        <v>119</v>
      </c>
      <c r="Q159" s="106" t="s">
        <v>119</v>
      </c>
      <c r="R159" s="106" t="s">
        <v>119</v>
      </c>
      <c r="S159" s="106" t="s">
        <v>119</v>
      </c>
      <c r="T159" s="106" t="s">
        <v>119</v>
      </c>
      <c r="U159" s="106" t="s">
        <v>119</v>
      </c>
      <c r="V159" t="s">
        <v>119</v>
      </c>
      <c r="W159" s="11" t="s">
        <v>134</v>
      </c>
      <c r="X159" s="11" t="s">
        <v>134</v>
      </c>
    </row>
    <row r="160" spans="1:24" x14ac:dyDescent="0.3">
      <c r="A160" s="14" t="s">
        <v>1164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7" t="s">
        <v>119</v>
      </c>
      <c r="H160" s="34" t="s">
        <v>119</v>
      </c>
      <c r="I160" s="34" t="s">
        <v>119</v>
      </c>
      <c r="J160" s="34">
        <v>4</v>
      </c>
      <c r="K160" s="30" t="s">
        <v>119</v>
      </c>
      <c r="L160" s="28" t="s">
        <v>119</v>
      </c>
      <c r="M160" s="28" t="s">
        <v>119</v>
      </c>
      <c r="N160" s="1" t="s">
        <v>119</v>
      </c>
      <c r="O160" s="28" t="s">
        <v>119</v>
      </c>
      <c r="P160" s="106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t="s">
        <v>134</v>
      </c>
      <c r="W160" s="11" t="s">
        <v>119</v>
      </c>
      <c r="X160" s="11" t="s">
        <v>119</v>
      </c>
    </row>
    <row r="161" spans="1:24" x14ac:dyDescent="0.3">
      <c r="A161" s="14" t="s">
        <v>259</v>
      </c>
      <c r="B161" s="47" t="s">
        <v>119</v>
      </c>
      <c r="C161" s="12" t="s">
        <v>119</v>
      </c>
      <c r="D161" s="12" t="s">
        <v>119</v>
      </c>
      <c r="E161" s="12" t="s">
        <v>119</v>
      </c>
      <c r="F161" s="37" t="s">
        <v>119</v>
      </c>
      <c r="G161" s="37" t="s">
        <v>119</v>
      </c>
      <c r="H161" s="34" t="s">
        <v>119</v>
      </c>
      <c r="I161" s="34" t="s">
        <v>119</v>
      </c>
      <c r="J161" s="34" t="s">
        <v>119</v>
      </c>
      <c r="K161" s="34">
        <v>16</v>
      </c>
      <c r="L161" s="28">
        <v>2</v>
      </c>
      <c r="M161" s="28" t="s">
        <v>119</v>
      </c>
      <c r="N161" s="15" t="s">
        <v>119</v>
      </c>
      <c r="O161" s="28" t="s">
        <v>119</v>
      </c>
      <c r="P161" s="106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t="s">
        <v>119</v>
      </c>
      <c r="W161" s="11" t="s">
        <v>119</v>
      </c>
      <c r="X161" s="11" t="s">
        <v>134</v>
      </c>
    </row>
    <row r="162" spans="1:24" x14ac:dyDescent="0.3">
      <c r="A162" s="14" t="s">
        <v>385</v>
      </c>
      <c r="B162" s="47" t="s">
        <v>119</v>
      </c>
      <c r="C162" s="12" t="s">
        <v>119</v>
      </c>
      <c r="D162" s="12" t="s">
        <v>119</v>
      </c>
      <c r="E162" s="12" t="s">
        <v>119</v>
      </c>
      <c r="F162" s="37" t="s">
        <v>119</v>
      </c>
      <c r="G162" s="37" t="s">
        <v>119</v>
      </c>
      <c r="H162" s="34" t="s">
        <v>119</v>
      </c>
      <c r="I162" s="34" t="s">
        <v>119</v>
      </c>
      <c r="J162" s="34" t="s">
        <v>119</v>
      </c>
      <c r="K162" s="34" t="s">
        <v>119</v>
      </c>
      <c r="L162" s="28" t="s">
        <v>119</v>
      </c>
      <c r="M162" s="28" t="s">
        <v>134</v>
      </c>
      <c r="N162" s="1" t="s">
        <v>119</v>
      </c>
      <c r="O162" s="28" t="s">
        <v>119</v>
      </c>
      <c r="P162" s="106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t="s">
        <v>119</v>
      </c>
      <c r="W162" s="11" t="s">
        <v>134</v>
      </c>
      <c r="X162" s="11" t="s">
        <v>119</v>
      </c>
    </row>
    <row r="163" spans="1:24" x14ac:dyDescent="0.3">
      <c r="A163" s="10" t="s">
        <v>386</v>
      </c>
      <c r="B163" s="47" t="s">
        <v>119</v>
      </c>
      <c r="C163" s="12" t="s">
        <v>119</v>
      </c>
      <c r="D163" s="12" t="s">
        <v>119</v>
      </c>
      <c r="E163" s="12" t="s">
        <v>119</v>
      </c>
      <c r="F163" s="37" t="s">
        <v>119</v>
      </c>
      <c r="G163" s="37" t="s">
        <v>119</v>
      </c>
      <c r="H163" s="34" t="s">
        <v>119</v>
      </c>
      <c r="I163" s="34" t="s">
        <v>119</v>
      </c>
      <c r="J163" s="34" t="s">
        <v>119</v>
      </c>
      <c r="K163" s="34" t="s">
        <v>119</v>
      </c>
      <c r="L163" s="28" t="s">
        <v>119</v>
      </c>
      <c r="M163" s="28">
        <v>7</v>
      </c>
      <c r="N163" s="1" t="s">
        <v>119</v>
      </c>
      <c r="O163" s="28" t="s">
        <v>119</v>
      </c>
      <c r="P163" s="106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t="s">
        <v>119</v>
      </c>
      <c r="W163" s="11" t="s">
        <v>119</v>
      </c>
      <c r="X163" s="11" t="s">
        <v>119</v>
      </c>
    </row>
    <row r="164" spans="1:24" s="74" customFormat="1" x14ac:dyDescent="0.3">
      <c r="A164" s="25" t="s">
        <v>1241</v>
      </c>
      <c r="B164" s="56" t="s">
        <v>119</v>
      </c>
      <c r="C164" s="20" t="s">
        <v>119</v>
      </c>
      <c r="D164" s="20" t="s">
        <v>119</v>
      </c>
      <c r="E164" s="20" t="s">
        <v>119</v>
      </c>
      <c r="F164" s="37" t="s">
        <v>119</v>
      </c>
      <c r="G164" s="32" t="s">
        <v>119</v>
      </c>
      <c r="H164" s="45" t="s">
        <v>119</v>
      </c>
      <c r="I164" s="57">
        <f>1+4+1+7+1+1+6+1+8</f>
        <v>30</v>
      </c>
      <c r="J164" s="45" t="s">
        <v>119</v>
      </c>
      <c r="K164" s="45" t="s">
        <v>119</v>
      </c>
      <c r="L164" s="32" t="s">
        <v>119</v>
      </c>
      <c r="M164" s="32" t="s">
        <v>119</v>
      </c>
      <c r="N164" s="25" t="s">
        <v>119</v>
      </c>
      <c r="O164" s="28" t="s">
        <v>119</v>
      </c>
      <c r="P164" s="106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t="s">
        <v>134</v>
      </c>
      <c r="W164" s="11" t="s">
        <v>119</v>
      </c>
      <c r="X164" s="11" t="s">
        <v>119</v>
      </c>
    </row>
    <row r="165" spans="1:24" s="74" customFormat="1" x14ac:dyDescent="0.3">
      <c r="A165" s="25" t="s">
        <v>1242</v>
      </c>
      <c r="B165" s="56" t="s">
        <v>119</v>
      </c>
      <c r="C165" s="20" t="s">
        <v>119</v>
      </c>
      <c r="D165" s="20" t="s">
        <v>119</v>
      </c>
      <c r="E165" s="20" t="s">
        <v>119</v>
      </c>
      <c r="F165" s="37" t="s">
        <v>119</v>
      </c>
      <c r="G165" s="32" t="s">
        <v>119</v>
      </c>
      <c r="H165" s="45" t="s">
        <v>119</v>
      </c>
      <c r="I165" s="57">
        <v>5</v>
      </c>
      <c r="J165" s="45" t="s">
        <v>119</v>
      </c>
      <c r="K165" s="45" t="s">
        <v>119</v>
      </c>
      <c r="L165" s="32" t="s">
        <v>119</v>
      </c>
      <c r="M165" s="32" t="s">
        <v>119</v>
      </c>
      <c r="N165" s="25" t="s">
        <v>119</v>
      </c>
      <c r="O165" s="28" t="s">
        <v>119</v>
      </c>
      <c r="P165" s="106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t="s">
        <v>134</v>
      </c>
      <c r="W165" s="11" t="s">
        <v>119</v>
      </c>
      <c r="X165" s="11" t="s">
        <v>119</v>
      </c>
    </row>
    <row r="166" spans="1:24" s="74" customFormat="1" x14ac:dyDescent="0.3">
      <c r="A166" s="25" t="s">
        <v>1243</v>
      </c>
      <c r="B166" s="56" t="s">
        <v>119</v>
      </c>
      <c r="C166" s="20" t="s">
        <v>119</v>
      </c>
      <c r="D166" s="20" t="s">
        <v>119</v>
      </c>
      <c r="E166" s="20" t="s">
        <v>119</v>
      </c>
      <c r="F166" s="37" t="s">
        <v>119</v>
      </c>
      <c r="G166" s="37" t="s">
        <v>119</v>
      </c>
      <c r="H166" s="45" t="s">
        <v>119</v>
      </c>
      <c r="I166" s="45" t="s">
        <v>119</v>
      </c>
      <c r="J166" s="45" t="s">
        <v>119</v>
      </c>
      <c r="K166" s="45" t="s">
        <v>119</v>
      </c>
      <c r="L166" s="32" t="s">
        <v>119</v>
      </c>
      <c r="M166" s="33">
        <v>28</v>
      </c>
      <c r="N166" s="25" t="s">
        <v>119</v>
      </c>
      <c r="O166" s="28" t="s">
        <v>119</v>
      </c>
      <c r="P166" s="106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t="s">
        <v>134</v>
      </c>
      <c r="W166" s="11" t="s">
        <v>119</v>
      </c>
      <c r="X166" s="11" t="s">
        <v>119</v>
      </c>
    </row>
    <row r="167" spans="1:24" s="74" customFormat="1" x14ac:dyDescent="0.3">
      <c r="A167" s="25" t="s">
        <v>1244</v>
      </c>
      <c r="B167" s="56" t="s">
        <v>119</v>
      </c>
      <c r="C167" s="20" t="s">
        <v>119</v>
      </c>
      <c r="D167" s="20" t="s">
        <v>119</v>
      </c>
      <c r="E167" s="20" t="s">
        <v>119</v>
      </c>
      <c r="F167" s="37" t="s">
        <v>119</v>
      </c>
      <c r="G167" s="37" t="s">
        <v>119</v>
      </c>
      <c r="H167" s="45" t="s">
        <v>119</v>
      </c>
      <c r="I167" s="45" t="s">
        <v>119</v>
      </c>
      <c r="J167" s="45" t="s">
        <v>119</v>
      </c>
      <c r="K167" s="45" t="s">
        <v>119</v>
      </c>
      <c r="L167" s="32" t="s">
        <v>119</v>
      </c>
      <c r="M167" s="33" t="s">
        <v>134</v>
      </c>
      <c r="N167" s="25" t="s">
        <v>119</v>
      </c>
      <c r="O167" s="28" t="s">
        <v>119</v>
      </c>
      <c r="P167" s="106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t="s">
        <v>134</v>
      </c>
      <c r="W167" s="11" t="s">
        <v>119</v>
      </c>
      <c r="X167" s="11" t="s">
        <v>119</v>
      </c>
    </row>
    <row r="168" spans="1:24" s="51" customFormat="1" x14ac:dyDescent="0.3">
      <c r="A168" s="41" t="s">
        <v>273</v>
      </c>
      <c r="B168" s="52"/>
      <c r="C168" s="53"/>
      <c r="D168" s="53"/>
      <c r="E168" s="53"/>
      <c r="F168" s="92"/>
      <c r="G168" s="92"/>
      <c r="H168" s="54"/>
      <c r="I168" s="54"/>
      <c r="J168" s="54"/>
      <c r="K168" s="50"/>
      <c r="L168" s="50"/>
      <c r="M168" s="50"/>
      <c r="N168" s="49"/>
      <c r="O168" s="50"/>
      <c r="P168" s="105"/>
      <c r="Q168" s="105"/>
      <c r="R168" s="105"/>
      <c r="S168" s="105"/>
      <c r="T168" s="105"/>
      <c r="U168" s="105"/>
      <c r="V168" t="s">
        <v>119</v>
      </c>
      <c r="W168" s="11" t="str">
        <f t="shared" ref="W168:W192" si="2">IF(SUM(P168:U168)&gt;=1,"X","")</f>
        <v/>
      </c>
      <c r="X168" s="84"/>
    </row>
    <row r="169" spans="1:24" x14ac:dyDescent="0.3">
      <c r="A169" s="1" t="s">
        <v>175</v>
      </c>
      <c r="B169" s="17" t="s">
        <v>119</v>
      </c>
      <c r="C169" s="1" t="s">
        <v>119</v>
      </c>
      <c r="D169" s="1" t="s">
        <v>119</v>
      </c>
      <c r="E169" s="1" t="s">
        <v>119</v>
      </c>
      <c r="F169" s="37" t="s">
        <v>119</v>
      </c>
      <c r="G169" s="37" t="s">
        <v>119</v>
      </c>
      <c r="H169" s="28">
        <v>1</v>
      </c>
      <c r="I169" s="28">
        <v>1</v>
      </c>
      <c r="J169" s="28" t="s">
        <v>119</v>
      </c>
      <c r="K169" s="28" t="s">
        <v>119</v>
      </c>
      <c r="L169" s="28" t="s">
        <v>119</v>
      </c>
      <c r="M169" s="28" t="s">
        <v>119</v>
      </c>
      <c r="N169" s="1" t="s">
        <v>119</v>
      </c>
      <c r="O169" s="28" t="s">
        <v>119</v>
      </c>
      <c r="P169" s="106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t="s">
        <v>119</v>
      </c>
      <c r="W169" s="11" t="s">
        <v>119</v>
      </c>
      <c r="X169" s="11" t="s">
        <v>119</v>
      </c>
    </row>
    <row r="170" spans="1:24" x14ac:dyDescent="0.3">
      <c r="A170" s="1" t="s">
        <v>387</v>
      </c>
      <c r="B170" s="17" t="s">
        <v>119</v>
      </c>
      <c r="C170" s="1" t="s">
        <v>119</v>
      </c>
      <c r="D170" s="1" t="s">
        <v>119</v>
      </c>
      <c r="E170" s="1" t="s">
        <v>119</v>
      </c>
      <c r="F170" s="37" t="s">
        <v>119</v>
      </c>
      <c r="G170" s="37" t="s">
        <v>119</v>
      </c>
      <c r="H170" s="28" t="s">
        <v>119</v>
      </c>
      <c r="I170" s="28" t="s">
        <v>119</v>
      </c>
      <c r="J170" s="28" t="s">
        <v>119</v>
      </c>
      <c r="K170" s="28" t="s">
        <v>119</v>
      </c>
      <c r="L170" s="28" t="s">
        <v>119</v>
      </c>
      <c r="M170" s="28">
        <v>4</v>
      </c>
      <c r="N170" s="1" t="s">
        <v>119</v>
      </c>
      <c r="O170" s="28" t="s">
        <v>119</v>
      </c>
      <c r="P170" s="106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t="s">
        <v>119</v>
      </c>
      <c r="W170" s="11" t="s">
        <v>134</v>
      </c>
      <c r="X170" s="11" t="s">
        <v>119</v>
      </c>
    </row>
    <row r="171" spans="1:24" s="51" customFormat="1" x14ac:dyDescent="0.3">
      <c r="A171" s="42" t="s">
        <v>274</v>
      </c>
      <c r="B171" s="48"/>
      <c r="C171" s="49"/>
      <c r="D171" s="49"/>
      <c r="E171" s="49"/>
      <c r="F171" s="92"/>
      <c r="G171" s="92"/>
      <c r="H171" s="50"/>
      <c r="I171" s="50"/>
      <c r="J171" s="50"/>
      <c r="K171" s="50"/>
      <c r="L171" s="50"/>
      <c r="M171" s="50"/>
      <c r="N171" s="49"/>
      <c r="O171" s="50"/>
      <c r="P171" s="105"/>
      <c r="Q171" s="105"/>
      <c r="R171" s="105"/>
      <c r="S171" s="105"/>
      <c r="T171" s="105"/>
      <c r="U171" s="105"/>
      <c r="V171" t="s">
        <v>119</v>
      </c>
      <c r="W171" s="11" t="str">
        <f t="shared" si="2"/>
        <v/>
      </c>
      <c r="X171" s="84"/>
    </row>
    <row r="172" spans="1:24" s="64" customFormat="1" x14ac:dyDescent="0.3">
      <c r="A172" s="39" t="s">
        <v>388</v>
      </c>
      <c r="B172" s="66" t="s">
        <v>119</v>
      </c>
      <c r="C172" s="4" t="s">
        <v>119</v>
      </c>
      <c r="D172" s="4" t="s">
        <v>119</v>
      </c>
      <c r="E172" s="4" t="s">
        <v>119</v>
      </c>
      <c r="F172" s="37" t="s">
        <v>119</v>
      </c>
      <c r="G172" s="37" t="s">
        <v>119</v>
      </c>
      <c r="H172" s="27" t="s">
        <v>119</v>
      </c>
      <c r="I172" s="27" t="s">
        <v>119</v>
      </c>
      <c r="J172" s="27" t="s">
        <v>119</v>
      </c>
      <c r="K172" s="27" t="s">
        <v>119</v>
      </c>
      <c r="L172" s="27" t="s">
        <v>119</v>
      </c>
      <c r="M172" s="27" t="s">
        <v>134</v>
      </c>
      <c r="N172" s="4" t="s">
        <v>119</v>
      </c>
      <c r="O172" s="4" t="s">
        <v>119</v>
      </c>
      <c r="P172" s="106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t="s">
        <v>119</v>
      </c>
      <c r="W172" s="11" t="s">
        <v>134</v>
      </c>
      <c r="X172" s="88" t="s">
        <v>134</v>
      </c>
    </row>
    <row r="173" spans="1:24" x14ac:dyDescent="0.3">
      <c r="A173" s="1" t="s">
        <v>75</v>
      </c>
      <c r="B173" s="2">
        <v>6</v>
      </c>
      <c r="C173" s="4">
        <v>1</v>
      </c>
      <c r="D173" s="4">
        <v>1</v>
      </c>
      <c r="E173" s="1">
        <v>0</v>
      </c>
      <c r="F173" s="37" t="s">
        <v>119</v>
      </c>
      <c r="G173" s="37" t="s">
        <v>119</v>
      </c>
      <c r="H173" s="28" t="s">
        <v>119</v>
      </c>
      <c r="I173" s="28" t="s">
        <v>119</v>
      </c>
      <c r="J173" s="28" t="s">
        <v>119</v>
      </c>
      <c r="K173" s="28" t="s">
        <v>119</v>
      </c>
      <c r="L173" s="28" t="s">
        <v>119</v>
      </c>
      <c r="M173" s="28" t="s">
        <v>119</v>
      </c>
      <c r="N173" s="1" t="s">
        <v>119</v>
      </c>
      <c r="O173" s="4" t="s">
        <v>119</v>
      </c>
      <c r="P173" s="106" t="s">
        <v>119</v>
      </c>
      <c r="Q173" s="106" t="s">
        <v>119</v>
      </c>
      <c r="R173" s="106" t="s">
        <v>119</v>
      </c>
      <c r="S173" s="106" t="s">
        <v>119</v>
      </c>
      <c r="T173" s="106" t="s">
        <v>119</v>
      </c>
      <c r="U173" s="106" t="s">
        <v>119</v>
      </c>
      <c r="V173" t="s">
        <v>119</v>
      </c>
      <c r="W173" s="11" t="s">
        <v>134</v>
      </c>
      <c r="X173" s="11" t="s">
        <v>134</v>
      </c>
    </row>
    <row r="174" spans="1:24" x14ac:dyDescent="0.3">
      <c r="A174" s="1" t="s">
        <v>121</v>
      </c>
      <c r="B174" s="2" t="s">
        <v>119</v>
      </c>
      <c r="C174" s="4" t="s">
        <v>119</v>
      </c>
      <c r="D174" s="4" t="s">
        <v>119</v>
      </c>
      <c r="E174" s="1" t="s">
        <v>119</v>
      </c>
      <c r="F174" s="37" t="s">
        <v>119</v>
      </c>
      <c r="G174" s="37" t="s">
        <v>119</v>
      </c>
      <c r="H174" s="28">
        <v>3</v>
      </c>
      <c r="I174" s="28" t="s">
        <v>119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4" t="s">
        <v>119</v>
      </c>
      <c r="P174" s="106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t="s">
        <v>119</v>
      </c>
      <c r="W174" s="11" t="s">
        <v>134</v>
      </c>
      <c r="X174" s="11" t="s">
        <v>134</v>
      </c>
    </row>
    <row r="175" spans="1:24" x14ac:dyDescent="0.3">
      <c r="A175" s="4" t="s">
        <v>389</v>
      </c>
      <c r="B175" s="2" t="s">
        <v>119</v>
      </c>
      <c r="C175" s="4" t="s">
        <v>119</v>
      </c>
      <c r="D175" s="4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1</v>
      </c>
      <c r="N175" s="1" t="s">
        <v>119</v>
      </c>
      <c r="O175" s="4" t="s">
        <v>119</v>
      </c>
      <c r="P175" s="106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t="s">
        <v>119</v>
      </c>
      <c r="W175" s="11" t="s">
        <v>134</v>
      </c>
      <c r="X175" s="11" t="s">
        <v>134</v>
      </c>
    </row>
    <row r="176" spans="1:24" x14ac:dyDescent="0.3">
      <c r="A176" s="3" t="s">
        <v>74</v>
      </c>
      <c r="B176" s="2">
        <v>22</v>
      </c>
      <c r="C176" s="4">
        <v>9</v>
      </c>
      <c r="D176" s="4">
        <v>15</v>
      </c>
      <c r="E176" s="1">
        <v>13</v>
      </c>
      <c r="F176" s="37" t="s">
        <v>119</v>
      </c>
      <c r="G176" s="37" t="s">
        <v>119</v>
      </c>
      <c r="H176" s="28" t="s">
        <v>119</v>
      </c>
      <c r="I176" s="28" t="s">
        <v>119</v>
      </c>
      <c r="J176" s="28" t="s">
        <v>119</v>
      </c>
      <c r="K176" s="28" t="s">
        <v>119</v>
      </c>
      <c r="L176" s="28" t="s">
        <v>119</v>
      </c>
      <c r="M176" s="28" t="s">
        <v>119</v>
      </c>
      <c r="N176" s="1" t="s">
        <v>119</v>
      </c>
      <c r="O176" s="4" t="s">
        <v>119</v>
      </c>
      <c r="P176" s="106" t="s">
        <v>119</v>
      </c>
      <c r="Q176" s="106" t="s">
        <v>119</v>
      </c>
      <c r="R176" s="106" t="s">
        <v>119</v>
      </c>
      <c r="S176" s="106" t="s">
        <v>119</v>
      </c>
      <c r="T176" s="106" t="s">
        <v>119</v>
      </c>
      <c r="U176" s="106" t="s">
        <v>119</v>
      </c>
      <c r="V176" t="s">
        <v>119</v>
      </c>
      <c r="W176" s="11" t="s">
        <v>119</v>
      </c>
      <c r="X176" s="11" t="s">
        <v>134</v>
      </c>
    </row>
    <row r="177" spans="1:24" x14ac:dyDescent="0.3">
      <c r="A177" s="75" t="s">
        <v>390</v>
      </c>
      <c r="B177" s="2" t="s">
        <v>119</v>
      </c>
      <c r="C177" s="4" t="s">
        <v>119</v>
      </c>
      <c r="D177" s="4" t="s">
        <v>119</v>
      </c>
      <c r="E177" s="1" t="s">
        <v>119</v>
      </c>
      <c r="F177" s="37" t="s">
        <v>119</v>
      </c>
      <c r="G177" s="37" t="s">
        <v>119</v>
      </c>
      <c r="H177" s="28" t="s">
        <v>119</v>
      </c>
      <c r="I177" s="28" t="s">
        <v>119</v>
      </c>
      <c r="J177" s="28" t="s">
        <v>119</v>
      </c>
      <c r="K177" s="28" t="s">
        <v>119</v>
      </c>
      <c r="L177" s="28" t="s">
        <v>119</v>
      </c>
      <c r="M177" s="28">
        <v>2</v>
      </c>
      <c r="N177" s="1" t="s">
        <v>119</v>
      </c>
      <c r="O177" s="4" t="s">
        <v>119</v>
      </c>
      <c r="P177" s="106">
        <v>1</v>
      </c>
      <c r="Q177" s="106">
        <v>2</v>
      </c>
      <c r="R177" s="106" t="s">
        <v>119</v>
      </c>
      <c r="S177" s="106">
        <v>5</v>
      </c>
      <c r="T177" s="106" t="s">
        <v>119</v>
      </c>
      <c r="U177" s="106" t="s">
        <v>119</v>
      </c>
      <c r="V177" t="s">
        <v>119</v>
      </c>
      <c r="W177" s="11" t="str">
        <f t="shared" si="2"/>
        <v>X</v>
      </c>
      <c r="X177" s="11" t="s">
        <v>134</v>
      </c>
    </row>
    <row r="178" spans="1:24" x14ac:dyDescent="0.3">
      <c r="A178" s="75" t="s">
        <v>1019</v>
      </c>
      <c r="B178" s="2" t="s">
        <v>119</v>
      </c>
      <c r="C178" s="4" t="s">
        <v>119</v>
      </c>
      <c r="D178" s="4" t="s">
        <v>119</v>
      </c>
      <c r="E178" s="1" t="s">
        <v>119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106" t="s">
        <v>119</v>
      </c>
      <c r="Q178" s="106" t="s">
        <v>119</v>
      </c>
      <c r="R178" s="106" t="s">
        <v>119</v>
      </c>
      <c r="S178" s="106">
        <v>1</v>
      </c>
      <c r="T178" s="106" t="s">
        <v>119</v>
      </c>
      <c r="U178" s="106" t="s">
        <v>119</v>
      </c>
      <c r="V178" t="s">
        <v>119</v>
      </c>
      <c r="W178" s="11" t="str">
        <f t="shared" si="2"/>
        <v>X</v>
      </c>
      <c r="X178" s="11" t="s">
        <v>134</v>
      </c>
    </row>
    <row r="179" spans="1:24" x14ac:dyDescent="0.3">
      <c r="A179" s="1" t="s">
        <v>81</v>
      </c>
      <c r="B179" s="2">
        <v>11</v>
      </c>
      <c r="C179" s="4">
        <v>0</v>
      </c>
      <c r="D179" s="4">
        <v>0</v>
      </c>
      <c r="E179" s="1">
        <v>0</v>
      </c>
      <c r="F179" s="37" t="s">
        <v>119</v>
      </c>
      <c r="G179" s="37" t="s">
        <v>119</v>
      </c>
      <c r="H179" s="28" t="s">
        <v>119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106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t="s">
        <v>119</v>
      </c>
      <c r="W179" s="11" t="s">
        <v>119</v>
      </c>
      <c r="X179" s="11" t="s">
        <v>134</v>
      </c>
    </row>
    <row r="180" spans="1:24" x14ac:dyDescent="0.3">
      <c r="A180" s="4" t="s">
        <v>391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 t="s">
        <v>134</v>
      </c>
      <c r="N180" s="1" t="s">
        <v>119</v>
      </c>
      <c r="O180" s="4" t="s">
        <v>119</v>
      </c>
      <c r="P180" s="106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t="s">
        <v>119</v>
      </c>
      <c r="W180" s="11" t="s">
        <v>134</v>
      </c>
      <c r="X180" s="11" t="s">
        <v>119</v>
      </c>
    </row>
    <row r="181" spans="1:24" x14ac:dyDescent="0.3">
      <c r="A181" s="1" t="s">
        <v>120</v>
      </c>
      <c r="B181" s="17" t="s">
        <v>119</v>
      </c>
      <c r="C181" s="15" t="s">
        <v>119</v>
      </c>
      <c r="D181" s="15" t="s">
        <v>119</v>
      </c>
      <c r="E181" s="15" t="s">
        <v>119</v>
      </c>
      <c r="F181" s="37" t="s">
        <v>119</v>
      </c>
      <c r="G181" s="37" t="s">
        <v>119</v>
      </c>
      <c r="H181" s="28">
        <v>5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106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t="s">
        <v>119</v>
      </c>
      <c r="W181" s="11" t="s">
        <v>134</v>
      </c>
      <c r="X181" s="11" t="s">
        <v>119</v>
      </c>
    </row>
    <row r="182" spans="1:24" x14ac:dyDescent="0.3">
      <c r="A182" s="1" t="s">
        <v>194</v>
      </c>
      <c r="B182" s="17" t="s">
        <v>119</v>
      </c>
      <c r="C182" s="15" t="s">
        <v>119</v>
      </c>
      <c r="D182" s="15" t="s">
        <v>119</v>
      </c>
      <c r="E182" s="15" t="s">
        <v>119</v>
      </c>
      <c r="F182" s="37" t="s">
        <v>119</v>
      </c>
      <c r="G182" s="37" t="s">
        <v>119</v>
      </c>
      <c r="H182" s="28" t="s">
        <v>119</v>
      </c>
      <c r="I182" s="28">
        <v>2</v>
      </c>
      <c r="J182" s="28" t="s">
        <v>119</v>
      </c>
      <c r="K182" s="28" t="s">
        <v>119</v>
      </c>
      <c r="L182" s="28" t="s">
        <v>119</v>
      </c>
      <c r="M182" s="28">
        <v>5</v>
      </c>
      <c r="N182" s="1" t="s">
        <v>119</v>
      </c>
      <c r="O182" s="4" t="s">
        <v>119</v>
      </c>
      <c r="P182" s="106" t="s">
        <v>119</v>
      </c>
      <c r="Q182" s="106" t="s">
        <v>119</v>
      </c>
      <c r="R182" s="106" t="s">
        <v>119</v>
      </c>
      <c r="S182" s="106" t="s">
        <v>119</v>
      </c>
      <c r="T182" s="106" t="s">
        <v>119</v>
      </c>
      <c r="U182" s="106" t="s">
        <v>119</v>
      </c>
      <c r="V182" t="s">
        <v>119</v>
      </c>
      <c r="W182" s="11" t="s">
        <v>134</v>
      </c>
      <c r="X182" s="11" t="s">
        <v>134</v>
      </c>
    </row>
    <row r="183" spans="1:24" x14ac:dyDescent="0.3">
      <c r="A183" s="4" t="s">
        <v>807</v>
      </c>
      <c r="B183" s="17" t="s">
        <v>119</v>
      </c>
      <c r="C183" s="15" t="s">
        <v>119</v>
      </c>
      <c r="D183" s="15" t="s">
        <v>119</v>
      </c>
      <c r="E183" s="15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106" t="s">
        <v>119</v>
      </c>
      <c r="Q183" s="106" t="s">
        <v>119</v>
      </c>
      <c r="R183" s="106" t="s">
        <v>119</v>
      </c>
      <c r="S183" s="106">
        <v>17</v>
      </c>
      <c r="T183" s="106" t="s">
        <v>119</v>
      </c>
      <c r="U183" s="106" t="s">
        <v>119</v>
      </c>
      <c r="V183" t="s">
        <v>119</v>
      </c>
      <c r="W183" s="11" t="str">
        <f t="shared" si="2"/>
        <v>X</v>
      </c>
      <c r="X183" s="11" t="s">
        <v>119</v>
      </c>
    </row>
    <row r="184" spans="1:24" x14ac:dyDescent="0.3">
      <c r="A184" s="1" t="s">
        <v>76</v>
      </c>
      <c r="B184" s="2">
        <v>0</v>
      </c>
      <c r="C184" s="4">
        <v>0</v>
      </c>
      <c r="D184" s="4">
        <v>7</v>
      </c>
      <c r="E184" s="1">
        <v>2</v>
      </c>
      <c r="F184" s="37">
        <v>11</v>
      </c>
      <c r="G184" s="37" t="s">
        <v>119</v>
      </c>
      <c r="H184" s="28" t="s">
        <v>119</v>
      </c>
      <c r="I184" s="28">
        <v>1</v>
      </c>
      <c r="J184" s="28" t="s">
        <v>119</v>
      </c>
      <c r="K184" s="31">
        <v>1</v>
      </c>
      <c r="L184" s="28" t="s">
        <v>119</v>
      </c>
      <c r="M184" s="28" t="s">
        <v>134</v>
      </c>
      <c r="N184" s="1" t="s">
        <v>119</v>
      </c>
      <c r="O184" s="4">
        <v>3</v>
      </c>
      <c r="P184" s="106" t="s">
        <v>119</v>
      </c>
      <c r="Q184" s="106" t="s">
        <v>119</v>
      </c>
      <c r="R184" s="106" t="s">
        <v>119</v>
      </c>
      <c r="S184" s="106">
        <v>1</v>
      </c>
      <c r="T184" s="106" t="s">
        <v>119</v>
      </c>
      <c r="U184" s="106" t="s">
        <v>119</v>
      </c>
      <c r="V184" t="s">
        <v>119</v>
      </c>
      <c r="W184" s="11" t="str">
        <f t="shared" si="2"/>
        <v>X</v>
      </c>
      <c r="X184" s="11" t="s">
        <v>134</v>
      </c>
    </row>
    <row r="185" spans="1:24" x14ac:dyDescent="0.3">
      <c r="A185" s="1" t="s">
        <v>77</v>
      </c>
      <c r="B185" s="2">
        <v>24</v>
      </c>
      <c r="C185" s="4">
        <v>4</v>
      </c>
      <c r="D185" s="4">
        <v>0</v>
      </c>
      <c r="E185" s="1">
        <v>0</v>
      </c>
      <c r="F185" s="37" t="s">
        <v>119</v>
      </c>
      <c r="G185" s="37" t="s">
        <v>119</v>
      </c>
      <c r="H185" s="28" t="s">
        <v>119</v>
      </c>
      <c r="I185" s="28">
        <v>2</v>
      </c>
      <c r="J185" s="28" t="s">
        <v>119</v>
      </c>
      <c r="K185" s="37" t="s">
        <v>119</v>
      </c>
      <c r="L185" s="28" t="s">
        <v>119</v>
      </c>
      <c r="M185" s="28" t="s">
        <v>119</v>
      </c>
      <c r="N185" s="1" t="s">
        <v>119</v>
      </c>
      <c r="O185" s="4" t="s">
        <v>119</v>
      </c>
      <c r="P185" s="106">
        <v>1</v>
      </c>
      <c r="Q185" s="106">
        <v>5</v>
      </c>
      <c r="R185" s="106">
        <v>12</v>
      </c>
      <c r="S185" s="106">
        <v>1</v>
      </c>
      <c r="T185" s="106" t="s">
        <v>119</v>
      </c>
      <c r="U185" s="106" t="s">
        <v>119</v>
      </c>
      <c r="V185" t="s">
        <v>119</v>
      </c>
      <c r="W185" s="11" t="str">
        <f t="shared" si="2"/>
        <v>X</v>
      </c>
      <c r="X185" s="11" t="s">
        <v>134</v>
      </c>
    </row>
    <row r="186" spans="1:24" x14ac:dyDescent="0.3">
      <c r="A186" s="10" t="s">
        <v>73</v>
      </c>
      <c r="B186" s="6">
        <v>134</v>
      </c>
      <c r="C186" s="7">
        <v>40</v>
      </c>
      <c r="D186" s="7">
        <v>54</v>
      </c>
      <c r="E186" s="10">
        <v>46</v>
      </c>
      <c r="F186" s="37" t="s">
        <v>119</v>
      </c>
      <c r="G186" s="37" t="s">
        <v>119</v>
      </c>
      <c r="H186" s="29" t="s">
        <v>119</v>
      </c>
      <c r="I186" s="29" t="s">
        <v>119</v>
      </c>
      <c r="J186" s="29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106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t="s">
        <v>119</v>
      </c>
      <c r="W186" s="11" t="s">
        <v>119</v>
      </c>
      <c r="X186" s="11" t="s">
        <v>119</v>
      </c>
    </row>
    <row r="187" spans="1:24" s="11" customFormat="1" x14ac:dyDescent="0.3">
      <c r="A187" s="14" t="s">
        <v>392</v>
      </c>
      <c r="B187" s="18" t="s">
        <v>119</v>
      </c>
      <c r="C187" s="12" t="s">
        <v>119</v>
      </c>
      <c r="D187" s="12" t="s">
        <v>119</v>
      </c>
      <c r="E187" s="14" t="s">
        <v>119</v>
      </c>
      <c r="F187" s="37" t="s">
        <v>119</v>
      </c>
      <c r="G187" s="37" t="s">
        <v>119</v>
      </c>
      <c r="H187" s="31" t="s">
        <v>119</v>
      </c>
      <c r="I187" s="31" t="s">
        <v>119</v>
      </c>
      <c r="J187" s="31" t="s">
        <v>119</v>
      </c>
      <c r="K187" s="31" t="s">
        <v>119</v>
      </c>
      <c r="L187" s="31" t="s">
        <v>119</v>
      </c>
      <c r="M187" s="31" t="s">
        <v>134</v>
      </c>
      <c r="N187" s="14" t="s">
        <v>119</v>
      </c>
      <c r="O187" s="4" t="s">
        <v>119</v>
      </c>
      <c r="P187" s="106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t="s">
        <v>119</v>
      </c>
      <c r="W187" s="11" t="s">
        <v>134</v>
      </c>
      <c r="X187" s="11" t="s">
        <v>119</v>
      </c>
    </row>
    <row r="188" spans="1:24" x14ac:dyDescent="0.3">
      <c r="A188" s="39" t="s">
        <v>210</v>
      </c>
      <c r="B188" s="9" t="s">
        <v>119</v>
      </c>
      <c r="C188" s="44" t="s">
        <v>119</v>
      </c>
      <c r="D188" s="44" t="s">
        <v>119</v>
      </c>
      <c r="E188" s="39" t="s">
        <v>119</v>
      </c>
      <c r="F188" s="37" t="s">
        <v>119</v>
      </c>
      <c r="G188" s="37" t="s">
        <v>119</v>
      </c>
      <c r="H188" s="37" t="s">
        <v>119</v>
      </c>
      <c r="I188" s="37" t="s">
        <v>119</v>
      </c>
      <c r="J188" s="37">
        <v>2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106">
        <v>1</v>
      </c>
      <c r="Q188" s="106" t="s">
        <v>119</v>
      </c>
      <c r="R188" s="106" t="s">
        <v>119</v>
      </c>
      <c r="S188" s="106">
        <v>1</v>
      </c>
      <c r="T188" s="106" t="s">
        <v>119</v>
      </c>
      <c r="U188" s="106" t="s">
        <v>119</v>
      </c>
      <c r="V188" t="s">
        <v>119</v>
      </c>
      <c r="W188" s="11" t="str">
        <f t="shared" si="2"/>
        <v>X</v>
      </c>
      <c r="X188" s="11" t="s">
        <v>119</v>
      </c>
    </row>
    <row r="189" spans="1:24" x14ac:dyDescent="0.3">
      <c r="A189" s="44" t="s">
        <v>1017</v>
      </c>
      <c r="B189" s="9" t="s">
        <v>119</v>
      </c>
      <c r="C189" s="44" t="s">
        <v>119</v>
      </c>
      <c r="D189" s="44" t="s">
        <v>119</v>
      </c>
      <c r="E189" s="39" t="s">
        <v>119</v>
      </c>
      <c r="F189" s="37" t="s">
        <v>119</v>
      </c>
      <c r="G189" s="37" t="s">
        <v>119</v>
      </c>
      <c r="H189" s="37" t="s">
        <v>119</v>
      </c>
      <c r="I189" s="37" t="s">
        <v>119</v>
      </c>
      <c r="J189" s="37" t="s">
        <v>119</v>
      </c>
      <c r="K189" s="28" t="s">
        <v>119</v>
      </c>
      <c r="L189" s="28" t="s">
        <v>119</v>
      </c>
      <c r="M189" s="28" t="s">
        <v>119</v>
      </c>
      <c r="N189" s="1" t="s">
        <v>119</v>
      </c>
      <c r="O189" s="4" t="s">
        <v>119</v>
      </c>
      <c r="P189" s="106" t="s">
        <v>119</v>
      </c>
      <c r="Q189" s="106" t="s">
        <v>119</v>
      </c>
      <c r="R189" s="106" t="s">
        <v>119</v>
      </c>
      <c r="S189" s="106">
        <v>3</v>
      </c>
      <c r="T189" s="106" t="s">
        <v>119</v>
      </c>
      <c r="U189" s="106" t="s">
        <v>119</v>
      </c>
      <c r="V189" t="s">
        <v>119</v>
      </c>
      <c r="W189" s="11" t="str">
        <f t="shared" si="2"/>
        <v>X</v>
      </c>
      <c r="X189" s="11" t="s">
        <v>119</v>
      </c>
    </row>
    <row r="190" spans="1:24" x14ac:dyDescent="0.3">
      <c r="A190" s="14" t="s">
        <v>193</v>
      </c>
      <c r="B190" s="2" t="s">
        <v>119</v>
      </c>
      <c r="C190" s="4" t="s">
        <v>119</v>
      </c>
      <c r="D190" s="4" t="s">
        <v>119</v>
      </c>
      <c r="E190" s="1" t="s">
        <v>119</v>
      </c>
      <c r="F190" s="37" t="s">
        <v>119</v>
      </c>
      <c r="G190" s="37" t="s">
        <v>119</v>
      </c>
      <c r="H190" s="28" t="s">
        <v>119</v>
      </c>
      <c r="I190" s="28" t="s">
        <v>119</v>
      </c>
      <c r="J190" s="28" t="s">
        <v>119</v>
      </c>
      <c r="K190" s="29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106" t="s">
        <v>119</v>
      </c>
      <c r="Q190" s="106">
        <v>1</v>
      </c>
      <c r="R190" s="106" t="s">
        <v>119</v>
      </c>
      <c r="S190" s="106">
        <v>3</v>
      </c>
      <c r="T190" s="106" t="s">
        <v>119</v>
      </c>
      <c r="U190" s="106" t="s">
        <v>119</v>
      </c>
      <c r="V190" t="s">
        <v>119</v>
      </c>
      <c r="W190" s="11" t="str">
        <f t="shared" si="2"/>
        <v>X</v>
      </c>
      <c r="X190" s="11" t="s">
        <v>119</v>
      </c>
    </row>
    <row r="191" spans="1:24" x14ac:dyDescent="0.3">
      <c r="A191" s="14" t="s">
        <v>806</v>
      </c>
      <c r="B191" s="2" t="s">
        <v>119</v>
      </c>
      <c r="C191" s="4" t="s">
        <v>119</v>
      </c>
      <c r="D191" s="4" t="s">
        <v>119</v>
      </c>
      <c r="E191" s="1" t="s">
        <v>119</v>
      </c>
      <c r="F191" s="37" t="s">
        <v>119</v>
      </c>
      <c r="G191" s="37" t="s">
        <v>119</v>
      </c>
      <c r="H191" s="28" t="s">
        <v>119</v>
      </c>
      <c r="I191" s="28" t="s">
        <v>119</v>
      </c>
      <c r="J191" s="28" t="s">
        <v>119</v>
      </c>
      <c r="K191" s="29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106" t="s">
        <v>119</v>
      </c>
      <c r="Q191" s="106">
        <v>6</v>
      </c>
      <c r="R191" s="106" t="s">
        <v>119</v>
      </c>
      <c r="S191" s="106">
        <v>1</v>
      </c>
      <c r="T191" s="106" t="s">
        <v>119</v>
      </c>
      <c r="U191" s="106" t="s">
        <v>119</v>
      </c>
      <c r="V191" t="s">
        <v>119</v>
      </c>
      <c r="W191" s="11" t="str">
        <f t="shared" si="2"/>
        <v>X</v>
      </c>
      <c r="X191" s="11" t="s">
        <v>134</v>
      </c>
    </row>
    <row r="192" spans="1:24" s="5" customFormat="1" x14ac:dyDescent="0.3">
      <c r="A192" s="10" t="s">
        <v>803</v>
      </c>
      <c r="B192" s="6" t="s">
        <v>119</v>
      </c>
      <c r="C192" s="7" t="s">
        <v>119</v>
      </c>
      <c r="D192" s="7" t="s">
        <v>119</v>
      </c>
      <c r="E192" s="10" t="s">
        <v>119</v>
      </c>
      <c r="F192" s="37" t="s">
        <v>119</v>
      </c>
      <c r="G192" s="29" t="s">
        <v>119</v>
      </c>
      <c r="H192" s="29" t="s">
        <v>119</v>
      </c>
      <c r="I192" s="29" t="s">
        <v>119</v>
      </c>
      <c r="J192" s="29" t="s">
        <v>119</v>
      </c>
      <c r="K192" s="29" t="s">
        <v>119</v>
      </c>
      <c r="L192" s="29" t="s">
        <v>119</v>
      </c>
      <c r="M192" s="29" t="s">
        <v>119</v>
      </c>
      <c r="N192" s="10" t="s">
        <v>119</v>
      </c>
      <c r="O192" s="4" t="s">
        <v>119</v>
      </c>
      <c r="P192" s="107" t="s">
        <v>119</v>
      </c>
      <c r="Q192" s="107" t="s">
        <v>119</v>
      </c>
      <c r="R192" s="107">
        <v>2</v>
      </c>
      <c r="S192" s="107">
        <v>4</v>
      </c>
      <c r="T192" s="106" t="s">
        <v>119</v>
      </c>
      <c r="U192" s="106" t="s">
        <v>119</v>
      </c>
      <c r="V192" t="s">
        <v>119</v>
      </c>
      <c r="W192" s="11" t="str">
        <f t="shared" si="2"/>
        <v>X</v>
      </c>
      <c r="X192" s="11" t="s">
        <v>119</v>
      </c>
    </row>
    <row r="193" spans="1:24" x14ac:dyDescent="0.3">
      <c r="A193" s="10" t="s">
        <v>801</v>
      </c>
      <c r="B193" s="6" t="s">
        <v>119</v>
      </c>
      <c r="C193" s="7" t="s">
        <v>119</v>
      </c>
      <c r="D193" s="7" t="s">
        <v>119</v>
      </c>
      <c r="E193" s="10" t="s">
        <v>119</v>
      </c>
      <c r="F193" s="37" t="s">
        <v>119</v>
      </c>
      <c r="G193" s="37" t="s">
        <v>119</v>
      </c>
      <c r="H193" s="29">
        <v>1</v>
      </c>
      <c r="I193" s="29" t="s">
        <v>119</v>
      </c>
      <c r="J193" s="29" t="s">
        <v>119</v>
      </c>
      <c r="K193" s="37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106" t="s">
        <v>119</v>
      </c>
      <c r="Q193" s="106" t="s">
        <v>119</v>
      </c>
      <c r="R193" s="106" t="s">
        <v>119</v>
      </c>
      <c r="S193" s="106" t="s">
        <v>119</v>
      </c>
      <c r="T193" s="106" t="s">
        <v>119</v>
      </c>
      <c r="U193" s="106" t="s">
        <v>119</v>
      </c>
      <c r="V193" t="s">
        <v>119</v>
      </c>
      <c r="W193" s="11" t="s">
        <v>119</v>
      </c>
      <c r="X193" s="11" t="s">
        <v>119</v>
      </c>
    </row>
    <row r="194" spans="1:24" x14ac:dyDescent="0.3">
      <c r="A194" s="10" t="s">
        <v>800</v>
      </c>
      <c r="B194" s="6" t="s">
        <v>119</v>
      </c>
      <c r="C194" s="7" t="s">
        <v>119</v>
      </c>
      <c r="D194" s="7" t="s">
        <v>119</v>
      </c>
      <c r="E194" s="10" t="s">
        <v>119</v>
      </c>
      <c r="F194" s="37" t="s">
        <v>119</v>
      </c>
      <c r="G194" s="37" t="s">
        <v>119</v>
      </c>
      <c r="H194" s="29" t="s">
        <v>119</v>
      </c>
      <c r="I194" s="29" t="s">
        <v>119</v>
      </c>
      <c r="J194" s="29" t="s">
        <v>119</v>
      </c>
      <c r="K194" s="37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106">
        <v>3</v>
      </c>
      <c r="Q194" s="106" t="s">
        <v>119</v>
      </c>
      <c r="R194" s="106" t="s">
        <v>119</v>
      </c>
      <c r="S194" s="106" t="s">
        <v>119</v>
      </c>
      <c r="T194" s="106" t="s">
        <v>119</v>
      </c>
      <c r="U194" s="106" t="s">
        <v>119</v>
      </c>
      <c r="V194" t="s">
        <v>119</v>
      </c>
      <c r="W194" s="11" t="s">
        <v>119</v>
      </c>
      <c r="X194" s="11" t="s">
        <v>119</v>
      </c>
    </row>
    <row r="195" spans="1:24" x14ac:dyDescent="0.3">
      <c r="A195" s="10" t="s">
        <v>72</v>
      </c>
      <c r="B195" s="6">
        <v>1</v>
      </c>
      <c r="C195" s="7">
        <v>1</v>
      </c>
      <c r="D195" s="7">
        <v>0</v>
      </c>
      <c r="E195" s="10">
        <v>0</v>
      </c>
      <c r="F195" s="37" t="s">
        <v>119</v>
      </c>
      <c r="G195" s="37" t="s">
        <v>119</v>
      </c>
      <c r="H195" s="29" t="s">
        <v>119</v>
      </c>
      <c r="I195" s="29" t="s">
        <v>119</v>
      </c>
      <c r="J195" s="29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106" t="s">
        <v>119</v>
      </c>
      <c r="Q195" s="106" t="s">
        <v>119</v>
      </c>
      <c r="R195" s="106" t="s">
        <v>119</v>
      </c>
      <c r="S195" s="106" t="s">
        <v>119</v>
      </c>
      <c r="T195" s="106" t="s">
        <v>119</v>
      </c>
      <c r="U195" s="106" t="s">
        <v>119</v>
      </c>
      <c r="V195" t="s">
        <v>119</v>
      </c>
      <c r="W195" s="11" t="s">
        <v>119</v>
      </c>
      <c r="X195" s="11" t="s">
        <v>119</v>
      </c>
    </row>
    <row r="196" spans="1:24" x14ac:dyDescent="0.3">
      <c r="A196" s="10" t="s">
        <v>805</v>
      </c>
      <c r="B196" s="6" t="s">
        <v>119</v>
      </c>
      <c r="C196" s="7" t="s">
        <v>119</v>
      </c>
      <c r="D196" s="7" t="s">
        <v>119</v>
      </c>
      <c r="E196" s="10" t="s">
        <v>119</v>
      </c>
      <c r="F196" s="37" t="s">
        <v>119</v>
      </c>
      <c r="G196" s="37" t="s">
        <v>119</v>
      </c>
      <c r="H196" s="29" t="s">
        <v>119</v>
      </c>
      <c r="I196" s="29" t="s">
        <v>119</v>
      </c>
      <c r="J196" s="29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106">
        <v>1</v>
      </c>
      <c r="Q196" s="106" t="s">
        <v>119</v>
      </c>
      <c r="R196" s="106">
        <v>1</v>
      </c>
      <c r="S196" s="106" t="s">
        <v>119</v>
      </c>
      <c r="T196" s="106" t="s">
        <v>119</v>
      </c>
      <c r="U196" s="106" t="s">
        <v>119</v>
      </c>
      <c r="V196" t="s">
        <v>119</v>
      </c>
      <c r="W196" s="11" t="s">
        <v>119</v>
      </c>
      <c r="X196" s="11" t="s">
        <v>119</v>
      </c>
    </row>
    <row r="197" spans="1:24" x14ac:dyDescent="0.3">
      <c r="A197" s="10" t="s">
        <v>802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37" t="s">
        <v>119</v>
      </c>
      <c r="H197" s="29">
        <v>65</v>
      </c>
      <c r="I197" s="29" t="s">
        <v>119</v>
      </c>
      <c r="J197" s="29">
        <v>3</v>
      </c>
      <c r="K197" s="29">
        <f>1+2+1+1+1+4+1+7+79</f>
        <v>97</v>
      </c>
      <c r="L197" s="28">
        <v>7</v>
      </c>
      <c r="M197" s="28" t="s">
        <v>119</v>
      </c>
      <c r="N197" s="1" t="s">
        <v>119</v>
      </c>
      <c r="O197" s="4" t="s">
        <v>119</v>
      </c>
      <c r="P197" s="106" t="s">
        <v>119</v>
      </c>
      <c r="Q197" s="106" t="s">
        <v>119</v>
      </c>
      <c r="R197" s="106" t="s">
        <v>119</v>
      </c>
      <c r="S197" s="106" t="s">
        <v>119</v>
      </c>
      <c r="T197" s="106" t="s">
        <v>119</v>
      </c>
      <c r="U197" s="106" t="s">
        <v>119</v>
      </c>
      <c r="V197" t="s">
        <v>119</v>
      </c>
      <c r="W197" s="11" t="s">
        <v>119</v>
      </c>
      <c r="X197" s="11" t="s">
        <v>119</v>
      </c>
    </row>
    <row r="198" spans="1:24" s="11" customFormat="1" x14ac:dyDescent="0.3">
      <c r="A198" s="14" t="s">
        <v>393</v>
      </c>
      <c r="B198" s="18" t="s">
        <v>119</v>
      </c>
      <c r="C198" s="12" t="s">
        <v>119</v>
      </c>
      <c r="D198" s="12" t="s">
        <v>119</v>
      </c>
      <c r="E198" s="14" t="s">
        <v>119</v>
      </c>
      <c r="F198" s="37" t="s">
        <v>119</v>
      </c>
      <c r="G198" s="37" t="s">
        <v>119</v>
      </c>
      <c r="H198" s="31" t="s">
        <v>119</v>
      </c>
      <c r="I198" s="31" t="s">
        <v>119</v>
      </c>
      <c r="J198" s="31" t="s">
        <v>119</v>
      </c>
      <c r="K198" s="31" t="s">
        <v>119</v>
      </c>
      <c r="L198" s="31" t="s">
        <v>119</v>
      </c>
      <c r="M198" s="31" t="s">
        <v>134</v>
      </c>
      <c r="N198" s="14" t="s">
        <v>119</v>
      </c>
      <c r="O198" s="4" t="s">
        <v>119</v>
      </c>
      <c r="P198" s="106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t="s">
        <v>119</v>
      </c>
      <c r="W198" s="11" t="s">
        <v>134</v>
      </c>
      <c r="X198" s="11" t="s">
        <v>119</v>
      </c>
    </row>
    <row r="199" spans="1:24" x14ac:dyDescent="0.3">
      <c r="A199" s="44" t="s">
        <v>325</v>
      </c>
      <c r="B199" s="9" t="s">
        <v>119</v>
      </c>
      <c r="C199" s="44" t="s">
        <v>119</v>
      </c>
      <c r="D199" s="44" t="s">
        <v>119</v>
      </c>
      <c r="E199" s="39" t="s">
        <v>119</v>
      </c>
      <c r="F199" s="37" t="s">
        <v>119</v>
      </c>
      <c r="G199" s="37" t="s">
        <v>119</v>
      </c>
      <c r="H199" s="37">
        <v>3</v>
      </c>
      <c r="I199" s="37" t="s">
        <v>119</v>
      </c>
      <c r="J199" s="37" t="s">
        <v>119</v>
      </c>
      <c r="K199" s="28" t="s">
        <v>119</v>
      </c>
      <c r="L199" s="28">
        <v>2</v>
      </c>
      <c r="M199" s="28" t="s">
        <v>119</v>
      </c>
      <c r="N199" s="1" t="s">
        <v>119</v>
      </c>
      <c r="O199" s="4" t="s">
        <v>119</v>
      </c>
      <c r="P199" s="106" t="s">
        <v>119</v>
      </c>
      <c r="Q199" s="106" t="s">
        <v>119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t="s">
        <v>119</v>
      </c>
      <c r="W199" s="11" t="s">
        <v>134</v>
      </c>
      <c r="X199" s="11" t="s">
        <v>119</v>
      </c>
    </row>
    <row r="200" spans="1:24" x14ac:dyDescent="0.3">
      <c r="A200" s="39" t="s">
        <v>211</v>
      </c>
      <c r="B200" s="9" t="s">
        <v>119</v>
      </c>
      <c r="C200" s="44" t="s">
        <v>119</v>
      </c>
      <c r="D200" s="44" t="s">
        <v>119</v>
      </c>
      <c r="E200" s="39" t="s">
        <v>119</v>
      </c>
      <c r="F200" s="37" t="s">
        <v>119</v>
      </c>
      <c r="G200" s="37" t="s">
        <v>119</v>
      </c>
      <c r="H200" s="37" t="s">
        <v>119</v>
      </c>
      <c r="I200" s="37" t="s">
        <v>119</v>
      </c>
      <c r="J200" s="37">
        <v>6</v>
      </c>
      <c r="K200" s="28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106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>
        <v>2</v>
      </c>
      <c r="V200" t="s">
        <v>119</v>
      </c>
      <c r="W200" s="11" t="str">
        <f t="shared" ref="W200:W258" si="3">IF(SUM(P200:U200)&gt;=1,"X","")</f>
        <v>X</v>
      </c>
      <c r="X200" s="11" t="s">
        <v>134</v>
      </c>
    </row>
    <row r="201" spans="1:24" x14ac:dyDescent="0.3">
      <c r="A201" s="39" t="s">
        <v>1018</v>
      </c>
      <c r="B201" s="9" t="s">
        <v>119</v>
      </c>
      <c r="C201" s="44" t="s">
        <v>119</v>
      </c>
      <c r="D201" s="44" t="s">
        <v>119</v>
      </c>
      <c r="E201" s="39" t="s">
        <v>119</v>
      </c>
      <c r="F201" s="37" t="s">
        <v>119</v>
      </c>
      <c r="G201" s="37" t="s">
        <v>119</v>
      </c>
      <c r="H201" s="37" t="s">
        <v>119</v>
      </c>
      <c r="I201" s="37" t="s">
        <v>119</v>
      </c>
      <c r="J201" s="37" t="s">
        <v>119</v>
      </c>
      <c r="K201" s="28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106" t="s">
        <v>119</v>
      </c>
      <c r="Q201" s="106" t="s">
        <v>119</v>
      </c>
      <c r="R201" s="106" t="s">
        <v>119</v>
      </c>
      <c r="S201" s="106">
        <v>5</v>
      </c>
      <c r="T201" s="106" t="s">
        <v>119</v>
      </c>
      <c r="U201" s="106">
        <v>2</v>
      </c>
      <c r="V201" t="s">
        <v>119</v>
      </c>
      <c r="W201" s="11" t="str">
        <f t="shared" si="3"/>
        <v>X</v>
      </c>
      <c r="X201" s="11" t="s">
        <v>119</v>
      </c>
    </row>
    <row r="202" spans="1:24" x14ac:dyDescent="0.3">
      <c r="A202" s="39" t="s">
        <v>804</v>
      </c>
      <c r="B202" s="9" t="s">
        <v>119</v>
      </c>
      <c r="C202" s="44" t="s">
        <v>119</v>
      </c>
      <c r="D202" s="44" t="s">
        <v>119</v>
      </c>
      <c r="E202" s="39" t="s">
        <v>119</v>
      </c>
      <c r="F202" s="37" t="s">
        <v>119</v>
      </c>
      <c r="G202" s="37" t="s">
        <v>119</v>
      </c>
      <c r="H202" s="37" t="s">
        <v>119</v>
      </c>
      <c r="I202" s="37" t="s">
        <v>119</v>
      </c>
      <c r="J202" s="37" t="s">
        <v>119</v>
      </c>
      <c r="K202" s="28" t="s">
        <v>119</v>
      </c>
      <c r="L202" s="28" t="s">
        <v>119</v>
      </c>
      <c r="M202" s="28" t="s">
        <v>119</v>
      </c>
      <c r="N202" s="1" t="s">
        <v>119</v>
      </c>
      <c r="O202" s="4" t="s">
        <v>119</v>
      </c>
      <c r="P202" s="106" t="s">
        <v>119</v>
      </c>
      <c r="Q202" s="106" t="s">
        <v>119</v>
      </c>
      <c r="R202" s="106">
        <v>7</v>
      </c>
      <c r="S202" s="106" t="s">
        <v>119</v>
      </c>
      <c r="T202" s="106" t="s">
        <v>119</v>
      </c>
      <c r="U202" s="106" t="s">
        <v>119</v>
      </c>
      <c r="V202" t="s">
        <v>119</v>
      </c>
      <c r="W202" s="11" t="str">
        <f t="shared" si="3"/>
        <v>X</v>
      </c>
      <c r="X202" s="11" t="s">
        <v>119</v>
      </c>
    </row>
    <row r="203" spans="1:24" x14ac:dyDescent="0.3">
      <c r="A203" s="39" t="s">
        <v>394</v>
      </c>
      <c r="B203" s="9" t="s">
        <v>119</v>
      </c>
      <c r="C203" s="44" t="s">
        <v>119</v>
      </c>
      <c r="D203" s="44" t="s">
        <v>119</v>
      </c>
      <c r="E203" s="39" t="s">
        <v>119</v>
      </c>
      <c r="F203" s="37" t="s">
        <v>119</v>
      </c>
      <c r="G203" s="37" t="s">
        <v>119</v>
      </c>
      <c r="H203" s="37" t="s">
        <v>119</v>
      </c>
      <c r="I203" s="37" t="s">
        <v>119</v>
      </c>
      <c r="J203" s="37" t="s">
        <v>119</v>
      </c>
      <c r="K203" s="28" t="s">
        <v>119</v>
      </c>
      <c r="L203" s="28" t="s">
        <v>119</v>
      </c>
      <c r="M203" s="28" t="s">
        <v>134</v>
      </c>
      <c r="N203" s="1">
        <v>1</v>
      </c>
      <c r="O203" s="4">
        <v>3</v>
      </c>
      <c r="P203" s="106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t="s">
        <v>119</v>
      </c>
      <c r="W203" s="11" t="s">
        <v>134</v>
      </c>
      <c r="X203" s="11" t="s">
        <v>134</v>
      </c>
    </row>
    <row r="204" spans="1:24" x14ac:dyDescent="0.3">
      <c r="A204" s="14" t="s">
        <v>122</v>
      </c>
      <c r="B204" s="18" t="s">
        <v>119</v>
      </c>
      <c r="C204" s="12" t="s">
        <v>119</v>
      </c>
      <c r="D204" s="12" t="s">
        <v>119</v>
      </c>
      <c r="E204" s="14" t="s">
        <v>119</v>
      </c>
      <c r="F204" s="37">
        <f>1+1+3+2+2+3</f>
        <v>12</v>
      </c>
      <c r="G204" s="37" t="s">
        <v>119</v>
      </c>
      <c r="H204" s="31">
        <v>2</v>
      </c>
      <c r="I204" s="28">
        <v>1</v>
      </c>
      <c r="J204" s="28">
        <v>5</v>
      </c>
      <c r="K204" s="28" t="s">
        <v>134</v>
      </c>
      <c r="L204" s="28">
        <v>4</v>
      </c>
      <c r="M204" s="28">
        <v>4</v>
      </c>
      <c r="N204" s="1" t="s">
        <v>119</v>
      </c>
      <c r="O204" s="4">
        <v>10</v>
      </c>
      <c r="P204" s="106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t="s">
        <v>119</v>
      </c>
      <c r="W204" s="11" t="s">
        <v>134</v>
      </c>
      <c r="X204" s="11" t="s">
        <v>119</v>
      </c>
    </row>
    <row r="205" spans="1:24" x14ac:dyDescent="0.3">
      <c r="A205" s="14" t="s">
        <v>123</v>
      </c>
      <c r="B205" s="18" t="s">
        <v>119</v>
      </c>
      <c r="C205" s="12" t="s">
        <v>119</v>
      </c>
      <c r="D205" s="12" t="s">
        <v>119</v>
      </c>
      <c r="E205" s="14" t="s">
        <v>119</v>
      </c>
      <c r="F205" s="37" t="s">
        <v>119</v>
      </c>
      <c r="G205" s="37">
        <v>5</v>
      </c>
      <c r="H205" s="31">
        <v>4</v>
      </c>
      <c r="I205" s="28">
        <v>6</v>
      </c>
      <c r="J205" s="28" t="s">
        <v>119</v>
      </c>
      <c r="K205" s="28" t="s">
        <v>119</v>
      </c>
      <c r="L205" s="28" t="s">
        <v>119</v>
      </c>
      <c r="M205" s="28" t="s">
        <v>134</v>
      </c>
      <c r="N205" s="1" t="s">
        <v>119</v>
      </c>
      <c r="O205" s="4" t="s">
        <v>119</v>
      </c>
      <c r="P205" s="106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t="s">
        <v>119</v>
      </c>
      <c r="W205" s="11" t="s">
        <v>119</v>
      </c>
      <c r="X205" s="11" t="s">
        <v>119</v>
      </c>
    </row>
    <row r="206" spans="1:24" x14ac:dyDescent="0.3">
      <c r="A206" s="14" t="s">
        <v>326</v>
      </c>
      <c r="B206" s="18" t="s">
        <v>119</v>
      </c>
      <c r="C206" s="12" t="s">
        <v>119</v>
      </c>
      <c r="D206" s="12" t="s">
        <v>119</v>
      </c>
      <c r="E206" s="14" t="s">
        <v>119</v>
      </c>
      <c r="F206" s="37" t="s">
        <v>119</v>
      </c>
      <c r="G206" s="37" t="s">
        <v>119</v>
      </c>
      <c r="H206" s="31" t="s">
        <v>119</v>
      </c>
      <c r="I206" s="28" t="s">
        <v>119</v>
      </c>
      <c r="J206" s="28" t="s">
        <v>119</v>
      </c>
      <c r="K206" s="28" t="s">
        <v>119</v>
      </c>
      <c r="L206" s="28">
        <v>1</v>
      </c>
      <c r="M206" s="28">
        <v>1</v>
      </c>
      <c r="N206" s="1" t="s">
        <v>119</v>
      </c>
      <c r="O206" s="4" t="s">
        <v>119</v>
      </c>
      <c r="P206" s="106" t="s">
        <v>119</v>
      </c>
      <c r="Q206" s="106" t="s">
        <v>119</v>
      </c>
      <c r="R206" s="106" t="s">
        <v>119</v>
      </c>
      <c r="S206" s="106" t="s">
        <v>119</v>
      </c>
      <c r="T206" s="106" t="s">
        <v>119</v>
      </c>
      <c r="U206" s="106" t="s">
        <v>119</v>
      </c>
      <c r="V206" t="s">
        <v>119</v>
      </c>
      <c r="W206" s="11" t="s">
        <v>134</v>
      </c>
      <c r="X206" s="11" t="s">
        <v>119</v>
      </c>
    </row>
    <row r="207" spans="1:24" x14ac:dyDescent="0.3">
      <c r="A207" s="14" t="s">
        <v>395</v>
      </c>
      <c r="B207" s="18" t="s">
        <v>119</v>
      </c>
      <c r="C207" s="12" t="s">
        <v>119</v>
      </c>
      <c r="D207" s="12" t="s">
        <v>119</v>
      </c>
      <c r="E207" s="14" t="s">
        <v>119</v>
      </c>
      <c r="F207" s="37" t="s">
        <v>119</v>
      </c>
      <c r="G207" s="37" t="s">
        <v>119</v>
      </c>
      <c r="H207" s="31" t="s">
        <v>119</v>
      </c>
      <c r="I207" s="28" t="s">
        <v>119</v>
      </c>
      <c r="J207" s="28" t="s">
        <v>119</v>
      </c>
      <c r="K207" s="28" t="s">
        <v>119</v>
      </c>
      <c r="L207" s="28" t="s">
        <v>119</v>
      </c>
      <c r="M207" s="28" t="s">
        <v>134</v>
      </c>
      <c r="N207" s="1" t="s">
        <v>119</v>
      </c>
      <c r="O207" s="4" t="s">
        <v>119</v>
      </c>
      <c r="P207" s="106" t="s">
        <v>119</v>
      </c>
      <c r="Q207" s="106" t="s">
        <v>119</v>
      </c>
      <c r="R207" s="106" t="s">
        <v>119</v>
      </c>
      <c r="S207" s="106" t="s">
        <v>119</v>
      </c>
      <c r="T207" s="106" t="s">
        <v>119</v>
      </c>
      <c r="U207" s="106" t="s">
        <v>119</v>
      </c>
      <c r="V207" t="s">
        <v>119</v>
      </c>
      <c r="W207" s="11" t="s">
        <v>119</v>
      </c>
      <c r="X207" s="11" t="s">
        <v>134</v>
      </c>
    </row>
    <row r="208" spans="1:24" x14ac:dyDescent="0.3">
      <c r="A208" s="14" t="s">
        <v>396</v>
      </c>
      <c r="B208" s="18" t="s">
        <v>119</v>
      </c>
      <c r="C208" s="12" t="s">
        <v>119</v>
      </c>
      <c r="D208" s="12" t="s">
        <v>119</v>
      </c>
      <c r="E208" s="14" t="s">
        <v>119</v>
      </c>
      <c r="F208" s="37" t="s">
        <v>119</v>
      </c>
      <c r="G208" s="37" t="s">
        <v>119</v>
      </c>
      <c r="H208" s="31">
        <v>4</v>
      </c>
      <c r="I208" s="28" t="s">
        <v>119</v>
      </c>
      <c r="J208" s="28" t="s">
        <v>119</v>
      </c>
      <c r="K208" s="28" t="s">
        <v>119</v>
      </c>
      <c r="L208" s="28" t="s">
        <v>119</v>
      </c>
      <c r="M208" s="28">
        <v>8</v>
      </c>
      <c r="N208" s="1" t="s">
        <v>119</v>
      </c>
      <c r="O208" s="4" t="s">
        <v>119</v>
      </c>
      <c r="P208" s="106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t="s">
        <v>119</v>
      </c>
      <c r="W208" s="11" t="s">
        <v>119</v>
      </c>
      <c r="X208" s="11" t="s">
        <v>119</v>
      </c>
    </row>
    <row r="209" spans="1:24" x14ac:dyDescent="0.3">
      <c r="A209" s="14" t="s">
        <v>124</v>
      </c>
      <c r="B209" s="26" t="s">
        <v>119</v>
      </c>
      <c r="C209" s="12" t="s">
        <v>119</v>
      </c>
      <c r="D209" s="12" t="s">
        <v>119</v>
      </c>
      <c r="E209" s="14" t="s">
        <v>119</v>
      </c>
      <c r="F209" s="37" t="s">
        <v>119</v>
      </c>
      <c r="G209" s="37" t="s">
        <v>119</v>
      </c>
      <c r="H209" s="31">
        <v>1</v>
      </c>
      <c r="I209" s="28" t="s">
        <v>119</v>
      </c>
      <c r="J209" s="28" t="s">
        <v>119</v>
      </c>
      <c r="K209" s="28" t="s">
        <v>119</v>
      </c>
      <c r="L209" s="28" t="s">
        <v>119</v>
      </c>
      <c r="M209" s="28" t="s">
        <v>119</v>
      </c>
      <c r="N209" s="1" t="s">
        <v>119</v>
      </c>
      <c r="O209" s="4" t="s">
        <v>119</v>
      </c>
      <c r="P209" s="106" t="s">
        <v>119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t="s">
        <v>119</v>
      </c>
      <c r="W209" s="11" t="s">
        <v>119</v>
      </c>
      <c r="X209" s="11" t="s">
        <v>119</v>
      </c>
    </row>
    <row r="210" spans="1:24" x14ac:dyDescent="0.3">
      <c r="A210" s="14" t="s">
        <v>983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>
        <f>2+2+2+1+3</f>
        <v>10</v>
      </c>
      <c r="G210" s="37" t="s">
        <v>119</v>
      </c>
      <c r="H210" s="31" t="s">
        <v>119</v>
      </c>
      <c r="I210" s="28" t="s">
        <v>119</v>
      </c>
      <c r="J210" s="28" t="s">
        <v>119</v>
      </c>
      <c r="K210" s="28" t="s">
        <v>119</v>
      </c>
      <c r="L210" s="28" t="s">
        <v>119</v>
      </c>
      <c r="M210" s="28" t="s">
        <v>119</v>
      </c>
      <c r="N210" s="1" t="s">
        <v>119</v>
      </c>
      <c r="O210" s="4" t="s">
        <v>119</v>
      </c>
      <c r="P210" s="106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t="s">
        <v>119</v>
      </c>
      <c r="W210" s="11" t="s">
        <v>134</v>
      </c>
      <c r="X210" s="11" t="s">
        <v>119</v>
      </c>
    </row>
    <row r="211" spans="1:24" x14ac:dyDescent="0.3">
      <c r="A211" s="10" t="s">
        <v>984</v>
      </c>
      <c r="B211" s="6" t="s">
        <v>119</v>
      </c>
      <c r="C211" s="7" t="s">
        <v>119</v>
      </c>
      <c r="D211" s="7" t="s">
        <v>119</v>
      </c>
      <c r="E211" s="10" t="s">
        <v>119</v>
      </c>
      <c r="F211" s="29">
        <v>10</v>
      </c>
      <c r="G211" s="29" t="s">
        <v>119</v>
      </c>
      <c r="H211" s="29" t="s">
        <v>119</v>
      </c>
      <c r="I211" s="29" t="s">
        <v>119</v>
      </c>
      <c r="J211" s="29" t="s">
        <v>119</v>
      </c>
      <c r="K211" s="29" t="s">
        <v>119</v>
      </c>
      <c r="L211" s="29" t="s">
        <v>119</v>
      </c>
      <c r="M211" s="29" t="s">
        <v>119</v>
      </c>
      <c r="N211" s="10" t="s">
        <v>119</v>
      </c>
      <c r="O211" s="4" t="s">
        <v>119</v>
      </c>
      <c r="P211" s="107" t="s">
        <v>119</v>
      </c>
      <c r="Q211" s="107" t="s">
        <v>119</v>
      </c>
      <c r="R211" s="107" t="s">
        <v>119</v>
      </c>
      <c r="S211" s="107" t="s">
        <v>119</v>
      </c>
      <c r="T211" s="106" t="s">
        <v>119</v>
      </c>
      <c r="U211" s="106" t="s">
        <v>119</v>
      </c>
      <c r="V211" t="s">
        <v>119</v>
      </c>
      <c r="W211" s="11" t="s">
        <v>119</v>
      </c>
      <c r="X211" s="11" t="s">
        <v>119</v>
      </c>
    </row>
    <row r="212" spans="1:24" x14ac:dyDescent="0.3">
      <c r="A212" s="14" t="s">
        <v>397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106" t="s">
        <v>119</v>
      </c>
      <c r="Q212" s="106" t="s">
        <v>119</v>
      </c>
      <c r="R212" s="106" t="s">
        <v>119</v>
      </c>
      <c r="S212" s="106">
        <v>2</v>
      </c>
      <c r="T212" s="106" t="s">
        <v>119</v>
      </c>
      <c r="U212" s="106">
        <v>2</v>
      </c>
      <c r="V212" t="s">
        <v>119</v>
      </c>
      <c r="W212" s="11" t="s">
        <v>134</v>
      </c>
      <c r="X212" s="11" t="s">
        <v>134</v>
      </c>
    </row>
    <row r="213" spans="1:24" x14ac:dyDescent="0.3">
      <c r="A213" s="14" t="s">
        <v>1016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 t="s">
        <v>119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 t="s">
        <v>119</v>
      </c>
      <c r="N213" s="1" t="s">
        <v>119</v>
      </c>
      <c r="O213" s="4" t="s">
        <v>119</v>
      </c>
      <c r="P213" s="106" t="s">
        <v>119</v>
      </c>
      <c r="Q213" s="106" t="s">
        <v>119</v>
      </c>
      <c r="R213" s="106" t="s">
        <v>119</v>
      </c>
      <c r="S213" s="106">
        <v>2</v>
      </c>
      <c r="T213" s="106" t="s">
        <v>119</v>
      </c>
      <c r="U213" s="106" t="s">
        <v>119</v>
      </c>
      <c r="V213" t="s">
        <v>119</v>
      </c>
      <c r="W213" s="11" t="str">
        <f t="shared" si="3"/>
        <v>X</v>
      </c>
      <c r="X213" s="11" t="s">
        <v>119</v>
      </c>
    </row>
    <row r="214" spans="1:24" x14ac:dyDescent="0.3">
      <c r="A214" s="14" t="s">
        <v>125</v>
      </c>
      <c r="B214" s="18" t="s">
        <v>119</v>
      </c>
      <c r="C214" s="12" t="s">
        <v>119</v>
      </c>
      <c r="D214" s="12" t="s">
        <v>119</v>
      </c>
      <c r="E214" s="90" t="s">
        <v>119</v>
      </c>
      <c r="F214" s="37" t="s">
        <v>119</v>
      </c>
      <c r="G214" s="37">
        <v>2</v>
      </c>
      <c r="H214" s="31">
        <v>1</v>
      </c>
      <c r="I214" s="28">
        <v>14</v>
      </c>
      <c r="J214" s="28">
        <v>2</v>
      </c>
      <c r="K214" s="28" t="s">
        <v>134</v>
      </c>
      <c r="L214" s="28">
        <v>2</v>
      </c>
      <c r="M214" s="28">
        <f>2+1+1+3+1+1+2</f>
        <v>11</v>
      </c>
      <c r="N214" s="1">
        <f>1+2+1+1+1+3+1</f>
        <v>10</v>
      </c>
      <c r="O214" s="4" t="s">
        <v>119</v>
      </c>
      <c r="P214" s="106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t="s">
        <v>119</v>
      </c>
      <c r="W214" s="11" t="s">
        <v>134</v>
      </c>
      <c r="X214" s="11" t="s">
        <v>134</v>
      </c>
    </row>
    <row r="215" spans="1:24" x14ac:dyDescent="0.3">
      <c r="A215" s="1" t="s">
        <v>71</v>
      </c>
      <c r="B215" s="2">
        <v>27</v>
      </c>
      <c r="C215" s="4">
        <v>1</v>
      </c>
      <c r="D215" s="4">
        <v>0</v>
      </c>
      <c r="E215" s="1">
        <v>0</v>
      </c>
      <c r="F215" s="37" t="s">
        <v>119</v>
      </c>
      <c r="G215" s="37" t="s">
        <v>119</v>
      </c>
      <c r="H215" s="28" t="s">
        <v>119</v>
      </c>
      <c r="I215" s="28" t="s">
        <v>119</v>
      </c>
      <c r="J215" s="28" t="s">
        <v>119</v>
      </c>
      <c r="K215" s="29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106" t="s">
        <v>119</v>
      </c>
      <c r="Q215" s="106" t="s">
        <v>119</v>
      </c>
      <c r="R215" s="106" t="s">
        <v>119</v>
      </c>
      <c r="S215" s="106">
        <v>2</v>
      </c>
      <c r="T215" s="106" t="s">
        <v>119</v>
      </c>
      <c r="U215" s="106">
        <v>3</v>
      </c>
      <c r="V215" t="s">
        <v>119</v>
      </c>
      <c r="W215" s="11" t="str">
        <f t="shared" si="3"/>
        <v>X</v>
      </c>
      <c r="X215" s="11" t="s">
        <v>119</v>
      </c>
    </row>
    <row r="216" spans="1:24" x14ac:dyDescent="0.3">
      <c r="A216" s="12" t="s">
        <v>398</v>
      </c>
      <c r="B216" s="2" t="s">
        <v>119</v>
      </c>
      <c r="C216" s="4" t="s">
        <v>119</v>
      </c>
      <c r="D216" s="4" t="s">
        <v>119</v>
      </c>
      <c r="E216" s="1" t="s">
        <v>119</v>
      </c>
      <c r="F216" s="37" t="s">
        <v>119</v>
      </c>
      <c r="G216" s="37">
        <f>4+4+2+1</f>
        <v>11</v>
      </c>
      <c r="H216" s="28">
        <f>4+25+1</f>
        <v>30</v>
      </c>
      <c r="I216" s="28">
        <v>98</v>
      </c>
      <c r="J216" s="28" t="s">
        <v>119</v>
      </c>
      <c r="K216" s="29" t="s">
        <v>119</v>
      </c>
      <c r="L216" s="28" t="s">
        <v>119</v>
      </c>
      <c r="M216" s="28">
        <f>1+1+1+40+15+20+11+11+6+2+3+1</f>
        <v>112</v>
      </c>
      <c r="N216" s="1">
        <v>5</v>
      </c>
      <c r="O216" s="4">
        <f>6+5+2+2+1+5+10+1+6+3+12</f>
        <v>53</v>
      </c>
      <c r="P216" s="106" t="s">
        <v>119</v>
      </c>
      <c r="Q216" s="106" t="s">
        <v>119</v>
      </c>
      <c r="R216" s="106" t="s">
        <v>119</v>
      </c>
      <c r="S216" s="106" t="s">
        <v>119</v>
      </c>
      <c r="T216" s="106" t="s">
        <v>119</v>
      </c>
      <c r="U216" s="106" t="s">
        <v>119</v>
      </c>
      <c r="V216" t="s">
        <v>119</v>
      </c>
      <c r="W216" s="11" t="s">
        <v>119</v>
      </c>
      <c r="X216" s="11" t="s">
        <v>119</v>
      </c>
    </row>
    <row r="217" spans="1:24" s="5" customFormat="1" x14ac:dyDescent="0.3">
      <c r="A217" s="7" t="s">
        <v>985</v>
      </c>
      <c r="B217" s="6" t="s">
        <v>119</v>
      </c>
      <c r="C217" s="7" t="s">
        <v>119</v>
      </c>
      <c r="D217" s="7" t="s">
        <v>119</v>
      </c>
      <c r="E217" s="10" t="s">
        <v>119</v>
      </c>
      <c r="F217" s="29">
        <v>3</v>
      </c>
      <c r="G217" s="29" t="s">
        <v>119</v>
      </c>
      <c r="H217" s="29" t="s">
        <v>119</v>
      </c>
      <c r="I217" s="29" t="s">
        <v>119</v>
      </c>
      <c r="J217" s="29" t="s">
        <v>119</v>
      </c>
      <c r="K217" s="29" t="s">
        <v>119</v>
      </c>
      <c r="L217" s="29" t="s">
        <v>119</v>
      </c>
      <c r="M217" s="29" t="s">
        <v>119</v>
      </c>
      <c r="N217" s="10" t="s">
        <v>119</v>
      </c>
      <c r="O217" s="4" t="s">
        <v>119</v>
      </c>
      <c r="P217" s="107" t="s">
        <v>119</v>
      </c>
      <c r="Q217" s="107" t="s">
        <v>119</v>
      </c>
      <c r="R217" s="107" t="s">
        <v>119</v>
      </c>
      <c r="S217" s="107" t="s">
        <v>119</v>
      </c>
      <c r="T217" s="106" t="s">
        <v>119</v>
      </c>
      <c r="U217" s="106" t="s">
        <v>119</v>
      </c>
      <c r="V217" t="s">
        <v>119</v>
      </c>
      <c r="W217" s="11" t="s">
        <v>119</v>
      </c>
      <c r="X217" s="11" t="s">
        <v>119</v>
      </c>
    </row>
    <row r="218" spans="1:24" s="5" customFormat="1" x14ac:dyDescent="0.3">
      <c r="A218" s="7" t="s">
        <v>1041</v>
      </c>
      <c r="B218" s="6" t="s">
        <v>119</v>
      </c>
      <c r="C218" s="7" t="s">
        <v>119</v>
      </c>
      <c r="D218" s="7" t="s">
        <v>119</v>
      </c>
      <c r="E218" s="10" t="s">
        <v>119</v>
      </c>
      <c r="F218" s="29" t="s">
        <v>119</v>
      </c>
      <c r="G218" s="29" t="s">
        <v>119</v>
      </c>
      <c r="H218" s="29" t="s">
        <v>119</v>
      </c>
      <c r="I218" s="29" t="s">
        <v>119</v>
      </c>
      <c r="J218" s="29">
        <v>1</v>
      </c>
      <c r="K218" s="29" t="s">
        <v>119</v>
      </c>
      <c r="L218" s="29" t="s">
        <v>119</v>
      </c>
      <c r="M218" s="29" t="s">
        <v>119</v>
      </c>
      <c r="N218" s="10" t="s">
        <v>119</v>
      </c>
      <c r="O218" s="4" t="s">
        <v>119</v>
      </c>
      <c r="P218" s="107" t="s">
        <v>119</v>
      </c>
      <c r="Q218" s="107" t="s">
        <v>119</v>
      </c>
      <c r="R218" s="107" t="s">
        <v>119</v>
      </c>
      <c r="S218" s="107" t="s">
        <v>119</v>
      </c>
      <c r="T218" s="106" t="s">
        <v>119</v>
      </c>
      <c r="U218" s="106" t="s">
        <v>119</v>
      </c>
      <c r="V218" t="s">
        <v>119</v>
      </c>
      <c r="W218" s="11" t="s">
        <v>119</v>
      </c>
      <c r="X218" s="11" t="s">
        <v>119</v>
      </c>
    </row>
    <row r="219" spans="1:24" x14ac:dyDescent="0.3">
      <c r="A219" s="10" t="s">
        <v>126</v>
      </c>
      <c r="B219" s="6" t="s">
        <v>119</v>
      </c>
      <c r="C219" s="7" t="s">
        <v>119</v>
      </c>
      <c r="D219" s="7" t="s">
        <v>119</v>
      </c>
      <c r="E219" s="10" t="s">
        <v>119</v>
      </c>
      <c r="F219" s="37" t="s">
        <v>119</v>
      </c>
      <c r="G219" s="37" t="s">
        <v>119</v>
      </c>
      <c r="H219" s="29">
        <v>1</v>
      </c>
      <c r="I219" s="29" t="s">
        <v>119</v>
      </c>
      <c r="J219" s="29" t="s">
        <v>119</v>
      </c>
      <c r="K219" s="28" t="s">
        <v>119</v>
      </c>
      <c r="L219" s="28" t="s">
        <v>119</v>
      </c>
      <c r="M219" s="28" t="s">
        <v>119</v>
      </c>
      <c r="N219" s="1" t="s">
        <v>119</v>
      </c>
      <c r="O219" s="4" t="s">
        <v>119</v>
      </c>
      <c r="P219" s="106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t="s">
        <v>119</v>
      </c>
      <c r="W219" s="11" t="s">
        <v>119</v>
      </c>
      <c r="X219" s="11" t="s">
        <v>119</v>
      </c>
    </row>
    <row r="220" spans="1:24" x14ac:dyDescent="0.3">
      <c r="A220" s="10" t="s">
        <v>212</v>
      </c>
      <c r="B220" s="6" t="s">
        <v>119</v>
      </c>
      <c r="C220" s="7" t="s">
        <v>119</v>
      </c>
      <c r="D220" s="7" t="s">
        <v>119</v>
      </c>
      <c r="E220" s="10" t="s">
        <v>119</v>
      </c>
      <c r="F220" s="37" t="s">
        <v>119</v>
      </c>
      <c r="G220" s="37" t="s">
        <v>119</v>
      </c>
      <c r="H220" s="29" t="s">
        <v>119</v>
      </c>
      <c r="I220" s="29" t="s">
        <v>119</v>
      </c>
      <c r="J220" s="29">
        <v>17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106" t="s">
        <v>119</v>
      </c>
      <c r="Q220" s="106" t="s">
        <v>119</v>
      </c>
      <c r="R220" s="106" t="s">
        <v>119</v>
      </c>
      <c r="S220" s="106" t="s">
        <v>119</v>
      </c>
      <c r="T220" s="106" t="s">
        <v>119</v>
      </c>
      <c r="U220" s="106" t="s">
        <v>119</v>
      </c>
      <c r="V220" t="s">
        <v>119</v>
      </c>
      <c r="W220" s="11" t="s">
        <v>119</v>
      </c>
      <c r="X220" s="11" t="s">
        <v>119</v>
      </c>
    </row>
    <row r="221" spans="1:24" s="11" customFormat="1" x14ac:dyDescent="0.3">
      <c r="A221" s="14" t="s">
        <v>399</v>
      </c>
      <c r="B221" s="18" t="s">
        <v>119</v>
      </c>
      <c r="C221" s="12" t="s">
        <v>119</v>
      </c>
      <c r="D221" s="12" t="s">
        <v>119</v>
      </c>
      <c r="E221" s="14" t="s">
        <v>119</v>
      </c>
      <c r="F221" s="37" t="s">
        <v>119</v>
      </c>
      <c r="G221" s="37" t="s">
        <v>119</v>
      </c>
      <c r="H221" s="31" t="s">
        <v>119</v>
      </c>
      <c r="I221" s="31" t="s">
        <v>119</v>
      </c>
      <c r="J221" s="31" t="s">
        <v>119</v>
      </c>
      <c r="K221" s="31" t="s">
        <v>134</v>
      </c>
      <c r="L221" s="31" t="s">
        <v>119</v>
      </c>
      <c r="M221" s="31">
        <v>4</v>
      </c>
      <c r="N221" s="14" t="s">
        <v>119</v>
      </c>
      <c r="O221" s="4">
        <v>2</v>
      </c>
      <c r="P221" s="106" t="s">
        <v>119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t="s">
        <v>119</v>
      </c>
      <c r="W221" s="11" t="s">
        <v>134</v>
      </c>
      <c r="X221" s="11" t="s">
        <v>134</v>
      </c>
    </row>
    <row r="222" spans="1:24" s="11" customFormat="1" x14ac:dyDescent="0.3">
      <c r="A222" s="14" t="s">
        <v>1267</v>
      </c>
      <c r="B222" s="18" t="s">
        <v>119</v>
      </c>
      <c r="C222" s="12" t="s">
        <v>119</v>
      </c>
      <c r="D222" s="12" t="s">
        <v>119</v>
      </c>
      <c r="E222" s="14" t="s">
        <v>119</v>
      </c>
      <c r="F222" s="37" t="s">
        <v>119</v>
      </c>
      <c r="G222" s="37" t="s">
        <v>119</v>
      </c>
      <c r="H222" s="31" t="s">
        <v>119</v>
      </c>
      <c r="I222" s="76" t="s">
        <v>119</v>
      </c>
      <c r="J222" s="31" t="s">
        <v>119</v>
      </c>
      <c r="K222" s="31" t="s">
        <v>119</v>
      </c>
      <c r="L222" s="31" t="s">
        <v>119</v>
      </c>
      <c r="M222" s="31">
        <v>3</v>
      </c>
      <c r="N222" s="14" t="s">
        <v>119</v>
      </c>
      <c r="O222" s="4" t="s">
        <v>119</v>
      </c>
      <c r="P222" s="106" t="s">
        <v>119</v>
      </c>
      <c r="Q222" s="106" t="s">
        <v>119</v>
      </c>
      <c r="R222" s="106" t="s">
        <v>119</v>
      </c>
      <c r="S222" s="106" t="s">
        <v>119</v>
      </c>
      <c r="T222" s="106" t="s">
        <v>119</v>
      </c>
      <c r="U222" s="106" t="s">
        <v>119</v>
      </c>
      <c r="V222" t="s">
        <v>119</v>
      </c>
      <c r="W222" s="11" t="s">
        <v>119</v>
      </c>
      <c r="X222" s="11" t="s">
        <v>119</v>
      </c>
    </row>
    <row r="223" spans="1:24" s="11" customFormat="1" x14ac:dyDescent="0.3">
      <c r="A223" s="14" t="s">
        <v>1268</v>
      </c>
      <c r="B223" s="18" t="s">
        <v>119</v>
      </c>
      <c r="C223" s="12" t="s">
        <v>119</v>
      </c>
      <c r="D223" s="12" t="s">
        <v>119</v>
      </c>
      <c r="E223" s="14" t="s">
        <v>119</v>
      </c>
      <c r="F223" s="37" t="s">
        <v>119</v>
      </c>
      <c r="G223" s="37" t="s">
        <v>119</v>
      </c>
      <c r="H223" s="31" t="s">
        <v>119</v>
      </c>
      <c r="I223" s="76" t="s">
        <v>119</v>
      </c>
      <c r="J223" s="31" t="s">
        <v>119</v>
      </c>
      <c r="K223" s="31" t="s">
        <v>119</v>
      </c>
      <c r="L223" s="31" t="s">
        <v>119</v>
      </c>
      <c r="M223" s="31" t="s">
        <v>119</v>
      </c>
      <c r="N223" s="14" t="s">
        <v>119</v>
      </c>
      <c r="O223" s="4" t="s">
        <v>119</v>
      </c>
      <c r="P223" s="106" t="s">
        <v>119</v>
      </c>
      <c r="Q223" s="106" t="s">
        <v>119</v>
      </c>
      <c r="R223" s="106" t="s">
        <v>119</v>
      </c>
      <c r="S223" s="106">
        <v>1</v>
      </c>
      <c r="T223" s="106" t="s">
        <v>119</v>
      </c>
      <c r="U223" s="106" t="s">
        <v>119</v>
      </c>
      <c r="V223" t="s">
        <v>119</v>
      </c>
      <c r="W223" s="11" t="str">
        <f t="shared" si="3"/>
        <v>X</v>
      </c>
      <c r="X223" s="11" t="s">
        <v>134</v>
      </c>
    </row>
    <row r="224" spans="1:24" s="5" customFormat="1" x14ac:dyDescent="0.3">
      <c r="A224" s="10" t="s">
        <v>1269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29" t="s">
        <v>119</v>
      </c>
      <c r="H224" s="29" t="s">
        <v>119</v>
      </c>
      <c r="I224" s="96" t="s">
        <v>119</v>
      </c>
      <c r="J224" s="29" t="s">
        <v>119</v>
      </c>
      <c r="K224" s="29" t="s">
        <v>119</v>
      </c>
      <c r="L224" s="29" t="s">
        <v>119</v>
      </c>
      <c r="M224" s="29" t="s">
        <v>119</v>
      </c>
      <c r="N224" s="10" t="s">
        <v>119</v>
      </c>
      <c r="O224" s="4" t="s">
        <v>119</v>
      </c>
      <c r="P224" s="107">
        <v>2</v>
      </c>
      <c r="Q224" s="107" t="s">
        <v>119</v>
      </c>
      <c r="R224" s="107">
        <v>7</v>
      </c>
      <c r="S224" s="107" t="s">
        <v>119</v>
      </c>
      <c r="T224" s="106" t="s">
        <v>119</v>
      </c>
      <c r="U224" s="106" t="s">
        <v>119</v>
      </c>
      <c r="V224" t="s">
        <v>119</v>
      </c>
      <c r="W224" s="11" t="str">
        <f t="shared" si="3"/>
        <v>X</v>
      </c>
      <c r="X224" s="11" t="s">
        <v>119</v>
      </c>
    </row>
    <row r="225" spans="1:24" x14ac:dyDescent="0.3">
      <c r="A225" s="1" t="s">
        <v>1270</v>
      </c>
      <c r="B225" s="2">
        <v>9</v>
      </c>
      <c r="C225" s="4">
        <v>1</v>
      </c>
      <c r="D225" s="4">
        <v>0</v>
      </c>
      <c r="E225" s="1">
        <v>0</v>
      </c>
      <c r="F225" s="37" t="s">
        <v>119</v>
      </c>
      <c r="G225" s="37" t="s">
        <v>119</v>
      </c>
      <c r="H225" s="27">
        <v>3</v>
      </c>
      <c r="I225" s="27">
        <v>3</v>
      </c>
      <c r="J225" s="28" t="s">
        <v>119</v>
      </c>
      <c r="K225" s="29">
        <v>1</v>
      </c>
      <c r="L225" s="28" t="s">
        <v>119</v>
      </c>
      <c r="M225" s="28">
        <f>2+1+4+6+1+1+1+1+1+1+3</f>
        <v>22</v>
      </c>
      <c r="N225" s="1">
        <v>1</v>
      </c>
      <c r="O225" s="4" t="s">
        <v>119</v>
      </c>
      <c r="P225" s="106" t="s">
        <v>119</v>
      </c>
      <c r="Q225" s="106">
        <v>1</v>
      </c>
      <c r="R225" s="106" t="s">
        <v>119</v>
      </c>
      <c r="S225" s="106">
        <v>1</v>
      </c>
      <c r="T225" s="106">
        <v>1</v>
      </c>
      <c r="U225" s="106">
        <v>2</v>
      </c>
      <c r="V225" t="s">
        <v>119</v>
      </c>
      <c r="W225" s="11" t="str">
        <f t="shared" si="3"/>
        <v>X</v>
      </c>
      <c r="X225" s="11" t="s">
        <v>134</v>
      </c>
    </row>
    <row r="226" spans="1:24" x14ac:dyDescent="0.3">
      <c r="A226" s="1" t="s">
        <v>1271</v>
      </c>
      <c r="B226" s="2" t="s">
        <v>119</v>
      </c>
      <c r="C226" s="4" t="s">
        <v>119</v>
      </c>
      <c r="D226" s="4" t="s">
        <v>119</v>
      </c>
      <c r="E226" s="1" t="s">
        <v>119</v>
      </c>
      <c r="F226" s="37" t="s">
        <v>119</v>
      </c>
      <c r="G226" s="37" t="s">
        <v>119</v>
      </c>
      <c r="H226" s="27">
        <v>13</v>
      </c>
      <c r="I226" s="27">
        <v>2</v>
      </c>
      <c r="J226" s="28" t="s">
        <v>119</v>
      </c>
      <c r="K226" s="28" t="s">
        <v>119</v>
      </c>
      <c r="L226" s="28" t="s">
        <v>119</v>
      </c>
      <c r="M226" s="28">
        <v>6</v>
      </c>
      <c r="N226" s="1">
        <v>1</v>
      </c>
      <c r="O226" s="4" t="s">
        <v>119</v>
      </c>
      <c r="P226" s="106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t="s">
        <v>119</v>
      </c>
      <c r="W226" s="11" t="s">
        <v>134</v>
      </c>
      <c r="X226" s="11" t="s">
        <v>134</v>
      </c>
    </row>
    <row r="227" spans="1:24" x14ac:dyDescent="0.3">
      <c r="A227" s="10" t="s">
        <v>1272</v>
      </c>
      <c r="B227" s="6">
        <v>0</v>
      </c>
      <c r="C227" s="7">
        <v>0</v>
      </c>
      <c r="D227" s="7">
        <v>0</v>
      </c>
      <c r="E227" s="10">
        <v>11</v>
      </c>
      <c r="F227" s="37">
        <v>1</v>
      </c>
      <c r="G227" s="37" t="s">
        <v>119</v>
      </c>
      <c r="H227" s="29" t="s">
        <v>119</v>
      </c>
      <c r="I227" s="29" t="s">
        <v>119</v>
      </c>
      <c r="J227" s="29" t="s">
        <v>119</v>
      </c>
      <c r="K227" s="28" t="s">
        <v>119</v>
      </c>
      <c r="L227" s="28" t="s">
        <v>119</v>
      </c>
      <c r="M227" s="28" t="s">
        <v>119</v>
      </c>
      <c r="N227" s="1" t="s">
        <v>119</v>
      </c>
      <c r="O227" s="4" t="s">
        <v>119</v>
      </c>
      <c r="P227" s="106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t="s">
        <v>119</v>
      </c>
      <c r="W227" s="11" t="s">
        <v>119</v>
      </c>
      <c r="X227" s="11" t="s">
        <v>119</v>
      </c>
    </row>
    <row r="228" spans="1:24" x14ac:dyDescent="0.3">
      <c r="A228" s="1" t="s">
        <v>1273</v>
      </c>
      <c r="B228" s="2">
        <v>8</v>
      </c>
      <c r="C228" s="4">
        <v>3</v>
      </c>
      <c r="D228" s="4">
        <v>0</v>
      </c>
      <c r="E228" s="1">
        <v>5</v>
      </c>
      <c r="F228" s="37" t="s">
        <v>119</v>
      </c>
      <c r="G228" s="37" t="s">
        <v>119</v>
      </c>
      <c r="H228" s="27">
        <v>3</v>
      </c>
      <c r="I228" s="27">
        <v>8</v>
      </c>
      <c r="J228" s="28" t="s">
        <v>119</v>
      </c>
      <c r="K228" s="28" t="s">
        <v>119</v>
      </c>
      <c r="L228" s="28" t="s">
        <v>119</v>
      </c>
      <c r="M228" s="28">
        <v>3</v>
      </c>
      <c r="N228" s="1" t="s">
        <v>119</v>
      </c>
      <c r="O228" s="4" t="s">
        <v>119</v>
      </c>
      <c r="P228" s="106" t="s">
        <v>119</v>
      </c>
      <c r="Q228" s="106">
        <v>1</v>
      </c>
      <c r="R228" s="106">
        <v>5</v>
      </c>
      <c r="S228" s="106">
        <v>1</v>
      </c>
      <c r="T228" s="106" t="s">
        <v>119</v>
      </c>
      <c r="U228" s="106" t="s">
        <v>119</v>
      </c>
      <c r="V228" t="s">
        <v>119</v>
      </c>
      <c r="W228" s="11" t="str">
        <f t="shared" si="3"/>
        <v>X</v>
      </c>
      <c r="X228" s="11" t="s">
        <v>134</v>
      </c>
    </row>
    <row r="229" spans="1:24" x14ac:dyDescent="0.3">
      <c r="A229" s="1" t="s">
        <v>82</v>
      </c>
      <c r="B229" s="2">
        <v>11</v>
      </c>
      <c r="C229" s="4">
        <v>0</v>
      </c>
      <c r="D229" s="4">
        <v>0</v>
      </c>
      <c r="E229" s="1">
        <v>0</v>
      </c>
      <c r="F229" s="37" t="s">
        <v>119</v>
      </c>
      <c r="G229" s="37" t="s">
        <v>119</v>
      </c>
      <c r="H229" s="28" t="s">
        <v>119</v>
      </c>
      <c r="I229" s="28" t="s">
        <v>119</v>
      </c>
      <c r="J229" s="28">
        <v>1</v>
      </c>
      <c r="K229" s="27" t="s">
        <v>119</v>
      </c>
      <c r="L229" s="28" t="s">
        <v>119</v>
      </c>
      <c r="M229" s="28" t="s">
        <v>119</v>
      </c>
      <c r="N229" s="1" t="s">
        <v>119</v>
      </c>
      <c r="O229" s="4" t="s">
        <v>119</v>
      </c>
      <c r="P229" s="106">
        <v>1</v>
      </c>
      <c r="Q229" s="106" t="s">
        <v>119</v>
      </c>
      <c r="R229" s="106">
        <v>1</v>
      </c>
      <c r="S229" s="106">
        <v>12</v>
      </c>
      <c r="T229" s="106" t="s">
        <v>119</v>
      </c>
      <c r="U229" s="106">
        <v>2</v>
      </c>
      <c r="V229" t="s">
        <v>119</v>
      </c>
      <c r="W229" s="11" t="str">
        <f t="shared" si="3"/>
        <v>X</v>
      </c>
      <c r="X229" s="11" t="s">
        <v>119</v>
      </c>
    </row>
    <row r="230" spans="1:24" x14ac:dyDescent="0.3">
      <c r="A230" s="1" t="s">
        <v>195</v>
      </c>
      <c r="B230" s="2" t="s">
        <v>119</v>
      </c>
      <c r="C230" s="4" t="s">
        <v>119</v>
      </c>
      <c r="D230" s="4" t="s">
        <v>119</v>
      </c>
      <c r="E230" s="1" t="s">
        <v>119</v>
      </c>
      <c r="F230" s="37" t="s">
        <v>119</v>
      </c>
      <c r="G230" s="37" t="s">
        <v>119</v>
      </c>
      <c r="H230" s="28" t="s">
        <v>119</v>
      </c>
      <c r="I230" s="28">
        <f>1+1+3+7+2+16+1</f>
        <v>31</v>
      </c>
      <c r="J230" s="28" t="s">
        <v>119</v>
      </c>
      <c r="K230" s="28" t="s">
        <v>119</v>
      </c>
      <c r="L230" s="28" t="s">
        <v>119</v>
      </c>
      <c r="M230" s="28" t="s">
        <v>119</v>
      </c>
      <c r="N230" s="1" t="s">
        <v>119</v>
      </c>
      <c r="O230" s="4" t="s">
        <v>119</v>
      </c>
      <c r="P230" s="106" t="s">
        <v>119</v>
      </c>
      <c r="Q230" s="106" t="s">
        <v>119</v>
      </c>
      <c r="R230" s="106" t="s">
        <v>119</v>
      </c>
      <c r="S230" s="106">
        <v>1</v>
      </c>
      <c r="T230" s="106" t="s">
        <v>119</v>
      </c>
      <c r="U230" s="106" t="s">
        <v>119</v>
      </c>
      <c r="V230" t="s">
        <v>119</v>
      </c>
      <c r="W230" s="11" t="str">
        <f t="shared" si="3"/>
        <v>X</v>
      </c>
      <c r="X230" s="11" t="s">
        <v>119</v>
      </c>
    </row>
    <row r="231" spans="1:24" x14ac:dyDescent="0.3">
      <c r="A231" s="4" t="s">
        <v>809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8" t="s">
        <v>119</v>
      </c>
      <c r="I231" s="28" t="s">
        <v>119</v>
      </c>
      <c r="J231" s="28" t="s">
        <v>119</v>
      </c>
      <c r="K231" s="28" t="s">
        <v>119</v>
      </c>
      <c r="L231" s="28" t="s">
        <v>119</v>
      </c>
      <c r="M231" s="28" t="s">
        <v>119</v>
      </c>
      <c r="N231" s="1" t="s">
        <v>119</v>
      </c>
      <c r="O231" s="4" t="s">
        <v>119</v>
      </c>
      <c r="P231" s="106" t="s">
        <v>119</v>
      </c>
      <c r="Q231" s="106" t="s">
        <v>119</v>
      </c>
      <c r="R231" s="106">
        <v>3</v>
      </c>
      <c r="S231" s="106" t="s">
        <v>119</v>
      </c>
      <c r="T231" s="106" t="s">
        <v>119</v>
      </c>
      <c r="U231" s="106" t="s">
        <v>119</v>
      </c>
      <c r="V231" t="s">
        <v>119</v>
      </c>
      <c r="W231" s="11" t="str">
        <f t="shared" si="3"/>
        <v>X</v>
      </c>
      <c r="X231" s="11" t="s">
        <v>134</v>
      </c>
    </row>
    <row r="232" spans="1:24" x14ac:dyDescent="0.3">
      <c r="A232" s="4" t="s">
        <v>808</v>
      </c>
      <c r="B232" s="2" t="s">
        <v>119</v>
      </c>
      <c r="C232" s="4" t="s">
        <v>119</v>
      </c>
      <c r="D232" s="4" t="s">
        <v>119</v>
      </c>
      <c r="E232" s="1" t="s">
        <v>119</v>
      </c>
      <c r="F232" s="37" t="s">
        <v>119</v>
      </c>
      <c r="G232" s="37" t="s">
        <v>119</v>
      </c>
      <c r="H232" s="28" t="s">
        <v>119</v>
      </c>
      <c r="I232" s="28" t="s">
        <v>119</v>
      </c>
      <c r="J232" s="28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106" t="s">
        <v>119</v>
      </c>
      <c r="Q232" s="106" t="s">
        <v>119</v>
      </c>
      <c r="R232" s="106" t="s">
        <v>119</v>
      </c>
      <c r="S232" s="106">
        <v>1</v>
      </c>
      <c r="T232" s="106" t="s">
        <v>119</v>
      </c>
      <c r="U232" s="106" t="s">
        <v>119</v>
      </c>
      <c r="V232" t="s">
        <v>119</v>
      </c>
      <c r="W232" s="11" t="str">
        <f t="shared" si="3"/>
        <v>X</v>
      </c>
      <c r="X232" s="11" t="s">
        <v>134</v>
      </c>
    </row>
    <row r="233" spans="1:24" x14ac:dyDescent="0.3">
      <c r="A233" s="4" t="s">
        <v>400</v>
      </c>
      <c r="B233" s="2" t="s">
        <v>119</v>
      </c>
      <c r="C233" s="4" t="s">
        <v>119</v>
      </c>
      <c r="D233" s="4" t="s">
        <v>119</v>
      </c>
      <c r="E233" s="1" t="s">
        <v>119</v>
      </c>
      <c r="F233" s="37" t="s">
        <v>119</v>
      </c>
      <c r="G233" s="37" t="s">
        <v>119</v>
      </c>
      <c r="H233" s="28" t="s">
        <v>119</v>
      </c>
      <c r="I233" s="28" t="s">
        <v>119</v>
      </c>
      <c r="J233" s="28" t="s">
        <v>119</v>
      </c>
      <c r="K233" s="28" t="s">
        <v>119</v>
      </c>
      <c r="L233" s="28" t="s">
        <v>119</v>
      </c>
      <c r="M233" s="28">
        <v>1</v>
      </c>
      <c r="N233" s="1" t="s">
        <v>119</v>
      </c>
      <c r="O233" s="4" t="s">
        <v>119</v>
      </c>
      <c r="P233" s="106" t="s">
        <v>119</v>
      </c>
      <c r="Q233" s="106" t="s">
        <v>119</v>
      </c>
      <c r="R233" s="106" t="s">
        <v>119</v>
      </c>
      <c r="S233" s="106" t="s">
        <v>119</v>
      </c>
      <c r="T233" s="106" t="s">
        <v>119</v>
      </c>
      <c r="U233" s="106" t="s">
        <v>119</v>
      </c>
      <c r="V233" t="s">
        <v>119</v>
      </c>
      <c r="W233" s="11" t="s">
        <v>134</v>
      </c>
      <c r="X233" s="11" t="s">
        <v>134</v>
      </c>
    </row>
    <row r="234" spans="1:24" x14ac:dyDescent="0.3">
      <c r="A234" s="4" t="s">
        <v>401</v>
      </c>
      <c r="B234" s="2" t="s">
        <v>119</v>
      </c>
      <c r="C234" s="4" t="s">
        <v>119</v>
      </c>
      <c r="D234" s="4" t="s">
        <v>119</v>
      </c>
      <c r="E234" s="1" t="s">
        <v>119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 t="s">
        <v>119</v>
      </c>
      <c r="K234" s="28" t="s">
        <v>119</v>
      </c>
      <c r="L234" s="28" t="s">
        <v>119</v>
      </c>
      <c r="M234" s="28" t="s">
        <v>134</v>
      </c>
      <c r="N234" s="1" t="s">
        <v>119</v>
      </c>
      <c r="O234" s="4" t="s">
        <v>119</v>
      </c>
      <c r="P234" s="106" t="s">
        <v>119</v>
      </c>
      <c r="Q234" s="106" t="s">
        <v>119</v>
      </c>
      <c r="R234" s="106" t="s">
        <v>119</v>
      </c>
      <c r="S234" s="106" t="s">
        <v>119</v>
      </c>
      <c r="T234" s="106" t="s">
        <v>119</v>
      </c>
      <c r="U234" s="106" t="s">
        <v>119</v>
      </c>
      <c r="V234" t="s">
        <v>119</v>
      </c>
      <c r="W234" s="11" t="s">
        <v>134</v>
      </c>
      <c r="X234" s="11" t="s">
        <v>134</v>
      </c>
    </row>
    <row r="235" spans="1:24" x14ac:dyDescent="0.3">
      <c r="A235" s="1" t="s">
        <v>80</v>
      </c>
      <c r="B235" s="2">
        <v>9</v>
      </c>
      <c r="C235" s="4">
        <v>11</v>
      </c>
      <c r="D235" s="4">
        <v>0</v>
      </c>
      <c r="E235" s="1">
        <v>1</v>
      </c>
      <c r="F235" s="37" t="s">
        <v>119</v>
      </c>
      <c r="G235" s="37" t="s">
        <v>119</v>
      </c>
      <c r="H235" s="27">
        <v>1</v>
      </c>
      <c r="I235" s="28">
        <v>2</v>
      </c>
      <c r="J235" s="27">
        <v>15</v>
      </c>
      <c r="K235" s="28">
        <v>2</v>
      </c>
      <c r="L235" s="28">
        <v>1</v>
      </c>
      <c r="M235" s="28" t="s">
        <v>134</v>
      </c>
      <c r="N235" s="1" t="s">
        <v>119</v>
      </c>
      <c r="O235" s="4" t="s">
        <v>119</v>
      </c>
      <c r="P235" s="106" t="s">
        <v>119</v>
      </c>
      <c r="Q235" s="106" t="s">
        <v>119</v>
      </c>
      <c r="R235" s="106" t="s">
        <v>119</v>
      </c>
      <c r="S235" s="106" t="s">
        <v>119</v>
      </c>
      <c r="T235" s="106" t="s">
        <v>119</v>
      </c>
      <c r="U235" s="106" t="s">
        <v>119</v>
      </c>
      <c r="V235" t="s">
        <v>119</v>
      </c>
      <c r="W235" s="11" t="s">
        <v>134</v>
      </c>
      <c r="X235" s="11" t="s">
        <v>134</v>
      </c>
    </row>
    <row r="236" spans="1:24" x14ac:dyDescent="0.3">
      <c r="A236" s="4" t="s">
        <v>402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7" t="s">
        <v>119</v>
      </c>
      <c r="I236" s="28" t="s">
        <v>119</v>
      </c>
      <c r="J236" s="27" t="s">
        <v>119</v>
      </c>
      <c r="K236" s="28" t="s">
        <v>119</v>
      </c>
      <c r="L236" s="28" t="s">
        <v>119</v>
      </c>
      <c r="M236" s="28">
        <f>7+15+20+53+96+24+25+19+1+1+1+3+3</f>
        <v>268</v>
      </c>
      <c r="N236" s="1" t="s">
        <v>119</v>
      </c>
      <c r="O236" s="4" t="s">
        <v>119</v>
      </c>
      <c r="P236" s="106" t="s">
        <v>119</v>
      </c>
      <c r="Q236" s="106" t="s">
        <v>119</v>
      </c>
      <c r="R236" s="106" t="s">
        <v>119</v>
      </c>
      <c r="S236" s="106" t="s">
        <v>119</v>
      </c>
      <c r="T236" s="106" t="s">
        <v>119</v>
      </c>
      <c r="U236" s="106" t="s">
        <v>119</v>
      </c>
      <c r="V236" t="s">
        <v>119</v>
      </c>
      <c r="W236" s="11" t="s">
        <v>134</v>
      </c>
      <c r="X236" s="11" t="s">
        <v>119</v>
      </c>
    </row>
    <row r="237" spans="1:24" x14ac:dyDescent="0.3">
      <c r="A237" s="4" t="s">
        <v>403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7" t="s">
        <v>119</v>
      </c>
      <c r="I237" s="28" t="s">
        <v>119</v>
      </c>
      <c r="J237" s="27" t="s">
        <v>119</v>
      </c>
      <c r="K237" s="28" t="s">
        <v>119</v>
      </c>
      <c r="L237" s="28" t="s">
        <v>119</v>
      </c>
      <c r="M237" s="28">
        <v>11</v>
      </c>
      <c r="N237" s="1" t="s">
        <v>119</v>
      </c>
      <c r="O237" s="4" t="s">
        <v>119</v>
      </c>
      <c r="P237" s="106" t="s">
        <v>119</v>
      </c>
      <c r="Q237" s="106" t="s">
        <v>119</v>
      </c>
      <c r="R237" s="106" t="s">
        <v>119</v>
      </c>
      <c r="S237" s="106" t="s">
        <v>119</v>
      </c>
      <c r="T237" s="106" t="s">
        <v>119</v>
      </c>
      <c r="U237" s="106" t="s">
        <v>119</v>
      </c>
      <c r="V237" t="s">
        <v>119</v>
      </c>
      <c r="W237" s="11" t="s">
        <v>134</v>
      </c>
      <c r="X237" s="11" t="s">
        <v>134</v>
      </c>
    </row>
    <row r="238" spans="1:24" x14ac:dyDescent="0.3">
      <c r="A238" s="1" t="s">
        <v>127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7">
        <v>1</v>
      </c>
      <c r="I238" s="28">
        <v>2</v>
      </c>
      <c r="J238" s="28">
        <v>3</v>
      </c>
      <c r="K238" s="28">
        <v>1</v>
      </c>
      <c r="L238" s="28" t="s">
        <v>119</v>
      </c>
      <c r="M238" s="28">
        <f>2+3+1+1+1+1+1+4+1+2+1</f>
        <v>18</v>
      </c>
      <c r="N238" s="1">
        <f>1+4+27+2</f>
        <v>34</v>
      </c>
      <c r="O238" s="4" t="s">
        <v>119</v>
      </c>
      <c r="P238" s="106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t="s">
        <v>119</v>
      </c>
      <c r="W238" s="11" t="s">
        <v>134</v>
      </c>
      <c r="X238" s="11" t="s">
        <v>134</v>
      </c>
    </row>
    <row r="239" spans="1:24" x14ac:dyDescent="0.3">
      <c r="A239" s="4" t="s">
        <v>404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7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>
        <v>1</v>
      </c>
      <c r="N239" s="1" t="s">
        <v>119</v>
      </c>
      <c r="O239" s="4" t="s">
        <v>119</v>
      </c>
      <c r="P239" s="106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t="s">
        <v>119</v>
      </c>
      <c r="W239" s="11" t="s">
        <v>134</v>
      </c>
      <c r="X239" s="11" t="s">
        <v>134</v>
      </c>
    </row>
    <row r="240" spans="1:24" x14ac:dyDescent="0.3">
      <c r="A240" s="1" t="s">
        <v>79</v>
      </c>
      <c r="B240" s="2">
        <v>7</v>
      </c>
      <c r="C240" s="4">
        <v>0</v>
      </c>
      <c r="D240" s="4">
        <v>0</v>
      </c>
      <c r="E240" s="1">
        <v>0</v>
      </c>
      <c r="F240" s="37" t="s">
        <v>119</v>
      </c>
      <c r="G240" s="37" t="s">
        <v>119</v>
      </c>
      <c r="H240" s="28" t="s">
        <v>119</v>
      </c>
      <c r="I240" s="28" t="s">
        <v>119</v>
      </c>
      <c r="J240" s="27">
        <v>1</v>
      </c>
      <c r="K240" s="28">
        <v>1</v>
      </c>
      <c r="L240" s="28" t="s">
        <v>119</v>
      </c>
      <c r="M240" s="28">
        <f>1+1+3+2+1+1+2+1</f>
        <v>12</v>
      </c>
      <c r="N240" s="1" t="s">
        <v>119</v>
      </c>
      <c r="O240" s="4" t="s">
        <v>119</v>
      </c>
      <c r="P240" s="106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t="s">
        <v>119</v>
      </c>
      <c r="W240" s="11" t="s">
        <v>134</v>
      </c>
      <c r="X240" s="11" t="s">
        <v>134</v>
      </c>
    </row>
    <row r="241" spans="1:24" x14ac:dyDescent="0.3">
      <c r="A241" s="1" t="s">
        <v>78</v>
      </c>
      <c r="B241" s="2">
        <v>58</v>
      </c>
      <c r="C241" s="4">
        <v>2</v>
      </c>
      <c r="D241" s="4">
        <v>0</v>
      </c>
      <c r="E241" s="1">
        <v>1</v>
      </c>
      <c r="F241" s="37" t="s">
        <v>119</v>
      </c>
      <c r="G241" s="37">
        <v>1</v>
      </c>
      <c r="H241" s="27">
        <v>10</v>
      </c>
      <c r="I241" s="27">
        <f>7+2+1+1</f>
        <v>11</v>
      </c>
      <c r="J241" s="28">
        <f>2+4+3+8+3+9+3+3+1+9+12+5+2+2+7+1+3+1+1+2+2+1+4+1+1</f>
        <v>90</v>
      </c>
      <c r="K241" s="28">
        <f>1+1+1+2+3</f>
        <v>8</v>
      </c>
      <c r="L241" s="28">
        <v>7</v>
      </c>
      <c r="M241" s="28">
        <f>1+9+11+2+25+7+18+1+1+3+2+2+1</f>
        <v>83</v>
      </c>
      <c r="N241" s="1">
        <f>31+5+5+13+14+3+26+45+1+4+5+6+5+11+8+3+1</f>
        <v>186</v>
      </c>
      <c r="O241" s="4">
        <v>1</v>
      </c>
      <c r="P241" s="106" t="s">
        <v>119</v>
      </c>
      <c r="Q241" s="106">
        <v>4</v>
      </c>
      <c r="R241" s="106">
        <v>3</v>
      </c>
      <c r="S241" s="106" t="s">
        <v>119</v>
      </c>
      <c r="T241" s="106" t="s">
        <v>119</v>
      </c>
      <c r="U241" s="106">
        <v>5</v>
      </c>
      <c r="V241" t="s">
        <v>119</v>
      </c>
      <c r="W241" s="11" t="str">
        <f t="shared" si="3"/>
        <v>X</v>
      </c>
      <c r="X241" s="11" t="s">
        <v>134</v>
      </c>
    </row>
    <row r="242" spans="1:24" x14ac:dyDescent="0.3">
      <c r="A242" s="4" t="s">
        <v>712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7">
        <v>1</v>
      </c>
      <c r="J242" s="28" t="s">
        <v>119</v>
      </c>
      <c r="K242" s="28" t="s">
        <v>119</v>
      </c>
      <c r="L242" s="28" t="s">
        <v>119</v>
      </c>
      <c r="M242" s="28" t="s">
        <v>119</v>
      </c>
      <c r="N242" s="1" t="s">
        <v>119</v>
      </c>
      <c r="O242" s="4" t="s">
        <v>119</v>
      </c>
      <c r="P242" s="106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t="s">
        <v>119</v>
      </c>
      <c r="W242" s="11" t="s">
        <v>134</v>
      </c>
      <c r="X242" s="11" t="s">
        <v>134</v>
      </c>
    </row>
    <row r="243" spans="1:24" s="11" customFormat="1" x14ac:dyDescent="0.3">
      <c r="A243" s="12" t="s">
        <v>986</v>
      </c>
      <c r="B243" s="18" t="s">
        <v>119</v>
      </c>
      <c r="C243" s="12" t="s">
        <v>119</v>
      </c>
      <c r="D243" s="12" t="s">
        <v>119</v>
      </c>
      <c r="E243" s="14" t="s">
        <v>119</v>
      </c>
      <c r="F243" s="31">
        <v>6</v>
      </c>
      <c r="G243" s="31" t="s">
        <v>119</v>
      </c>
      <c r="H243" s="34" t="s">
        <v>119</v>
      </c>
      <c r="I243" s="34" t="s">
        <v>119</v>
      </c>
      <c r="J243" s="31" t="s">
        <v>119</v>
      </c>
      <c r="K243" s="31" t="s">
        <v>119</v>
      </c>
      <c r="L243" s="31" t="s">
        <v>119</v>
      </c>
      <c r="M243" s="31" t="s">
        <v>119</v>
      </c>
      <c r="N243" s="14" t="s">
        <v>119</v>
      </c>
      <c r="O243" s="4" t="s">
        <v>119</v>
      </c>
      <c r="P243" s="108" t="s">
        <v>119</v>
      </c>
      <c r="Q243" s="108" t="s">
        <v>119</v>
      </c>
      <c r="R243" s="108" t="s">
        <v>119</v>
      </c>
      <c r="S243" s="108">
        <v>3</v>
      </c>
      <c r="T243" s="108" t="s">
        <v>119</v>
      </c>
      <c r="U243" s="108" t="s">
        <v>119</v>
      </c>
      <c r="V243" t="s">
        <v>119</v>
      </c>
      <c r="W243" s="11" t="str">
        <f t="shared" si="3"/>
        <v>X</v>
      </c>
      <c r="X243" s="11" t="s">
        <v>134</v>
      </c>
    </row>
    <row r="244" spans="1:24" x14ac:dyDescent="0.3">
      <c r="A244" s="4" t="s">
        <v>405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>
        <v>1</v>
      </c>
      <c r="G244" s="37" t="s">
        <v>119</v>
      </c>
      <c r="H244" s="27" t="s">
        <v>119</v>
      </c>
      <c r="I244" s="27" t="s">
        <v>119</v>
      </c>
      <c r="J244" s="28" t="s">
        <v>119</v>
      </c>
      <c r="K244" s="28" t="s">
        <v>119</v>
      </c>
      <c r="L244" s="28" t="s">
        <v>119</v>
      </c>
      <c r="M244" s="28" t="s">
        <v>134</v>
      </c>
      <c r="N244" s="1" t="s">
        <v>119</v>
      </c>
      <c r="O244" s="4" t="s">
        <v>119</v>
      </c>
      <c r="P244" s="106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t="s">
        <v>119</v>
      </c>
      <c r="W244" s="11" t="s">
        <v>134</v>
      </c>
      <c r="X244" s="11" t="s">
        <v>134</v>
      </c>
    </row>
    <row r="245" spans="1:24" s="51" customFormat="1" x14ac:dyDescent="0.3">
      <c r="A245" s="42" t="s">
        <v>319</v>
      </c>
      <c r="B245" s="48"/>
      <c r="C245" s="49"/>
      <c r="D245" s="49"/>
      <c r="E245" s="49"/>
      <c r="F245" s="92"/>
      <c r="G245" s="92"/>
      <c r="H245" s="50"/>
      <c r="I245" s="50"/>
      <c r="J245" s="50"/>
      <c r="K245" s="50"/>
      <c r="L245" s="50"/>
      <c r="M245" s="50"/>
      <c r="N245" s="49"/>
      <c r="O245" s="50"/>
      <c r="P245" s="105"/>
      <c r="Q245" s="105"/>
      <c r="R245" s="105"/>
      <c r="S245" s="105"/>
      <c r="T245" s="105"/>
      <c r="U245" s="105"/>
      <c r="V245" t="s">
        <v>119</v>
      </c>
      <c r="W245" s="11" t="str">
        <f t="shared" si="3"/>
        <v/>
      </c>
      <c r="X245" s="84"/>
    </row>
    <row r="246" spans="1:24" x14ac:dyDescent="0.3">
      <c r="A246" s="3" t="s">
        <v>68</v>
      </c>
      <c r="B246" s="2">
        <v>1</v>
      </c>
      <c r="C246" s="4">
        <v>0</v>
      </c>
      <c r="D246" s="4">
        <v>0</v>
      </c>
      <c r="E246" s="1">
        <v>0</v>
      </c>
      <c r="F246" s="37" t="s">
        <v>119</v>
      </c>
      <c r="G246" s="37" t="s">
        <v>119</v>
      </c>
      <c r="H246" s="28" t="s">
        <v>119</v>
      </c>
      <c r="I246" s="28" t="s">
        <v>119</v>
      </c>
      <c r="J246" s="28" t="s">
        <v>119</v>
      </c>
      <c r="K246" s="28" t="s">
        <v>119</v>
      </c>
      <c r="L246" s="28" t="s">
        <v>119</v>
      </c>
      <c r="M246" s="28" t="s">
        <v>119</v>
      </c>
      <c r="N246" s="1" t="s">
        <v>119</v>
      </c>
      <c r="O246" s="28" t="s">
        <v>119</v>
      </c>
      <c r="P246" s="106" t="s">
        <v>119</v>
      </c>
      <c r="Q246" s="106" t="s">
        <v>119</v>
      </c>
      <c r="R246" s="106" t="s">
        <v>119</v>
      </c>
      <c r="S246" s="106" t="s">
        <v>119</v>
      </c>
      <c r="T246" s="106" t="s">
        <v>119</v>
      </c>
      <c r="U246" s="106" t="s">
        <v>119</v>
      </c>
      <c r="V246" t="s">
        <v>119</v>
      </c>
      <c r="W246" s="11" t="s">
        <v>119</v>
      </c>
      <c r="X246" s="11" t="s">
        <v>134</v>
      </c>
    </row>
    <row r="247" spans="1:24" s="51" customFormat="1" x14ac:dyDescent="0.3">
      <c r="A247" s="42" t="s">
        <v>275</v>
      </c>
      <c r="B247" s="60"/>
      <c r="C247" s="49"/>
      <c r="D247" s="49"/>
      <c r="E247" s="49"/>
      <c r="F247" s="92"/>
      <c r="G247" s="92"/>
      <c r="H247" s="50"/>
      <c r="I247" s="50"/>
      <c r="J247" s="50"/>
      <c r="K247" s="50"/>
      <c r="L247" s="50"/>
      <c r="M247" s="50"/>
      <c r="N247" s="49"/>
      <c r="O247" s="50"/>
      <c r="P247" s="105"/>
      <c r="Q247" s="105"/>
      <c r="R247" s="105"/>
      <c r="S247" s="105"/>
      <c r="T247" s="105"/>
      <c r="U247" s="105"/>
      <c r="V247" t="s">
        <v>119</v>
      </c>
      <c r="W247" s="11" t="str">
        <f t="shared" si="3"/>
        <v/>
      </c>
      <c r="X247" s="84"/>
    </row>
    <row r="248" spans="1:24" s="64" customFormat="1" x14ac:dyDescent="0.3">
      <c r="A248" s="77" t="s">
        <v>406</v>
      </c>
      <c r="B248" s="78" t="s">
        <v>119</v>
      </c>
      <c r="C248" s="4" t="s">
        <v>119</v>
      </c>
      <c r="D248" s="4" t="s">
        <v>119</v>
      </c>
      <c r="E248" s="4" t="s">
        <v>119</v>
      </c>
      <c r="F248" s="37" t="s">
        <v>119</v>
      </c>
      <c r="G248" s="37" t="s">
        <v>119</v>
      </c>
      <c r="H248" s="27" t="s">
        <v>119</v>
      </c>
      <c r="I248" s="27" t="s">
        <v>119</v>
      </c>
      <c r="J248" s="27" t="s">
        <v>119</v>
      </c>
      <c r="K248" s="27" t="s">
        <v>119</v>
      </c>
      <c r="L248" s="27" t="s">
        <v>119</v>
      </c>
      <c r="M248" s="27">
        <f>1+88+518+201+2+7+33+20</f>
        <v>870</v>
      </c>
      <c r="N248" s="4" t="s">
        <v>119</v>
      </c>
      <c r="O248" s="27" t="s">
        <v>119</v>
      </c>
      <c r="P248" s="106" t="s">
        <v>119</v>
      </c>
      <c r="Q248" s="106">
        <v>38</v>
      </c>
      <c r="R248" s="106" t="s">
        <v>119</v>
      </c>
      <c r="S248" s="106">
        <v>2</v>
      </c>
      <c r="T248" s="106" t="s">
        <v>119</v>
      </c>
      <c r="U248" s="106" t="s">
        <v>119</v>
      </c>
      <c r="V248" t="s">
        <v>119</v>
      </c>
      <c r="W248" s="11" t="str">
        <f t="shared" si="3"/>
        <v>X</v>
      </c>
      <c r="X248" s="88" t="s">
        <v>134</v>
      </c>
    </row>
    <row r="249" spans="1:24" x14ac:dyDescent="0.3">
      <c r="A249" s="1" t="s">
        <v>70</v>
      </c>
      <c r="B249" s="2">
        <v>65</v>
      </c>
      <c r="C249" s="4">
        <v>18</v>
      </c>
      <c r="D249" s="4">
        <v>0</v>
      </c>
      <c r="E249" s="1">
        <v>0</v>
      </c>
      <c r="F249" s="37" t="s">
        <v>119</v>
      </c>
      <c r="G249" s="37" t="s">
        <v>119</v>
      </c>
      <c r="H249" s="28" t="s">
        <v>119</v>
      </c>
      <c r="I249" s="28" t="s">
        <v>119</v>
      </c>
      <c r="J249" s="61" t="s">
        <v>119</v>
      </c>
      <c r="K249" s="28">
        <v>1</v>
      </c>
      <c r="L249" s="28" t="s">
        <v>119</v>
      </c>
      <c r="M249" s="28" t="s">
        <v>119</v>
      </c>
      <c r="N249" s="1" t="s">
        <v>119</v>
      </c>
      <c r="O249" s="28">
        <v>34</v>
      </c>
      <c r="P249" s="106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t="s">
        <v>119</v>
      </c>
      <c r="W249" s="11" t="s">
        <v>134</v>
      </c>
      <c r="X249" s="11" t="s">
        <v>119</v>
      </c>
    </row>
    <row r="250" spans="1:24" x14ac:dyDescent="0.3">
      <c r="A250" s="1" t="s">
        <v>69</v>
      </c>
      <c r="B250" s="2">
        <v>163</v>
      </c>
      <c r="C250" s="4">
        <v>77</v>
      </c>
      <c r="D250" s="4">
        <v>0</v>
      </c>
      <c r="E250" s="1">
        <v>76</v>
      </c>
      <c r="F250" s="37">
        <v>10</v>
      </c>
      <c r="G250" s="37">
        <f>1+4+1+1+1+1</f>
        <v>9</v>
      </c>
      <c r="H250" s="27">
        <f>2+1+1+1+16</f>
        <v>21</v>
      </c>
      <c r="I250" s="27">
        <f>9+21+10+1+3+2+1</f>
        <v>47</v>
      </c>
      <c r="J250" s="27">
        <v>55</v>
      </c>
      <c r="K250" s="28">
        <v>47</v>
      </c>
      <c r="L250" s="28" t="s">
        <v>119</v>
      </c>
      <c r="M250" s="28">
        <f>9+9+1+5+2+28+23+14+1+12+15+13+1+1</f>
        <v>134</v>
      </c>
      <c r="N250" s="1" t="s">
        <v>119</v>
      </c>
      <c r="O250" s="28">
        <v>9</v>
      </c>
      <c r="P250" s="106" t="s">
        <v>119</v>
      </c>
      <c r="Q250" s="106">
        <v>4</v>
      </c>
      <c r="R250" s="106" t="s">
        <v>119</v>
      </c>
      <c r="S250" s="106">
        <v>5</v>
      </c>
      <c r="T250" s="106">
        <v>1</v>
      </c>
      <c r="U250" s="106">
        <v>5</v>
      </c>
      <c r="V250" t="s">
        <v>119</v>
      </c>
      <c r="W250" s="11" t="str">
        <f t="shared" si="3"/>
        <v>X</v>
      </c>
      <c r="X250" s="11" t="s">
        <v>134</v>
      </c>
    </row>
    <row r="251" spans="1:24" s="51" customFormat="1" x14ac:dyDescent="0.3">
      <c r="A251" s="42" t="s">
        <v>276</v>
      </c>
      <c r="B251" s="48"/>
      <c r="C251" s="49"/>
      <c r="D251" s="49"/>
      <c r="E251" s="49"/>
      <c r="F251" s="92"/>
      <c r="G251" s="92"/>
      <c r="H251" s="50"/>
      <c r="I251" s="50"/>
      <c r="J251" s="62"/>
      <c r="K251" s="50"/>
      <c r="L251" s="50"/>
      <c r="M251" s="50"/>
      <c r="N251" s="49"/>
      <c r="O251" s="50"/>
      <c r="P251" s="105"/>
      <c r="Q251" s="105"/>
      <c r="R251" s="105"/>
      <c r="S251" s="105"/>
      <c r="T251" s="105"/>
      <c r="U251" s="105"/>
      <c r="V251" t="s">
        <v>119</v>
      </c>
      <c r="W251" s="11" t="str">
        <f t="shared" si="3"/>
        <v/>
      </c>
      <c r="X251" s="84"/>
    </row>
    <row r="252" spans="1:24" x14ac:dyDescent="0.3">
      <c r="A252" s="14" t="s">
        <v>203</v>
      </c>
      <c r="B252" s="2" t="s">
        <v>119</v>
      </c>
      <c r="C252" s="14" t="s">
        <v>119</v>
      </c>
      <c r="D252" s="14" t="s">
        <v>119</v>
      </c>
      <c r="E252" s="1" t="s">
        <v>119</v>
      </c>
      <c r="F252" s="37" t="s">
        <v>119</v>
      </c>
      <c r="G252" s="37" t="s">
        <v>119</v>
      </c>
      <c r="H252" s="28">
        <v>1</v>
      </c>
      <c r="I252" s="28">
        <v>4</v>
      </c>
      <c r="J252" s="28" t="s">
        <v>119</v>
      </c>
      <c r="K252" s="29" t="s">
        <v>119</v>
      </c>
      <c r="L252" s="28" t="s">
        <v>119</v>
      </c>
      <c r="M252" s="28">
        <f>1+2+1+4+2+1+2+1+15</f>
        <v>29</v>
      </c>
      <c r="N252" s="1" t="s">
        <v>119</v>
      </c>
      <c r="O252" s="43" t="s">
        <v>119</v>
      </c>
      <c r="P252" s="106" t="s">
        <v>119</v>
      </c>
      <c r="Q252" s="106" t="s">
        <v>119</v>
      </c>
      <c r="R252" s="106">
        <v>1</v>
      </c>
      <c r="S252" s="106" t="s">
        <v>119</v>
      </c>
      <c r="T252" s="106" t="s">
        <v>119</v>
      </c>
      <c r="U252" s="106" t="s">
        <v>119</v>
      </c>
      <c r="V252" t="s">
        <v>119</v>
      </c>
      <c r="W252" s="11" t="str">
        <f t="shared" si="3"/>
        <v>X</v>
      </c>
      <c r="X252" s="11" t="s">
        <v>119</v>
      </c>
    </row>
    <row r="253" spans="1:24" x14ac:dyDescent="0.3">
      <c r="A253" s="14" t="s">
        <v>845</v>
      </c>
      <c r="B253" s="2" t="s">
        <v>119</v>
      </c>
      <c r="C253" s="14" t="s">
        <v>119</v>
      </c>
      <c r="D253" s="14" t="s">
        <v>119</v>
      </c>
      <c r="E253" s="1" t="s">
        <v>119</v>
      </c>
      <c r="F253" s="37" t="s">
        <v>119</v>
      </c>
      <c r="G253" s="37" t="s">
        <v>119</v>
      </c>
      <c r="H253" s="28" t="s">
        <v>119</v>
      </c>
      <c r="I253" s="28" t="s">
        <v>119</v>
      </c>
      <c r="J253" s="28" t="s">
        <v>119</v>
      </c>
      <c r="K253" s="29" t="s">
        <v>119</v>
      </c>
      <c r="L253" s="28" t="s">
        <v>119</v>
      </c>
      <c r="M253" s="28" t="s">
        <v>119</v>
      </c>
      <c r="N253" s="1" t="s">
        <v>119</v>
      </c>
      <c r="O253" s="43" t="s">
        <v>119</v>
      </c>
      <c r="P253" s="106" t="s">
        <v>119</v>
      </c>
      <c r="Q253" s="106" t="s">
        <v>119</v>
      </c>
      <c r="R253" s="106" t="s">
        <v>119</v>
      </c>
      <c r="S253" s="106">
        <v>1</v>
      </c>
      <c r="T253" s="106" t="s">
        <v>119</v>
      </c>
      <c r="U253" s="106" t="s">
        <v>119</v>
      </c>
      <c r="V253" t="s">
        <v>119</v>
      </c>
      <c r="W253" s="11" t="str">
        <f t="shared" si="3"/>
        <v>X</v>
      </c>
      <c r="X253" s="11" t="s">
        <v>119</v>
      </c>
    </row>
    <row r="254" spans="1:24" x14ac:dyDescent="0.3">
      <c r="A254" s="14" t="s">
        <v>407</v>
      </c>
      <c r="B254" s="2" t="s">
        <v>119</v>
      </c>
      <c r="C254" s="14" t="s">
        <v>119</v>
      </c>
      <c r="D254" s="14" t="s">
        <v>119</v>
      </c>
      <c r="E254" s="1" t="s">
        <v>119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28" t="s">
        <v>119</v>
      </c>
      <c r="K254" s="29" t="s">
        <v>119</v>
      </c>
      <c r="L254" s="28" t="s">
        <v>119</v>
      </c>
      <c r="M254" s="28">
        <f>1+1+19+173+100+3+29+158+62</f>
        <v>546</v>
      </c>
      <c r="N254" s="1" t="s">
        <v>119</v>
      </c>
      <c r="O254" s="43" t="s">
        <v>119</v>
      </c>
      <c r="P254" s="106" t="s">
        <v>119</v>
      </c>
      <c r="Q254" s="106" t="s">
        <v>119</v>
      </c>
      <c r="R254" s="106" t="s">
        <v>119</v>
      </c>
      <c r="S254" s="106">
        <v>4</v>
      </c>
      <c r="T254" s="106" t="s">
        <v>119</v>
      </c>
      <c r="U254" s="106" t="s">
        <v>119</v>
      </c>
      <c r="V254" t="s">
        <v>119</v>
      </c>
      <c r="W254" s="11" t="str">
        <f t="shared" si="3"/>
        <v>X</v>
      </c>
      <c r="X254" s="11" t="s">
        <v>119</v>
      </c>
    </row>
    <row r="255" spans="1:24" x14ac:dyDescent="0.3">
      <c r="A255" s="14" t="s">
        <v>408</v>
      </c>
      <c r="B255" s="2" t="s">
        <v>119</v>
      </c>
      <c r="C255" s="14" t="s">
        <v>119</v>
      </c>
      <c r="D255" s="14" t="s">
        <v>119</v>
      </c>
      <c r="E255" s="1" t="s">
        <v>119</v>
      </c>
      <c r="F255" s="37" t="s">
        <v>119</v>
      </c>
      <c r="G255" s="37" t="s">
        <v>119</v>
      </c>
      <c r="H255" s="28" t="s">
        <v>119</v>
      </c>
      <c r="I255" s="28" t="s">
        <v>119</v>
      </c>
      <c r="J255" s="28" t="s">
        <v>119</v>
      </c>
      <c r="K255" s="29" t="s">
        <v>119</v>
      </c>
      <c r="L255" s="28" t="s">
        <v>119</v>
      </c>
      <c r="M255" s="28">
        <v>2</v>
      </c>
      <c r="N255" s="1" t="s">
        <v>119</v>
      </c>
      <c r="O255" s="43" t="s">
        <v>119</v>
      </c>
      <c r="P255" s="106" t="s">
        <v>119</v>
      </c>
      <c r="Q255" s="106" t="s">
        <v>119</v>
      </c>
      <c r="R255" s="106" t="s">
        <v>119</v>
      </c>
      <c r="S255" s="106" t="s">
        <v>119</v>
      </c>
      <c r="T255" s="106" t="s">
        <v>119</v>
      </c>
      <c r="U255" s="106" t="s">
        <v>119</v>
      </c>
      <c r="V255" t="s">
        <v>119</v>
      </c>
      <c r="W255" s="11" t="s">
        <v>134</v>
      </c>
      <c r="X255" s="11" t="s">
        <v>134</v>
      </c>
    </row>
    <row r="256" spans="1:24" x14ac:dyDescent="0.3">
      <c r="A256" s="14" t="s">
        <v>1027</v>
      </c>
      <c r="B256" s="2" t="s">
        <v>119</v>
      </c>
      <c r="C256" s="14" t="s">
        <v>119</v>
      </c>
      <c r="D256" s="14" t="s">
        <v>119</v>
      </c>
      <c r="E256" s="1" t="s">
        <v>119</v>
      </c>
      <c r="F256" s="37" t="s">
        <v>119</v>
      </c>
      <c r="G256" s="37" t="s">
        <v>119</v>
      </c>
      <c r="H256" s="28" t="s">
        <v>119</v>
      </c>
      <c r="I256" s="28" t="s">
        <v>119</v>
      </c>
      <c r="J256" s="28" t="s">
        <v>119</v>
      </c>
      <c r="K256" s="29" t="s">
        <v>119</v>
      </c>
      <c r="L256" s="28" t="s">
        <v>119</v>
      </c>
      <c r="M256" s="28" t="s">
        <v>119</v>
      </c>
      <c r="N256" s="1" t="s">
        <v>119</v>
      </c>
      <c r="O256" s="43" t="s">
        <v>119</v>
      </c>
      <c r="P256" s="106">
        <v>3</v>
      </c>
      <c r="Q256" s="106" t="s">
        <v>119</v>
      </c>
      <c r="R256" s="106">
        <v>5</v>
      </c>
      <c r="S256" s="106" t="s">
        <v>119</v>
      </c>
      <c r="T256" s="106" t="s">
        <v>119</v>
      </c>
      <c r="U256" s="106">
        <v>18</v>
      </c>
      <c r="V256" t="s">
        <v>119</v>
      </c>
      <c r="W256" s="11" t="str">
        <f t="shared" si="3"/>
        <v>X</v>
      </c>
      <c r="X256" s="11" t="s">
        <v>119</v>
      </c>
    </row>
    <row r="257" spans="1:24" x14ac:dyDescent="0.3">
      <c r="A257" s="14" t="s">
        <v>409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 t="s">
        <v>119</v>
      </c>
      <c r="I257" s="28" t="s">
        <v>119</v>
      </c>
      <c r="J257" s="28" t="s">
        <v>119</v>
      </c>
      <c r="K257" s="29" t="s">
        <v>119</v>
      </c>
      <c r="L257" s="28" t="s">
        <v>119</v>
      </c>
      <c r="M257" s="28">
        <f>7+45+20+20+13</f>
        <v>105</v>
      </c>
      <c r="N257" s="1" t="s">
        <v>119</v>
      </c>
      <c r="O257" s="43" t="s">
        <v>119</v>
      </c>
      <c r="P257" s="106" t="s">
        <v>119</v>
      </c>
      <c r="Q257" s="106" t="s">
        <v>119</v>
      </c>
      <c r="R257" s="106" t="s">
        <v>119</v>
      </c>
      <c r="S257" s="106" t="s">
        <v>119</v>
      </c>
      <c r="T257" s="106" t="s">
        <v>119</v>
      </c>
      <c r="U257" s="106" t="s">
        <v>119</v>
      </c>
      <c r="V257" t="s">
        <v>119</v>
      </c>
      <c r="W257" s="11" t="s">
        <v>134</v>
      </c>
      <c r="X257" s="11" t="s">
        <v>119</v>
      </c>
    </row>
    <row r="258" spans="1:24" s="5" customFormat="1" x14ac:dyDescent="0.3">
      <c r="A258" s="10" t="s">
        <v>868</v>
      </c>
      <c r="B258" s="6" t="s">
        <v>119</v>
      </c>
      <c r="C258" s="10" t="s">
        <v>119</v>
      </c>
      <c r="D258" s="10" t="s">
        <v>119</v>
      </c>
      <c r="E258" s="10" t="s">
        <v>119</v>
      </c>
      <c r="F258" s="37" t="s">
        <v>119</v>
      </c>
      <c r="G258" s="29" t="s">
        <v>119</v>
      </c>
      <c r="H258" s="29" t="s">
        <v>119</v>
      </c>
      <c r="I258" s="29" t="s">
        <v>119</v>
      </c>
      <c r="J258" s="29" t="s">
        <v>119</v>
      </c>
      <c r="K258" s="29" t="s">
        <v>119</v>
      </c>
      <c r="L258" s="29" t="s">
        <v>119</v>
      </c>
      <c r="M258" s="29" t="s">
        <v>119</v>
      </c>
      <c r="N258" s="10" t="s">
        <v>119</v>
      </c>
      <c r="O258" s="43" t="s">
        <v>119</v>
      </c>
      <c r="P258" s="107">
        <v>5</v>
      </c>
      <c r="Q258" s="107" t="s">
        <v>119</v>
      </c>
      <c r="R258" s="107" t="s">
        <v>119</v>
      </c>
      <c r="S258" s="107" t="s">
        <v>119</v>
      </c>
      <c r="T258" s="106" t="s">
        <v>119</v>
      </c>
      <c r="U258" s="106" t="s">
        <v>119</v>
      </c>
      <c r="V258" t="s">
        <v>119</v>
      </c>
      <c r="W258" s="11" t="str">
        <f t="shared" si="3"/>
        <v>X</v>
      </c>
      <c r="X258" s="11" t="s">
        <v>119</v>
      </c>
    </row>
    <row r="259" spans="1:24" x14ac:dyDescent="0.3">
      <c r="A259" s="14" t="s">
        <v>116</v>
      </c>
      <c r="B259" s="2">
        <v>0</v>
      </c>
      <c r="C259" s="14">
        <v>0</v>
      </c>
      <c r="D259" s="14">
        <v>0</v>
      </c>
      <c r="E259" s="1">
        <v>1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8" t="s">
        <v>119</v>
      </c>
      <c r="L259" s="28" t="s">
        <v>119</v>
      </c>
      <c r="M259" s="28" t="s">
        <v>134</v>
      </c>
      <c r="N259" s="1" t="s">
        <v>119</v>
      </c>
      <c r="O259" s="43" t="s">
        <v>119</v>
      </c>
      <c r="P259" s="106" t="s">
        <v>119</v>
      </c>
      <c r="Q259" s="106" t="s">
        <v>119</v>
      </c>
      <c r="R259" s="106" t="s">
        <v>119</v>
      </c>
      <c r="S259" s="106" t="s">
        <v>119</v>
      </c>
      <c r="T259" s="106" t="s">
        <v>119</v>
      </c>
      <c r="U259" s="106" t="s">
        <v>119</v>
      </c>
      <c r="V259" t="s">
        <v>119</v>
      </c>
      <c r="W259" s="11" t="s">
        <v>134</v>
      </c>
      <c r="X259" s="11" t="s">
        <v>119</v>
      </c>
    </row>
    <row r="260" spans="1:24" x14ac:dyDescent="0.3">
      <c r="A260" s="14" t="s">
        <v>213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>
        <v>1</v>
      </c>
      <c r="K260" s="28">
        <v>1</v>
      </c>
      <c r="L260" s="28" t="s">
        <v>119</v>
      </c>
      <c r="M260" s="28">
        <v>2</v>
      </c>
      <c r="N260" s="1" t="s">
        <v>119</v>
      </c>
      <c r="O260" s="43" t="s">
        <v>119</v>
      </c>
      <c r="P260" s="106" t="s">
        <v>119</v>
      </c>
      <c r="Q260" s="106" t="s">
        <v>119</v>
      </c>
      <c r="R260" s="106" t="s">
        <v>119</v>
      </c>
      <c r="S260" s="106">
        <v>2</v>
      </c>
      <c r="T260" s="106" t="s">
        <v>119</v>
      </c>
      <c r="U260" s="106">
        <v>1</v>
      </c>
      <c r="V260" t="s">
        <v>119</v>
      </c>
      <c r="W260" s="11" t="str">
        <f t="shared" ref="W260:W322" si="4">IF(SUM(P260:U260)&gt;=1,"X","")</f>
        <v>X</v>
      </c>
      <c r="X260" s="11" t="s">
        <v>134</v>
      </c>
    </row>
    <row r="261" spans="1:24" x14ac:dyDescent="0.3">
      <c r="A261" s="10" t="s">
        <v>128</v>
      </c>
      <c r="B261" s="6" t="s">
        <v>119</v>
      </c>
      <c r="C261" s="10" t="s">
        <v>119</v>
      </c>
      <c r="D261" s="10" t="s">
        <v>119</v>
      </c>
      <c r="E261" s="10" t="s">
        <v>119</v>
      </c>
      <c r="F261" s="37" t="s">
        <v>119</v>
      </c>
      <c r="G261" s="37" t="s">
        <v>119</v>
      </c>
      <c r="H261" s="29">
        <v>1</v>
      </c>
      <c r="I261" s="29" t="s">
        <v>119</v>
      </c>
      <c r="J261" s="29" t="s">
        <v>119</v>
      </c>
      <c r="K261" s="28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106" t="s">
        <v>119</v>
      </c>
      <c r="Q261" s="106" t="s">
        <v>119</v>
      </c>
      <c r="R261" s="106" t="s">
        <v>119</v>
      </c>
      <c r="S261" s="106" t="s">
        <v>119</v>
      </c>
      <c r="T261" s="106" t="s">
        <v>119</v>
      </c>
      <c r="U261" s="106" t="s">
        <v>119</v>
      </c>
      <c r="V261" t="s">
        <v>119</v>
      </c>
      <c r="W261" s="11" t="s">
        <v>119</v>
      </c>
      <c r="X261" s="11" t="s">
        <v>119</v>
      </c>
    </row>
    <row r="262" spans="1:24" s="11" customFormat="1" x14ac:dyDescent="0.3">
      <c r="A262" s="14" t="s">
        <v>410</v>
      </c>
      <c r="B262" s="18" t="s">
        <v>119</v>
      </c>
      <c r="C262" s="14" t="s">
        <v>119</v>
      </c>
      <c r="D262" s="14" t="s">
        <v>119</v>
      </c>
      <c r="E262" s="14" t="s">
        <v>119</v>
      </c>
      <c r="F262" s="37" t="s">
        <v>119</v>
      </c>
      <c r="G262" s="37" t="s">
        <v>119</v>
      </c>
      <c r="H262" s="31" t="s">
        <v>119</v>
      </c>
      <c r="I262" s="31" t="s">
        <v>119</v>
      </c>
      <c r="J262" s="31" t="s">
        <v>119</v>
      </c>
      <c r="K262" s="31" t="s">
        <v>119</v>
      </c>
      <c r="L262" s="31" t="s">
        <v>119</v>
      </c>
      <c r="M262" s="31">
        <v>1</v>
      </c>
      <c r="N262" s="14" t="s">
        <v>119</v>
      </c>
      <c r="O262" s="43" t="s">
        <v>119</v>
      </c>
      <c r="P262" s="106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t="s">
        <v>119</v>
      </c>
      <c r="W262" s="11" t="s">
        <v>134</v>
      </c>
      <c r="X262" s="11" t="s">
        <v>119</v>
      </c>
    </row>
    <row r="263" spans="1:24" s="11" customFormat="1" x14ac:dyDescent="0.3">
      <c r="A263" s="14" t="s">
        <v>411</v>
      </c>
      <c r="B263" s="18" t="s">
        <v>119</v>
      </c>
      <c r="C263" s="14" t="s">
        <v>119</v>
      </c>
      <c r="D263" s="14" t="s">
        <v>119</v>
      </c>
      <c r="E263" s="14" t="s">
        <v>119</v>
      </c>
      <c r="F263" s="37" t="s">
        <v>119</v>
      </c>
      <c r="G263" s="37" t="s">
        <v>119</v>
      </c>
      <c r="H263" s="31" t="s">
        <v>119</v>
      </c>
      <c r="I263" s="31" t="s">
        <v>119</v>
      </c>
      <c r="J263" s="31" t="s">
        <v>119</v>
      </c>
      <c r="K263" s="31" t="s">
        <v>119</v>
      </c>
      <c r="L263" s="31" t="s">
        <v>119</v>
      </c>
      <c r="M263" s="31">
        <v>20</v>
      </c>
      <c r="N263" s="14" t="s">
        <v>119</v>
      </c>
      <c r="O263" s="43" t="s">
        <v>119</v>
      </c>
      <c r="P263" s="106" t="s">
        <v>119</v>
      </c>
      <c r="Q263" s="106">
        <v>1</v>
      </c>
      <c r="R263" s="106" t="s">
        <v>119</v>
      </c>
      <c r="S263" s="106" t="s">
        <v>119</v>
      </c>
      <c r="T263" s="106" t="s">
        <v>119</v>
      </c>
      <c r="U263" s="106" t="s">
        <v>119</v>
      </c>
      <c r="V263" t="s">
        <v>119</v>
      </c>
      <c r="W263" s="11" t="str">
        <f t="shared" si="4"/>
        <v>X</v>
      </c>
      <c r="X263" s="11" t="s">
        <v>134</v>
      </c>
    </row>
    <row r="264" spans="1:24" s="11" customFormat="1" x14ac:dyDescent="0.3">
      <c r="A264" s="14" t="s">
        <v>1037</v>
      </c>
      <c r="B264" s="18" t="s">
        <v>119</v>
      </c>
      <c r="C264" s="14" t="s">
        <v>119</v>
      </c>
      <c r="D264" s="14" t="s">
        <v>119</v>
      </c>
      <c r="E264" s="14" t="s">
        <v>119</v>
      </c>
      <c r="F264" s="37" t="s">
        <v>119</v>
      </c>
      <c r="G264" s="37" t="s">
        <v>119</v>
      </c>
      <c r="H264" s="31" t="s">
        <v>119</v>
      </c>
      <c r="I264" s="31" t="s">
        <v>119</v>
      </c>
      <c r="J264" s="31" t="s">
        <v>119</v>
      </c>
      <c r="K264" s="31" t="s">
        <v>119</v>
      </c>
      <c r="L264" s="31" t="s">
        <v>119</v>
      </c>
      <c r="M264" s="31" t="s">
        <v>119</v>
      </c>
      <c r="N264" s="14" t="s">
        <v>119</v>
      </c>
      <c r="O264" s="43" t="s">
        <v>119</v>
      </c>
      <c r="P264" s="106" t="s">
        <v>119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>
        <v>1</v>
      </c>
      <c r="V264" t="s">
        <v>119</v>
      </c>
      <c r="W264" s="11" t="str">
        <f t="shared" si="4"/>
        <v>X</v>
      </c>
      <c r="X264" s="11" t="s">
        <v>119</v>
      </c>
    </row>
    <row r="265" spans="1:24" x14ac:dyDescent="0.3">
      <c r="A265" s="14" t="s">
        <v>205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>
        <v>1</v>
      </c>
      <c r="I265" s="28">
        <v>1</v>
      </c>
      <c r="J265" s="28" t="s">
        <v>119</v>
      </c>
      <c r="K265" s="28" t="s">
        <v>119</v>
      </c>
      <c r="L265" s="28" t="s">
        <v>119</v>
      </c>
      <c r="M265" s="28" t="s">
        <v>119</v>
      </c>
      <c r="N265" s="1" t="s">
        <v>119</v>
      </c>
      <c r="O265" s="43" t="s">
        <v>119</v>
      </c>
      <c r="P265" s="106" t="s">
        <v>119</v>
      </c>
      <c r="Q265" s="106" t="s">
        <v>119</v>
      </c>
      <c r="R265" s="106" t="s">
        <v>119</v>
      </c>
      <c r="S265" s="106" t="s">
        <v>119</v>
      </c>
      <c r="T265" s="106" t="s">
        <v>119</v>
      </c>
      <c r="U265" s="106" t="s">
        <v>119</v>
      </c>
      <c r="V265" t="s">
        <v>119</v>
      </c>
      <c r="W265" s="11" t="s">
        <v>134</v>
      </c>
      <c r="X265" s="11" t="s">
        <v>134</v>
      </c>
    </row>
    <row r="266" spans="1:24" x14ac:dyDescent="0.3">
      <c r="A266" s="14" t="s">
        <v>412</v>
      </c>
      <c r="B266" s="2" t="s">
        <v>119</v>
      </c>
      <c r="C266" s="14" t="s">
        <v>119</v>
      </c>
      <c r="D266" s="14" t="s">
        <v>119</v>
      </c>
      <c r="E266" s="1" t="s">
        <v>119</v>
      </c>
      <c r="F266" s="37" t="s">
        <v>119</v>
      </c>
      <c r="G266" s="37" t="s">
        <v>119</v>
      </c>
      <c r="H266" s="28" t="s">
        <v>119</v>
      </c>
      <c r="I266" s="28" t="s">
        <v>119</v>
      </c>
      <c r="J266" s="28" t="s">
        <v>119</v>
      </c>
      <c r="K266" s="28" t="s">
        <v>119</v>
      </c>
      <c r="L266" s="28" t="s">
        <v>119</v>
      </c>
      <c r="M266" s="28" t="s">
        <v>134</v>
      </c>
      <c r="N266" s="1" t="s">
        <v>119</v>
      </c>
      <c r="O266" s="43" t="s">
        <v>119</v>
      </c>
      <c r="P266" s="106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>
        <v>1</v>
      </c>
      <c r="V266" t="s">
        <v>119</v>
      </c>
      <c r="W266" s="11" t="str">
        <f t="shared" si="4"/>
        <v>X</v>
      </c>
      <c r="X266" s="11" t="s">
        <v>134</v>
      </c>
    </row>
    <row r="267" spans="1:24" x14ac:dyDescent="0.3">
      <c r="A267" s="14" t="s">
        <v>115</v>
      </c>
      <c r="B267" s="2">
        <v>2</v>
      </c>
      <c r="C267" s="14">
        <v>0</v>
      </c>
      <c r="D267" s="14">
        <v>0</v>
      </c>
      <c r="E267" s="1">
        <v>0</v>
      </c>
      <c r="F267" s="37" t="s">
        <v>119</v>
      </c>
      <c r="G267" s="37" t="s">
        <v>119</v>
      </c>
      <c r="H267" s="28" t="s">
        <v>119</v>
      </c>
      <c r="I267" s="28" t="s">
        <v>119</v>
      </c>
      <c r="J267" s="28" t="s">
        <v>119</v>
      </c>
      <c r="K267" s="28" t="s">
        <v>119</v>
      </c>
      <c r="L267" s="28" t="s">
        <v>119</v>
      </c>
      <c r="M267" s="28" t="s">
        <v>119</v>
      </c>
      <c r="N267" s="1" t="s">
        <v>119</v>
      </c>
      <c r="O267" s="43" t="s">
        <v>119</v>
      </c>
      <c r="P267" s="106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t="s">
        <v>119</v>
      </c>
      <c r="W267" s="11" t="s">
        <v>134</v>
      </c>
      <c r="X267" s="11" t="s">
        <v>134</v>
      </c>
    </row>
    <row r="268" spans="1:24" x14ac:dyDescent="0.3">
      <c r="A268" s="14" t="s">
        <v>114</v>
      </c>
      <c r="B268" s="2">
        <v>0</v>
      </c>
      <c r="C268" s="14">
        <v>0</v>
      </c>
      <c r="D268" s="14">
        <v>0</v>
      </c>
      <c r="E268" s="1">
        <v>1</v>
      </c>
      <c r="F268" s="37" t="s">
        <v>119</v>
      </c>
      <c r="G268" s="37" t="s">
        <v>119</v>
      </c>
      <c r="H268" s="28" t="s">
        <v>119</v>
      </c>
      <c r="I268" s="27">
        <v>1</v>
      </c>
      <c r="J268" s="28" t="s">
        <v>119</v>
      </c>
      <c r="K268" s="28" t="s">
        <v>119</v>
      </c>
      <c r="L268" s="28" t="s">
        <v>119</v>
      </c>
      <c r="M268" s="28" t="s">
        <v>119</v>
      </c>
      <c r="N268" s="1" t="s">
        <v>119</v>
      </c>
      <c r="O268" s="43" t="s">
        <v>119</v>
      </c>
      <c r="P268" s="106" t="s">
        <v>119</v>
      </c>
      <c r="Q268" s="106" t="s">
        <v>119</v>
      </c>
      <c r="R268" s="106" t="s">
        <v>119</v>
      </c>
      <c r="S268" s="106" t="s">
        <v>119</v>
      </c>
      <c r="T268" s="106" t="s">
        <v>119</v>
      </c>
      <c r="U268" s="106" t="s">
        <v>119</v>
      </c>
      <c r="V268" t="s">
        <v>119</v>
      </c>
      <c r="W268" s="11" t="s">
        <v>134</v>
      </c>
      <c r="X268" s="11" t="s">
        <v>134</v>
      </c>
    </row>
    <row r="269" spans="1:24" x14ac:dyDescent="0.3">
      <c r="A269" s="14" t="s">
        <v>327</v>
      </c>
      <c r="B269" s="2" t="s">
        <v>119</v>
      </c>
      <c r="C269" s="14" t="s">
        <v>119</v>
      </c>
      <c r="D269" s="14" t="s">
        <v>119</v>
      </c>
      <c r="E269" s="1" t="s">
        <v>119</v>
      </c>
      <c r="F269" s="37" t="s">
        <v>119</v>
      </c>
      <c r="G269" s="37" t="s">
        <v>119</v>
      </c>
      <c r="H269" s="28" t="s">
        <v>119</v>
      </c>
      <c r="I269" s="27">
        <v>1</v>
      </c>
      <c r="J269" s="28" t="s">
        <v>119</v>
      </c>
      <c r="K269" s="28" t="s">
        <v>134</v>
      </c>
      <c r="L269" s="28">
        <v>1</v>
      </c>
      <c r="M269" s="28" t="s">
        <v>119</v>
      </c>
      <c r="N269" s="1" t="s">
        <v>119</v>
      </c>
      <c r="O269" s="43" t="s">
        <v>119</v>
      </c>
      <c r="P269" s="106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t="s">
        <v>119</v>
      </c>
      <c r="W269" s="11" t="s">
        <v>134</v>
      </c>
      <c r="X269" s="11" t="s">
        <v>134</v>
      </c>
    </row>
    <row r="270" spans="1:24" x14ac:dyDescent="0.3">
      <c r="A270" s="14" t="s">
        <v>1036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 t="s">
        <v>119</v>
      </c>
      <c r="I270" s="28" t="s">
        <v>119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106" t="s">
        <v>119</v>
      </c>
      <c r="Q270" s="106" t="s">
        <v>119</v>
      </c>
      <c r="R270" s="106" t="s">
        <v>119</v>
      </c>
      <c r="S270" s="106">
        <v>17</v>
      </c>
      <c r="T270" s="106" t="s">
        <v>119</v>
      </c>
      <c r="U270" s="106" t="s">
        <v>119</v>
      </c>
      <c r="V270" t="s">
        <v>119</v>
      </c>
      <c r="W270" s="11" t="str">
        <f t="shared" si="4"/>
        <v>X</v>
      </c>
      <c r="X270" s="11" t="s">
        <v>119</v>
      </c>
    </row>
    <row r="271" spans="1:24" x14ac:dyDescent="0.3">
      <c r="A271" s="14" t="s">
        <v>1103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>
        <v>1</v>
      </c>
      <c r="L271" s="28" t="s">
        <v>119</v>
      </c>
      <c r="M271" s="28" t="s">
        <v>119</v>
      </c>
      <c r="N271" s="1" t="s">
        <v>119</v>
      </c>
      <c r="O271" s="43" t="s">
        <v>119</v>
      </c>
      <c r="P271" s="106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t="s">
        <v>119</v>
      </c>
      <c r="W271" s="11" t="s">
        <v>119</v>
      </c>
      <c r="X271" s="11" t="s">
        <v>119</v>
      </c>
    </row>
    <row r="272" spans="1:24" x14ac:dyDescent="0.3">
      <c r="A272" s="14" t="s">
        <v>677</v>
      </c>
      <c r="B272" s="2" t="s">
        <v>119</v>
      </c>
      <c r="C272" s="14" t="s">
        <v>119</v>
      </c>
      <c r="D272" s="14" t="s">
        <v>119</v>
      </c>
      <c r="E272" s="1" t="s">
        <v>119</v>
      </c>
      <c r="F272" s="37" t="s">
        <v>119</v>
      </c>
      <c r="G272" s="37" t="s">
        <v>119</v>
      </c>
      <c r="H272" s="28">
        <v>2</v>
      </c>
      <c r="I272" s="28">
        <v>1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106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t="s">
        <v>119</v>
      </c>
      <c r="W272" s="11" t="s">
        <v>134</v>
      </c>
      <c r="X272" s="11" t="s">
        <v>119</v>
      </c>
    </row>
    <row r="273" spans="1:24" s="5" customFormat="1" x14ac:dyDescent="0.3">
      <c r="A273" s="10" t="s">
        <v>869</v>
      </c>
      <c r="B273" s="6" t="s">
        <v>119</v>
      </c>
      <c r="C273" s="10" t="s">
        <v>119</v>
      </c>
      <c r="D273" s="10" t="s">
        <v>119</v>
      </c>
      <c r="E273" s="10" t="s">
        <v>119</v>
      </c>
      <c r="F273" s="37" t="s">
        <v>119</v>
      </c>
      <c r="G273" s="29" t="s">
        <v>119</v>
      </c>
      <c r="H273" s="29" t="s">
        <v>119</v>
      </c>
      <c r="I273" s="30" t="s">
        <v>119</v>
      </c>
      <c r="J273" s="29" t="s">
        <v>119</v>
      </c>
      <c r="K273" s="29" t="s">
        <v>119</v>
      </c>
      <c r="L273" s="29" t="s">
        <v>119</v>
      </c>
      <c r="M273" s="29" t="s">
        <v>119</v>
      </c>
      <c r="N273" s="10" t="s">
        <v>119</v>
      </c>
      <c r="O273" s="43" t="s">
        <v>119</v>
      </c>
      <c r="P273" s="107" t="s">
        <v>119</v>
      </c>
      <c r="Q273" s="107" t="s">
        <v>119</v>
      </c>
      <c r="R273" s="107">
        <v>2</v>
      </c>
      <c r="S273" s="107">
        <v>14</v>
      </c>
      <c r="T273" s="106" t="s">
        <v>119</v>
      </c>
      <c r="U273" s="106" t="s">
        <v>119</v>
      </c>
      <c r="V273" t="s">
        <v>119</v>
      </c>
      <c r="W273" s="11" t="str">
        <f t="shared" si="4"/>
        <v>X</v>
      </c>
      <c r="X273" s="11" t="s">
        <v>119</v>
      </c>
    </row>
    <row r="274" spans="1:24" s="11" customFormat="1" x14ac:dyDescent="0.3">
      <c r="A274" s="14" t="s">
        <v>1104</v>
      </c>
      <c r="B274" s="18" t="s">
        <v>119</v>
      </c>
      <c r="C274" s="14" t="s">
        <v>119</v>
      </c>
      <c r="D274" s="14" t="s">
        <v>119</v>
      </c>
      <c r="E274" s="14" t="s">
        <v>119</v>
      </c>
      <c r="F274" s="31" t="s">
        <v>119</v>
      </c>
      <c r="G274" s="31" t="s">
        <v>119</v>
      </c>
      <c r="H274" s="31" t="s">
        <v>119</v>
      </c>
      <c r="I274" s="34" t="s">
        <v>119</v>
      </c>
      <c r="J274" s="31" t="s">
        <v>119</v>
      </c>
      <c r="K274" s="31">
        <v>2</v>
      </c>
      <c r="L274" s="31" t="s">
        <v>119</v>
      </c>
      <c r="M274" s="31" t="s">
        <v>119</v>
      </c>
      <c r="N274" s="14" t="s">
        <v>119</v>
      </c>
      <c r="O274" s="43" t="s">
        <v>119</v>
      </c>
      <c r="P274" s="108" t="s">
        <v>119</v>
      </c>
      <c r="Q274" s="108" t="s">
        <v>119</v>
      </c>
      <c r="R274" s="108" t="s">
        <v>119</v>
      </c>
      <c r="S274" s="108" t="s">
        <v>119</v>
      </c>
      <c r="T274" s="108" t="s">
        <v>119</v>
      </c>
      <c r="U274" s="108" t="s">
        <v>119</v>
      </c>
      <c r="V274" s="11" t="s">
        <v>119</v>
      </c>
      <c r="W274" s="11" t="s">
        <v>134</v>
      </c>
      <c r="X274" s="11" t="s">
        <v>134</v>
      </c>
    </row>
    <row r="275" spans="1:24" x14ac:dyDescent="0.3">
      <c r="A275" s="14" t="s">
        <v>713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7">
        <v>1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106" t="s">
        <v>119</v>
      </c>
      <c r="Q275" s="106" t="s">
        <v>119</v>
      </c>
      <c r="R275" s="106" t="s">
        <v>119</v>
      </c>
      <c r="S275" s="106">
        <v>1</v>
      </c>
      <c r="T275" s="106" t="s">
        <v>119</v>
      </c>
      <c r="U275" s="106" t="s">
        <v>119</v>
      </c>
      <c r="V275" t="s">
        <v>119</v>
      </c>
      <c r="W275" s="11" t="str">
        <f t="shared" si="4"/>
        <v>X</v>
      </c>
      <c r="X275" s="11" t="s">
        <v>134</v>
      </c>
    </row>
    <row r="276" spans="1:24" x14ac:dyDescent="0.3">
      <c r="A276" s="14" t="s">
        <v>1165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7" t="s">
        <v>119</v>
      </c>
      <c r="J276" s="28">
        <v>2</v>
      </c>
      <c r="K276" s="28" t="s">
        <v>119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106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t="s">
        <v>134</v>
      </c>
      <c r="W276" s="11" t="s">
        <v>119</v>
      </c>
      <c r="X276" s="11" t="s">
        <v>119</v>
      </c>
    </row>
    <row r="277" spans="1:24" x14ac:dyDescent="0.3">
      <c r="A277" s="14" t="s">
        <v>1028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 t="s">
        <v>119</v>
      </c>
      <c r="I277" s="27" t="s">
        <v>119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106" t="s">
        <v>119</v>
      </c>
      <c r="Q277" s="106" t="s">
        <v>119</v>
      </c>
      <c r="R277" s="106" t="s">
        <v>119</v>
      </c>
      <c r="S277" s="106">
        <v>1</v>
      </c>
      <c r="T277" s="106" t="s">
        <v>119</v>
      </c>
      <c r="U277" s="106" t="s">
        <v>119</v>
      </c>
      <c r="V277" t="s">
        <v>119</v>
      </c>
      <c r="W277" s="11" t="str">
        <f t="shared" si="4"/>
        <v>X</v>
      </c>
      <c r="X277" s="11" t="s">
        <v>119</v>
      </c>
    </row>
    <row r="278" spans="1:24" x14ac:dyDescent="0.3">
      <c r="A278" s="14" t="s">
        <v>678</v>
      </c>
      <c r="B278" s="2" t="s">
        <v>119</v>
      </c>
      <c r="C278" s="14" t="s">
        <v>119</v>
      </c>
      <c r="D278" s="14" t="s">
        <v>119</v>
      </c>
      <c r="E278" s="1" t="s">
        <v>119</v>
      </c>
      <c r="F278" s="37" t="s">
        <v>119</v>
      </c>
      <c r="G278" s="37">
        <v>1</v>
      </c>
      <c r="H278" s="28" t="s">
        <v>119</v>
      </c>
      <c r="I278" s="27" t="s">
        <v>119</v>
      </c>
      <c r="J278" s="28" t="s">
        <v>119</v>
      </c>
      <c r="K278" s="28" t="s">
        <v>119</v>
      </c>
      <c r="L278" s="28" t="s">
        <v>119</v>
      </c>
      <c r="M278" s="28" t="s">
        <v>119</v>
      </c>
      <c r="N278" s="1" t="s">
        <v>119</v>
      </c>
      <c r="O278" s="43" t="s">
        <v>119</v>
      </c>
      <c r="P278" s="106" t="s">
        <v>119</v>
      </c>
      <c r="Q278" s="106" t="s">
        <v>119</v>
      </c>
      <c r="R278" s="106" t="s">
        <v>119</v>
      </c>
      <c r="S278" s="106">
        <v>1</v>
      </c>
      <c r="T278" s="106" t="s">
        <v>119</v>
      </c>
      <c r="U278" s="106" t="s">
        <v>119</v>
      </c>
      <c r="V278" t="s">
        <v>119</v>
      </c>
      <c r="W278" s="11" t="str">
        <f t="shared" si="4"/>
        <v>X</v>
      </c>
      <c r="X278" s="11" t="s">
        <v>119</v>
      </c>
    </row>
    <row r="279" spans="1:24" x14ac:dyDescent="0.3">
      <c r="A279" s="14" t="s">
        <v>278</v>
      </c>
      <c r="B279" s="2" t="s">
        <v>119</v>
      </c>
      <c r="C279" s="14" t="s">
        <v>119</v>
      </c>
      <c r="D279" s="14" t="s">
        <v>119</v>
      </c>
      <c r="E279" s="1" t="s">
        <v>119</v>
      </c>
      <c r="F279" s="37" t="s">
        <v>119</v>
      </c>
      <c r="G279" s="37" t="s">
        <v>119</v>
      </c>
      <c r="H279" s="28" t="s">
        <v>119</v>
      </c>
      <c r="I279" s="27">
        <v>1</v>
      </c>
      <c r="J279" s="28" t="s">
        <v>119</v>
      </c>
      <c r="K279" s="28">
        <v>15</v>
      </c>
      <c r="L279" s="28" t="s">
        <v>119</v>
      </c>
      <c r="M279" s="28" t="s">
        <v>119</v>
      </c>
      <c r="N279" s="1" t="s">
        <v>119</v>
      </c>
      <c r="O279" s="43" t="s">
        <v>119</v>
      </c>
      <c r="P279" s="106" t="s">
        <v>119</v>
      </c>
      <c r="Q279" s="106" t="s">
        <v>119</v>
      </c>
      <c r="R279" s="106" t="s">
        <v>119</v>
      </c>
      <c r="S279" s="106" t="s">
        <v>119</v>
      </c>
      <c r="T279" s="106" t="s">
        <v>119</v>
      </c>
      <c r="U279" s="106" t="s">
        <v>119</v>
      </c>
      <c r="V279" t="s">
        <v>119</v>
      </c>
      <c r="W279" s="11" t="s">
        <v>119</v>
      </c>
      <c r="X279" s="11" t="s">
        <v>119</v>
      </c>
    </row>
    <row r="280" spans="1:24" x14ac:dyDescent="0.3">
      <c r="A280" s="14" t="s">
        <v>129</v>
      </c>
      <c r="B280" s="17" t="s">
        <v>119</v>
      </c>
      <c r="C280" s="14" t="s">
        <v>119</v>
      </c>
      <c r="D280" s="14" t="s">
        <v>119</v>
      </c>
      <c r="E280" s="1" t="s">
        <v>119</v>
      </c>
      <c r="F280" s="37">
        <v>1</v>
      </c>
      <c r="G280" s="37">
        <v>1</v>
      </c>
      <c r="H280" s="28">
        <v>4</v>
      </c>
      <c r="I280" s="28" t="s">
        <v>119</v>
      </c>
      <c r="J280" s="28" t="s">
        <v>119</v>
      </c>
      <c r="K280" s="28" t="s">
        <v>119</v>
      </c>
      <c r="L280" s="28" t="s">
        <v>119</v>
      </c>
      <c r="M280" s="28" t="s">
        <v>134</v>
      </c>
      <c r="N280" s="1" t="s">
        <v>119</v>
      </c>
      <c r="O280" s="43" t="s">
        <v>119</v>
      </c>
      <c r="P280" s="106" t="s">
        <v>119</v>
      </c>
      <c r="Q280" s="106" t="s">
        <v>119</v>
      </c>
      <c r="R280" s="106" t="s">
        <v>119</v>
      </c>
      <c r="S280" s="106" t="s">
        <v>119</v>
      </c>
      <c r="T280" s="106" t="s">
        <v>119</v>
      </c>
      <c r="U280" s="106" t="s">
        <v>119</v>
      </c>
      <c r="V280" t="s">
        <v>119</v>
      </c>
      <c r="W280" s="11" t="s">
        <v>119</v>
      </c>
      <c r="X280" s="11" t="s">
        <v>119</v>
      </c>
    </row>
    <row r="281" spans="1:24" x14ac:dyDescent="0.3">
      <c r="A281" s="14" t="s">
        <v>679</v>
      </c>
      <c r="B281" s="17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>
        <v>2</v>
      </c>
      <c r="I281" s="28">
        <v>4</v>
      </c>
      <c r="J281" s="28" t="s">
        <v>119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106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t="s">
        <v>119</v>
      </c>
      <c r="W281" s="11" t="s">
        <v>119</v>
      </c>
      <c r="X281" s="11" t="s">
        <v>119</v>
      </c>
    </row>
    <row r="282" spans="1:24" x14ac:dyDescent="0.3">
      <c r="A282" s="1" t="s">
        <v>1166</v>
      </c>
      <c r="B282" s="2" t="s">
        <v>119</v>
      </c>
      <c r="C282" s="4" t="s">
        <v>119</v>
      </c>
      <c r="D282" s="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8" t="s">
        <v>119</v>
      </c>
      <c r="J282" s="28">
        <f>1+2+1+1+1+1+1+1+3+2+1</f>
        <v>15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106" t="s">
        <v>119</v>
      </c>
      <c r="Q282" s="106" t="s">
        <v>119</v>
      </c>
      <c r="R282" s="106" t="s">
        <v>119</v>
      </c>
      <c r="S282" s="106" t="s">
        <v>119</v>
      </c>
      <c r="T282" s="106" t="s">
        <v>119</v>
      </c>
      <c r="U282" s="106" t="s">
        <v>119</v>
      </c>
      <c r="V282" t="s">
        <v>134</v>
      </c>
      <c r="W282" s="11" t="s">
        <v>119</v>
      </c>
      <c r="X282" s="11" t="s">
        <v>119</v>
      </c>
    </row>
    <row r="283" spans="1:24" x14ac:dyDescent="0.3">
      <c r="A283" s="1" t="s">
        <v>214</v>
      </c>
      <c r="B283" s="2" t="s">
        <v>119</v>
      </c>
      <c r="C283" s="4" t="s">
        <v>119</v>
      </c>
      <c r="D283" s="4" t="s">
        <v>119</v>
      </c>
      <c r="E283" s="1" t="s">
        <v>119</v>
      </c>
      <c r="F283" s="37" t="s">
        <v>119</v>
      </c>
      <c r="G283" s="37" t="s">
        <v>119</v>
      </c>
      <c r="H283" s="28" t="s">
        <v>119</v>
      </c>
      <c r="I283" s="28">
        <f>9+1+12</f>
        <v>22</v>
      </c>
      <c r="J283" s="28" t="s">
        <v>119</v>
      </c>
      <c r="K283" s="29" t="s">
        <v>119</v>
      </c>
      <c r="L283" s="28" t="s">
        <v>119</v>
      </c>
      <c r="M283" s="28">
        <f>1+11+10+1</f>
        <v>23</v>
      </c>
      <c r="N283" s="1" t="s">
        <v>119</v>
      </c>
      <c r="O283" s="43" t="s">
        <v>119</v>
      </c>
      <c r="P283" s="106" t="s">
        <v>119</v>
      </c>
      <c r="Q283" s="106" t="s">
        <v>119</v>
      </c>
      <c r="R283" s="106" t="s">
        <v>119</v>
      </c>
      <c r="S283" s="106" t="s">
        <v>119</v>
      </c>
      <c r="T283" s="106" t="s">
        <v>119</v>
      </c>
      <c r="U283" s="106" t="s">
        <v>119</v>
      </c>
      <c r="V283" t="s">
        <v>119</v>
      </c>
      <c r="W283" s="11" t="s">
        <v>134</v>
      </c>
      <c r="X283" s="11" t="s">
        <v>134</v>
      </c>
    </row>
    <row r="284" spans="1:24" x14ac:dyDescent="0.3">
      <c r="A284" s="12" t="s">
        <v>413</v>
      </c>
      <c r="B284" s="2" t="s">
        <v>119</v>
      </c>
      <c r="C284" s="4" t="s">
        <v>119</v>
      </c>
      <c r="D284" s="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8" t="s">
        <v>119</v>
      </c>
      <c r="J284" s="28" t="s">
        <v>119</v>
      </c>
      <c r="K284" s="29" t="s">
        <v>119</v>
      </c>
      <c r="L284" s="28" t="s">
        <v>119</v>
      </c>
      <c r="M284" s="28">
        <v>1</v>
      </c>
      <c r="N284" s="1" t="s">
        <v>119</v>
      </c>
      <c r="O284" s="43" t="s">
        <v>119</v>
      </c>
      <c r="P284" s="106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t="s">
        <v>119</v>
      </c>
      <c r="W284" s="11" t="s">
        <v>119</v>
      </c>
      <c r="X284" s="11" t="s">
        <v>119</v>
      </c>
    </row>
    <row r="285" spans="1:24" x14ac:dyDescent="0.3">
      <c r="A285" s="1" t="s">
        <v>215</v>
      </c>
      <c r="B285" s="2">
        <v>1</v>
      </c>
      <c r="C285" s="4">
        <v>0</v>
      </c>
      <c r="D285" s="4">
        <v>2</v>
      </c>
      <c r="E285" s="1">
        <v>3</v>
      </c>
      <c r="F285" s="37">
        <v>2</v>
      </c>
      <c r="G285" s="37" t="s">
        <v>119</v>
      </c>
      <c r="H285" s="28" t="s">
        <v>119</v>
      </c>
      <c r="I285" s="28">
        <v>2</v>
      </c>
      <c r="J285" s="28" t="s">
        <v>119</v>
      </c>
      <c r="K285" s="29" t="s">
        <v>119</v>
      </c>
      <c r="L285" s="28" t="s">
        <v>119</v>
      </c>
      <c r="M285" s="28">
        <v>6</v>
      </c>
      <c r="N285" s="1" t="s">
        <v>119</v>
      </c>
      <c r="O285" s="43" t="s">
        <v>119</v>
      </c>
      <c r="P285" s="106" t="s">
        <v>119</v>
      </c>
      <c r="Q285" s="106" t="s">
        <v>119</v>
      </c>
      <c r="R285" s="106" t="s">
        <v>119</v>
      </c>
      <c r="S285" s="106">
        <v>2</v>
      </c>
      <c r="T285" s="106" t="s">
        <v>119</v>
      </c>
      <c r="U285" s="106" t="s">
        <v>119</v>
      </c>
      <c r="V285" t="s">
        <v>119</v>
      </c>
      <c r="W285" s="11" t="str">
        <f t="shared" si="4"/>
        <v>X</v>
      </c>
      <c r="X285" s="11" t="s">
        <v>119</v>
      </c>
    </row>
    <row r="286" spans="1:24" x14ac:dyDescent="0.3">
      <c r="A286" s="4" t="s">
        <v>414</v>
      </c>
      <c r="B286" s="2" t="s">
        <v>119</v>
      </c>
      <c r="C286" s="4" t="s">
        <v>119</v>
      </c>
      <c r="D286" s="4" t="s">
        <v>119</v>
      </c>
      <c r="E286" s="1" t="s">
        <v>119</v>
      </c>
      <c r="F286" s="37" t="s">
        <v>119</v>
      </c>
      <c r="G286" s="37" t="s">
        <v>119</v>
      </c>
      <c r="H286" s="28" t="s">
        <v>119</v>
      </c>
      <c r="I286" s="28" t="s">
        <v>119</v>
      </c>
      <c r="J286" s="28" t="s">
        <v>119</v>
      </c>
      <c r="K286" s="29" t="s">
        <v>119</v>
      </c>
      <c r="L286" s="28" t="s">
        <v>119</v>
      </c>
      <c r="M286" s="28" t="s">
        <v>134</v>
      </c>
      <c r="N286" s="1" t="s">
        <v>119</v>
      </c>
      <c r="O286" s="43" t="s">
        <v>119</v>
      </c>
      <c r="P286" s="106" t="s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t="s">
        <v>119</v>
      </c>
      <c r="W286" s="11" t="s">
        <v>134</v>
      </c>
      <c r="X286" s="11" t="s">
        <v>119</v>
      </c>
    </row>
    <row r="287" spans="1:24" x14ac:dyDescent="0.3">
      <c r="A287" s="4" t="s">
        <v>714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>
        <v>1</v>
      </c>
      <c r="J287" s="28" t="s">
        <v>119</v>
      </c>
      <c r="K287" s="29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106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t="s">
        <v>119</v>
      </c>
      <c r="W287" s="11" t="s">
        <v>119</v>
      </c>
      <c r="X287" s="11" t="s">
        <v>119</v>
      </c>
    </row>
    <row r="288" spans="1:24" x14ac:dyDescent="0.3">
      <c r="A288" s="4" t="s">
        <v>415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 t="s">
        <v>119</v>
      </c>
      <c r="G288" s="37" t="s">
        <v>119</v>
      </c>
      <c r="H288" s="28" t="s">
        <v>119</v>
      </c>
      <c r="I288" s="28" t="s">
        <v>119</v>
      </c>
      <c r="J288" s="28" t="s">
        <v>119</v>
      </c>
      <c r="K288" s="29" t="s">
        <v>119</v>
      </c>
      <c r="L288" s="28" t="s">
        <v>119</v>
      </c>
      <c r="M288" s="28">
        <v>1</v>
      </c>
      <c r="N288" s="1" t="s">
        <v>119</v>
      </c>
      <c r="O288" s="43" t="s">
        <v>119</v>
      </c>
      <c r="P288" s="106" t="s">
        <v>119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t="s">
        <v>119</v>
      </c>
      <c r="W288" s="11" t="s">
        <v>134</v>
      </c>
      <c r="X288" s="11" t="s">
        <v>119</v>
      </c>
    </row>
    <row r="289" spans="1:24" x14ac:dyDescent="0.3">
      <c r="A289" s="4" t="s">
        <v>822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 t="s">
        <v>119</v>
      </c>
      <c r="N289" s="1" t="s">
        <v>119</v>
      </c>
      <c r="O289" s="43" t="s">
        <v>119</v>
      </c>
      <c r="P289" s="106" t="s">
        <v>119</v>
      </c>
      <c r="Q289" s="106" t="s">
        <v>119</v>
      </c>
      <c r="R289" s="106" t="s">
        <v>119</v>
      </c>
      <c r="S289" s="106">
        <v>1</v>
      </c>
      <c r="T289" s="106" t="s">
        <v>119</v>
      </c>
      <c r="U289" s="106" t="s">
        <v>119</v>
      </c>
      <c r="V289" t="s">
        <v>119</v>
      </c>
      <c r="W289" s="11" t="str">
        <f t="shared" si="4"/>
        <v>X</v>
      </c>
      <c r="X289" s="11" t="s">
        <v>134</v>
      </c>
    </row>
    <row r="290" spans="1:24" x14ac:dyDescent="0.3">
      <c r="A290" s="1" t="s">
        <v>1167</v>
      </c>
      <c r="B290" s="2" t="s">
        <v>119</v>
      </c>
      <c r="C290" s="4" t="s">
        <v>119</v>
      </c>
      <c r="D290" s="4" t="s">
        <v>119</v>
      </c>
      <c r="E290" s="1" t="s">
        <v>119</v>
      </c>
      <c r="F290" s="37" t="s">
        <v>119</v>
      </c>
      <c r="G290" s="37" t="s">
        <v>119</v>
      </c>
      <c r="H290" s="28" t="s">
        <v>119</v>
      </c>
      <c r="I290" s="28" t="s">
        <v>119</v>
      </c>
      <c r="J290" s="28">
        <v>8</v>
      </c>
      <c r="K290" s="29" t="s">
        <v>119</v>
      </c>
      <c r="L290" s="28" t="s">
        <v>119</v>
      </c>
      <c r="N290" s="1" t="s">
        <v>119</v>
      </c>
      <c r="O290" s="43" t="s">
        <v>119</v>
      </c>
      <c r="P290" s="106" t="s">
        <v>119</v>
      </c>
      <c r="Q290" s="106" t="s">
        <v>119</v>
      </c>
      <c r="R290" s="106" t="s">
        <v>119</v>
      </c>
      <c r="S290" s="106" t="s">
        <v>119</v>
      </c>
      <c r="T290" s="106" t="s">
        <v>119</v>
      </c>
      <c r="U290" s="106" t="s">
        <v>119</v>
      </c>
      <c r="V290" t="s">
        <v>134</v>
      </c>
      <c r="W290" s="11" t="s">
        <v>119</v>
      </c>
      <c r="X290" s="11" t="s">
        <v>119</v>
      </c>
    </row>
    <row r="291" spans="1:24" x14ac:dyDescent="0.3">
      <c r="A291" s="4" t="s">
        <v>416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>
        <v>1</v>
      </c>
      <c r="N291" s="1" t="s">
        <v>119</v>
      </c>
      <c r="O291" s="43" t="s">
        <v>119</v>
      </c>
      <c r="P291" s="106" t="s">
        <v>119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t="s">
        <v>119</v>
      </c>
      <c r="W291" s="11" t="s">
        <v>134</v>
      </c>
      <c r="X291" s="11" t="s">
        <v>119</v>
      </c>
    </row>
    <row r="292" spans="1:24" x14ac:dyDescent="0.3">
      <c r="A292" s="4" t="s">
        <v>1275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106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t="s">
        <v>119</v>
      </c>
      <c r="W292" s="11" t="s">
        <v>134</v>
      </c>
      <c r="X292" s="11" t="s">
        <v>119</v>
      </c>
    </row>
    <row r="293" spans="1:24" x14ac:dyDescent="0.3">
      <c r="A293" s="4" t="s">
        <v>417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 t="s">
        <v>119</v>
      </c>
      <c r="J293" s="28" t="s">
        <v>119</v>
      </c>
      <c r="K293" s="29" t="s">
        <v>119</v>
      </c>
      <c r="L293" s="28" t="s">
        <v>119</v>
      </c>
      <c r="M293" s="28">
        <v>3</v>
      </c>
      <c r="N293" s="1" t="s">
        <v>119</v>
      </c>
      <c r="O293" s="43" t="s">
        <v>119</v>
      </c>
      <c r="P293" s="106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t="s">
        <v>119</v>
      </c>
      <c r="W293" s="11" t="s">
        <v>119</v>
      </c>
      <c r="X293" s="11" t="s">
        <v>119</v>
      </c>
    </row>
    <row r="294" spans="1:24" x14ac:dyDescent="0.3">
      <c r="A294" s="4" t="s">
        <v>680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>
        <v>1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 t="s">
        <v>119</v>
      </c>
      <c r="N294" s="1" t="s">
        <v>119</v>
      </c>
      <c r="O294" s="43" t="s">
        <v>119</v>
      </c>
      <c r="P294" s="106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t="s">
        <v>119</v>
      </c>
      <c r="W294" s="11" t="s">
        <v>119</v>
      </c>
      <c r="X294" s="11" t="s">
        <v>119</v>
      </c>
    </row>
    <row r="295" spans="1:24" x14ac:dyDescent="0.3">
      <c r="A295" s="10" t="s">
        <v>218</v>
      </c>
      <c r="B295" s="6">
        <v>5</v>
      </c>
      <c r="C295" s="7">
        <v>0</v>
      </c>
      <c r="D295" s="7">
        <v>0</v>
      </c>
      <c r="E295" s="10">
        <v>0</v>
      </c>
      <c r="F295" s="37" t="s">
        <v>119</v>
      </c>
      <c r="G295" s="37" t="s">
        <v>119</v>
      </c>
      <c r="H295" s="29" t="s">
        <v>119</v>
      </c>
      <c r="I295" s="29" t="s">
        <v>119</v>
      </c>
      <c r="J295" s="29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106" t="s">
        <v>119</v>
      </c>
      <c r="Q295" s="106" t="s">
        <v>119</v>
      </c>
      <c r="R295" s="106" t="s">
        <v>119</v>
      </c>
      <c r="S295" s="106" t="s">
        <v>119</v>
      </c>
      <c r="T295" s="106" t="s">
        <v>119</v>
      </c>
      <c r="U295" s="106" t="s">
        <v>119</v>
      </c>
      <c r="V295" t="s">
        <v>119</v>
      </c>
      <c r="W295" s="11" t="s">
        <v>119</v>
      </c>
      <c r="X295" s="11" t="s">
        <v>119</v>
      </c>
    </row>
    <row r="296" spans="1:24" x14ac:dyDescent="0.3">
      <c r="A296" s="10" t="s">
        <v>219</v>
      </c>
      <c r="B296" s="6" t="s">
        <v>119</v>
      </c>
      <c r="C296" s="7" t="s">
        <v>119</v>
      </c>
      <c r="D296" s="7" t="s">
        <v>119</v>
      </c>
      <c r="E296" s="10" t="s">
        <v>119</v>
      </c>
      <c r="F296" s="37" t="s">
        <v>119</v>
      </c>
      <c r="G296" s="37" t="s">
        <v>119</v>
      </c>
      <c r="H296" s="29" t="s">
        <v>119</v>
      </c>
      <c r="I296" s="29" t="s">
        <v>119</v>
      </c>
      <c r="J296" s="29" t="s">
        <v>119</v>
      </c>
      <c r="K296" s="29" t="s">
        <v>119</v>
      </c>
      <c r="L296" s="28" t="s">
        <v>119</v>
      </c>
      <c r="M296" s="28" t="s">
        <v>119</v>
      </c>
      <c r="N296" s="1" t="s">
        <v>119</v>
      </c>
      <c r="O296" s="43" t="s">
        <v>119</v>
      </c>
      <c r="P296" s="106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t="s">
        <v>119</v>
      </c>
      <c r="W296" s="11" t="s">
        <v>119</v>
      </c>
      <c r="X296" s="11" t="s">
        <v>119</v>
      </c>
    </row>
    <row r="297" spans="1:24" x14ac:dyDescent="0.3">
      <c r="A297" s="10" t="s">
        <v>220</v>
      </c>
      <c r="B297" s="6" t="s">
        <v>119</v>
      </c>
      <c r="C297" s="7" t="s">
        <v>119</v>
      </c>
      <c r="D297" s="7" t="s">
        <v>119</v>
      </c>
      <c r="E297" s="10" t="s">
        <v>119</v>
      </c>
      <c r="F297" s="37" t="s">
        <v>119</v>
      </c>
      <c r="G297" s="37" t="s">
        <v>119</v>
      </c>
      <c r="H297" s="29" t="s">
        <v>119</v>
      </c>
      <c r="I297" s="29" t="s">
        <v>119</v>
      </c>
      <c r="J297" s="29" t="s">
        <v>119</v>
      </c>
      <c r="K297" s="29" t="s">
        <v>119</v>
      </c>
      <c r="L297" s="28" t="s">
        <v>119</v>
      </c>
      <c r="M297" s="28" t="s">
        <v>119</v>
      </c>
      <c r="N297" s="1" t="s">
        <v>119</v>
      </c>
      <c r="O297" s="43" t="s">
        <v>119</v>
      </c>
      <c r="P297" s="106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t="s">
        <v>119</v>
      </c>
      <c r="W297" s="11" t="s">
        <v>119</v>
      </c>
      <c r="X297" s="11" t="s">
        <v>119</v>
      </c>
    </row>
    <row r="298" spans="1:24" x14ac:dyDescent="0.3">
      <c r="A298" s="10" t="s">
        <v>216</v>
      </c>
      <c r="B298" s="6">
        <v>38</v>
      </c>
      <c r="C298" s="7">
        <v>0</v>
      </c>
      <c r="D298" s="7">
        <v>0</v>
      </c>
      <c r="E298" s="10">
        <v>0</v>
      </c>
      <c r="F298" s="37" t="s">
        <v>119</v>
      </c>
      <c r="G298" s="37" t="s">
        <v>119</v>
      </c>
      <c r="H298" s="29" t="s">
        <v>119</v>
      </c>
      <c r="I298" s="29" t="s">
        <v>119</v>
      </c>
      <c r="J298" s="29" t="s">
        <v>119</v>
      </c>
      <c r="K298" s="31" t="s">
        <v>119</v>
      </c>
      <c r="L298" s="28" t="s">
        <v>119</v>
      </c>
      <c r="M298" s="28" t="s">
        <v>119</v>
      </c>
      <c r="N298" s="1" t="s">
        <v>119</v>
      </c>
      <c r="O298" s="43" t="s">
        <v>119</v>
      </c>
      <c r="P298" s="106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t="s">
        <v>119</v>
      </c>
      <c r="W298" s="11" t="s">
        <v>119</v>
      </c>
      <c r="X298" s="11" t="s">
        <v>119</v>
      </c>
    </row>
    <row r="299" spans="1:24" x14ac:dyDescent="0.3">
      <c r="A299" s="10" t="s">
        <v>217</v>
      </c>
      <c r="B299" s="6">
        <v>1</v>
      </c>
      <c r="C299" s="7">
        <v>0</v>
      </c>
      <c r="D299" s="7">
        <v>0</v>
      </c>
      <c r="E299" s="10">
        <v>0</v>
      </c>
      <c r="F299" s="37" t="s">
        <v>119</v>
      </c>
      <c r="G299" s="37" t="s">
        <v>119</v>
      </c>
      <c r="H299" s="29" t="s">
        <v>119</v>
      </c>
      <c r="I299" s="29" t="s">
        <v>119</v>
      </c>
      <c r="J299" s="29" t="s">
        <v>119</v>
      </c>
      <c r="K299" s="29" t="s">
        <v>119</v>
      </c>
      <c r="L299" s="28" t="s">
        <v>119</v>
      </c>
      <c r="M299" s="28" t="s">
        <v>119</v>
      </c>
      <c r="N299" s="1" t="s">
        <v>119</v>
      </c>
      <c r="O299" s="43" t="s">
        <v>119</v>
      </c>
      <c r="P299" s="106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t="s">
        <v>119</v>
      </c>
      <c r="W299" s="11" t="s">
        <v>119</v>
      </c>
      <c r="X299" s="11" t="s">
        <v>119</v>
      </c>
    </row>
    <row r="300" spans="1:24" s="11" customFormat="1" x14ac:dyDescent="0.3">
      <c r="A300" s="10" t="s">
        <v>277</v>
      </c>
      <c r="B300" s="6">
        <v>1</v>
      </c>
      <c r="C300" s="7">
        <v>0</v>
      </c>
      <c r="D300" s="7">
        <v>0</v>
      </c>
      <c r="E300" s="10">
        <v>0</v>
      </c>
      <c r="F300" s="37" t="s">
        <v>119</v>
      </c>
      <c r="G300" s="37" t="s">
        <v>119</v>
      </c>
      <c r="H300" s="29" t="s">
        <v>119</v>
      </c>
      <c r="I300" s="29" t="s">
        <v>119</v>
      </c>
      <c r="J300" s="29" t="s">
        <v>119</v>
      </c>
      <c r="K300" s="28" t="s">
        <v>119</v>
      </c>
      <c r="L300" s="31" t="s">
        <v>119</v>
      </c>
      <c r="M300" s="31" t="s">
        <v>119</v>
      </c>
      <c r="N300" s="14" t="s">
        <v>119</v>
      </c>
      <c r="O300" s="43" t="s">
        <v>119</v>
      </c>
      <c r="P300" s="106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t="s">
        <v>119</v>
      </c>
      <c r="W300" s="11" t="s">
        <v>119</v>
      </c>
      <c r="X300" s="11" t="s">
        <v>119</v>
      </c>
    </row>
    <row r="301" spans="1:24" s="11" customFormat="1" x14ac:dyDescent="0.3">
      <c r="A301" s="14" t="s">
        <v>1119</v>
      </c>
      <c r="B301" s="18" t="s">
        <v>119</v>
      </c>
      <c r="C301" s="12" t="s">
        <v>119</v>
      </c>
      <c r="D301" s="12" t="s">
        <v>119</v>
      </c>
      <c r="E301" s="14" t="s">
        <v>119</v>
      </c>
      <c r="F301" s="31" t="s">
        <v>119</v>
      </c>
      <c r="G301" s="31" t="s">
        <v>119</v>
      </c>
      <c r="H301" s="31" t="s">
        <v>119</v>
      </c>
      <c r="I301" s="31" t="s">
        <v>119</v>
      </c>
      <c r="J301" s="31" t="s">
        <v>119</v>
      </c>
      <c r="K301" s="31" t="s">
        <v>119</v>
      </c>
      <c r="L301" s="31" t="s">
        <v>119</v>
      </c>
      <c r="M301" s="31" t="s">
        <v>119</v>
      </c>
      <c r="N301" s="14" t="s">
        <v>119</v>
      </c>
      <c r="O301" s="34">
        <v>4</v>
      </c>
      <c r="P301" s="108" t="s">
        <v>119</v>
      </c>
      <c r="Q301" s="108" t="s">
        <v>119</v>
      </c>
      <c r="R301" s="108" t="s">
        <v>119</v>
      </c>
      <c r="S301" s="108" t="s">
        <v>119</v>
      </c>
      <c r="T301" s="108" t="s">
        <v>119</v>
      </c>
      <c r="U301" s="108" t="s">
        <v>119</v>
      </c>
      <c r="V301" s="11" t="s">
        <v>119</v>
      </c>
      <c r="W301" s="11" t="s">
        <v>119</v>
      </c>
      <c r="X301" s="11" t="s">
        <v>119</v>
      </c>
    </row>
    <row r="302" spans="1:24" s="11" customFormat="1" x14ac:dyDescent="0.3">
      <c r="A302" s="14" t="s">
        <v>418</v>
      </c>
      <c r="B302" s="18" t="s">
        <v>119</v>
      </c>
      <c r="C302" s="12" t="s">
        <v>119</v>
      </c>
      <c r="D302" s="12" t="s">
        <v>119</v>
      </c>
      <c r="E302" s="14" t="s">
        <v>119</v>
      </c>
      <c r="F302" s="37" t="s">
        <v>119</v>
      </c>
      <c r="G302" s="37" t="s">
        <v>119</v>
      </c>
      <c r="H302" s="31" t="s">
        <v>119</v>
      </c>
      <c r="I302" s="31" t="s">
        <v>119</v>
      </c>
      <c r="J302" s="31" t="s">
        <v>119</v>
      </c>
      <c r="K302" s="31" t="s">
        <v>134</v>
      </c>
      <c r="L302" s="31" t="s">
        <v>119</v>
      </c>
      <c r="M302" s="31">
        <f>5+38+17+1+44+1+9</f>
        <v>115</v>
      </c>
      <c r="N302" s="14" t="s">
        <v>119</v>
      </c>
      <c r="O302" s="43" t="s">
        <v>119</v>
      </c>
      <c r="P302" s="106" t="s">
        <v>119</v>
      </c>
      <c r="Q302" s="106" t="s">
        <v>119</v>
      </c>
      <c r="R302" s="106" t="s">
        <v>119</v>
      </c>
      <c r="S302" s="106" t="s">
        <v>119</v>
      </c>
      <c r="T302" s="106">
        <v>1</v>
      </c>
      <c r="U302" s="106" t="s">
        <v>119</v>
      </c>
      <c r="V302" t="s">
        <v>119</v>
      </c>
      <c r="W302" s="11" t="str">
        <f t="shared" si="4"/>
        <v>X</v>
      </c>
      <c r="X302" s="11" t="s">
        <v>119</v>
      </c>
    </row>
    <row r="303" spans="1:24" s="11" customFormat="1" x14ac:dyDescent="0.3">
      <c r="A303" s="14" t="s">
        <v>419</v>
      </c>
      <c r="B303" s="18" t="s">
        <v>119</v>
      </c>
      <c r="C303" s="12" t="s">
        <v>119</v>
      </c>
      <c r="D303" s="12" t="s">
        <v>119</v>
      </c>
      <c r="E303" s="14" t="s">
        <v>119</v>
      </c>
      <c r="F303" s="37" t="s">
        <v>119</v>
      </c>
      <c r="G303" s="37" t="s">
        <v>119</v>
      </c>
      <c r="H303" s="31" t="s">
        <v>119</v>
      </c>
      <c r="I303" s="31" t="s">
        <v>119</v>
      </c>
      <c r="J303" s="31" t="s">
        <v>119</v>
      </c>
      <c r="K303" s="31" t="s">
        <v>119</v>
      </c>
      <c r="L303" s="31" t="s">
        <v>119</v>
      </c>
      <c r="M303" s="31" t="s">
        <v>134</v>
      </c>
      <c r="N303" s="14" t="s">
        <v>119</v>
      </c>
      <c r="O303" s="43" t="s">
        <v>119</v>
      </c>
      <c r="P303" s="106" t="s">
        <v>119</v>
      </c>
      <c r="Q303" s="106">
        <v>1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t="s">
        <v>119</v>
      </c>
      <c r="W303" s="11" t="str">
        <f t="shared" si="4"/>
        <v>X</v>
      </c>
      <c r="X303" s="11" t="s">
        <v>119</v>
      </c>
    </row>
    <row r="304" spans="1:24" s="11" customFormat="1" x14ac:dyDescent="0.3">
      <c r="A304" s="14" t="s">
        <v>663</v>
      </c>
      <c r="B304" s="18" t="s">
        <v>119</v>
      </c>
      <c r="C304" s="12" t="s">
        <v>119</v>
      </c>
      <c r="D304" s="12" t="s">
        <v>119</v>
      </c>
      <c r="E304" s="14" t="s">
        <v>119</v>
      </c>
      <c r="F304" s="37" t="s">
        <v>119</v>
      </c>
      <c r="G304" s="37" t="s">
        <v>119</v>
      </c>
      <c r="H304" s="31" t="s">
        <v>119</v>
      </c>
      <c r="I304" s="31" t="s">
        <v>119</v>
      </c>
      <c r="J304" s="31" t="s">
        <v>119</v>
      </c>
      <c r="K304" s="31" t="s">
        <v>119</v>
      </c>
      <c r="L304" s="31" t="s">
        <v>119</v>
      </c>
      <c r="M304" s="31" t="s">
        <v>119</v>
      </c>
      <c r="N304" s="14">
        <v>2</v>
      </c>
      <c r="O304" s="43" t="s">
        <v>119</v>
      </c>
      <c r="P304" s="106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t="s">
        <v>119</v>
      </c>
      <c r="W304" s="11" t="s">
        <v>119</v>
      </c>
      <c r="X304" s="11" t="s">
        <v>134</v>
      </c>
    </row>
    <row r="305" spans="1:24" s="11" customFormat="1" x14ac:dyDescent="0.3">
      <c r="A305" s="14" t="s">
        <v>1021</v>
      </c>
      <c r="B305" s="18" t="s">
        <v>119</v>
      </c>
      <c r="C305" s="12" t="s">
        <v>119</v>
      </c>
      <c r="D305" s="12" t="s">
        <v>119</v>
      </c>
      <c r="E305" s="14" t="s">
        <v>119</v>
      </c>
      <c r="F305" s="37" t="s">
        <v>119</v>
      </c>
      <c r="G305" s="37" t="s">
        <v>119</v>
      </c>
      <c r="H305" s="31" t="s">
        <v>119</v>
      </c>
      <c r="I305" s="31" t="s">
        <v>119</v>
      </c>
      <c r="J305" s="31" t="s">
        <v>119</v>
      </c>
      <c r="K305" s="31" t="s">
        <v>119</v>
      </c>
      <c r="L305" s="31" t="s">
        <v>119</v>
      </c>
      <c r="M305" s="31" t="s">
        <v>119</v>
      </c>
      <c r="N305" s="14" t="s">
        <v>119</v>
      </c>
      <c r="O305" s="43" t="s">
        <v>119</v>
      </c>
      <c r="P305" s="106" t="s">
        <v>119</v>
      </c>
      <c r="Q305" s="106" t="s">
        <v>119</v>
      </c>
      <c r="R305" s="106" t="s">
        <v>119</v>
      </c>
      <c r="S305" s="106">
        <v>3</v>
      </c>
      <c r="T305" s="106" t="s">
        <v>119</v>
      </c>
      <c r="U305" s="106" t="s">
        <v>119</v>
      </c>
      <c r="V305" t="s">
        <v>119</v>
      </c>
      <c r="W305" s="11" t="str">
        <f t="shared" si="4"/>
        <v>X</v>
      </c>
      <c r="X305" s="11" t="s">
        <v>134</v>
      </c>
    </row>
    <row r="306" spans="1:24" s="11" customFormat="1" x14ac:dyDescent="0.3">
      <c r="A306" s="14" t="s">
        <v>829</v>
      </c>
      <c r="B306" s="18" t="s">
        <v>119</v>
      </c>
      <c r="C306" s="12" t="s">
        <v>119</v>
      </c>
      <c r="D306" s="12" t="s">
        <v>119</v>
      </c>
      <c r="E306" s="14" t="s">
        <v>119</v>
      </c>
      <c r="F306" s="37" t="s">
        <v>119</v>
      </c>
      <c r="G306" s="37" t="s">
        <v>119</v>
      </c>
      <c r="H306" s="31" t="s">
        <v>119</v>
      </c>
      <c r="I306" s="31" t="s">
        <v>119</v>
      </c>
      <c r="J306" s="31" t="s">
        <v>119</v>
      </c>
      <c r="K306" s="31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106" t="s">
        <v>119</v>
      </c>
      <c r="Q306" s="106" t="s">
        <v>119</v>
      </c>
      <c r="R306" s="106" t="s">
        <v>119</v>
      </c>
      <c r="S306" s="106">
        <v>1</v>
      </c>
      <c r="T306" s="106" t="s">
        <v>119</v>
      </c>
      <c r="U306" s="106" t="s">
        <v>119</v>
      </c>
      <c r="V306" t="s">
        <v>119</v>
      </c>
      <c r="W306" s="11" t="str">
        <f t="shared" si="4"/>
        <v>X</v>
      </c>
      <c r="X306" s="11" t="s">
        <v>119</v>
      </c>
    </row>
    <row r="307" spans="1:24" x14ac:dyDescent="0.3">
      <c r="A307" s="14" t="s">
        <v>200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7" t="s">
        <v>119</v>
      </c>
      <c r="G307" s="37" t="s">
        <v>119</v>
      </c>
      <c r="H307" s="31" t="s">
        <v>119</v>
      </c>
      <c r="I307" s="31">
        <v>1</v>
      </c>
      <c r="J307" s="31" t="s">
        <v>119</v>
      </c>
      <c r="K307" s="29" t="s">
        <v>119</v>
      </c>
      <c r="L307" s="28" t="s">
        <v>119</v>
      </c>
      <c r="M307" s="28" t="s">
        <v>119</v>
      </c>
      <c r="N307" s="1" t="s">
        <v>119</v>
      </c>
      <c r="O307" s="43" t="s">
        <v>119</v>
      </c>
      <c r="P307" s="106" t="s">
        <v>119</v>
      </c>
      <c r="Q307" s="106" t="s">
        <v>119</v>
      </c>
      <c r="R307" s="106" t="s">
        <v>119</v>
      </c>
      <c r="S307" s="106" t="s">
        <v>119</v>
      </c>
      <c r="T307" s="106" t="s">
        <v>119</v>
      </c>
      <c r="U307" s="106" t="s">
        <v>119</v>
      </c>
      <c r="V307" t="s">
        <v>119</v>
      </c>
      <c r="W307" s="11" t="s">
        <v>119</v>
      </c>
      <c r="X307" s="11" t="s">
        <v>119</v>
      </c>
    </row>
    <row r="308" spans="1:24" x14ac:dyDescent="0.3">
      <c r="A308" s="14" t="s">
        <v>420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29" t="s">
        <v>119</v>
      </c>
      <c r="L308" s="28" t="s">
        <v>119</v>
      </c>
      <c r="M308" s="28">
        <f>1+6+2+10+6</f>
        <v>25</v>
      </c>
      <c r="N308" s="1" t="s">
        <v>119</v>
      </c>
      <c r="O308" s="43" t="s">
        <v>119</v>
      </c>
      <c r="P308" s="106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 t="s">
        <v>119</v>
      </c>
      <c r="V308" t="s">
        <v>119</v>
      </c>
      <c r="W308" s="11" t="s">
        <v>119</v>
      </c>
      <c r="X308" s="11" t="s">
        <v>119</v>
      </c>
    </row>
    <row r="309" spans="1:24" x14ac:dyDescent="0.3">
      <c r="A309" s="10" t="s">
        <v>221</v>
      </c>
      <c r="B309" s="6" t="s">
        <v>119</v>
      </c>
      <c r="C309" s="7" t="s">
        <v>119</v>
      </c>
      <c r="D309" s="7" t="s">
        <v>119</v>
      </c>
      <c r="E309" s="10" t="s">
        <v>119</v>
      </c>
      <c r="F309" s="37" t="s">
        <v>119</v>
      </c>
      <c r="G309" s="37" t="s">
        <v>119</v>
      </c>
      <c r="H309" s="29" t="s">
        <v>119</v>
      </c>
      <c r="I309" s="29" t="s">
        <v>119</v>
      </c>
      <c r="J309" s="29">
        <v>2</v>
      </c>
      <c r="K309" s="29" t="s">
        <v>119</v>
      </c>
      <c r="L309" s="28" t="s">
        <v>119</v>
      </c>
      <c r="M309" s="28" t="s">
        <v>119</v>
      </c>
      <c r="N309" s="1" t="s">
        <v>119</v>
      </c>
      <c r="O309" s="43" t="s">
        <v>119</v>
      </c>
      <c r="P309" s="106" t="s">
        <v>119</v>
      </c>
      <c r="Q309" s="106" t="s">
        <v>119</v>
      </c>
      <c r="R309" s="106" t="s">
        <v>119</v>
      </c>
      <c r="S309" s="106" t="s">
        <v>119</v>
      </c>
      <c r="T309" s="106" t="s">
        <v>119</v>
      </c>
      <c r="U309" s="106" t="s">
        <v>119</v>
      </c>
      <c r="V309" t="s">
        <v>119</v>
      </c>
      <c r="W309" s="11" t="s">
        <v>119</v>
      </c>
      <c r="X309" s="11" t="s">
        <v>119</v>
      </c>
    </row>
    <row r="310" spans="1:24" x14ac:dyDescent="0.3">
      <c r="A310" s="10" t="s">
        <v>421</v>
      </c>
      <c r="B310" s="6" t="s">
        <v>119</v>
      </c>
      <c r="C310" s="7" t="s">
        <v>119</v>
      </c>
      <c r="D310" s="7" t="s">
        <v>119</v>
      </c>
      <c r="E310" s="10" t="s">
        <v>119</v>
      </c>
      <c r="F310" s="37" t="s">
        <v>119</v>
      </c>
      <c r="G310" s="37" t="s">
        <v>119</v>
      </c>
      <c r="H310" s="29" t="s">
        <v>119</v>
      </c>
      <c r="I310" s="29" t="s">
        <v>119</v>
      </c>
      <c r="J310" s="29" t="s">
        <v>119</v>
      </c>
      <c r="K310" s="29" t="s">
        <v>119</v>
      </c>
      <c r="L310" s="28" t="s">
        <v>119</v>
      </c>
      <c r="M310" s="28">
        <f>2+8+4+2+1</f>
        <v>17</v>
      </c>
      <c r="N310" s="1" t="s">
        <v>119</v>
      </c>
      <c r="O310" s="43" t="s">
        <v>119</v>
      </c>
      <c r="P310" s="106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t="s">
        <v>119</v>
      </c>
      <c r="W310" s="11" t="s">
        <v>119</v>
      </c>
      <c r="X310" s="11" t="s">
        <v>119</v>
      </c>
    </row>
    <row r="311" spans="1:24" s="11" customFormat="1" x14ac:dyDescent="0.3">
      <c r="A311" s="14" t="s">
        <v>828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1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108" t="s">
        <v>119</v>
      </c>
      <c r="Q311" s="108" t="s">
        <v>119</v>
      </c>
      <c r="R311" s="108" t="s">
        <v>119</v>
      </c>
      <c r="S311" s="108">
        <v>138</v>
      </c>
      <c r="T311" s="106" t="s">
        <v>119</v>
      </c>
      <c r="U311" s="106" t="s">
        <v>119</v>
      </c>
      <c r="V311" t="s">
        <v>119</v>
      </c>
      <c r="W311" s="11" t="str">
        <f t="shared" si="4"/>
        <v>X</v>
      </c>
      <c r="X311" s="11" t="s">
        <v>119</v>
      </c>
    </row>
    <row r="312" spans="1:24" x14ac:dyDescent="0.3">
      <c r="A312" s="1" t="s">
        <v>199</v>
      </c>
      <c r="B312" s="2" t="s">
        <v>119</v>
      </c>
      <c r="C312" s="4" t="s">
        <v>119</v>
      </c>
      <c r="D312" s="4" t="s">
        <v>119</v>
      </c>
      <c r="E312" s="1" t="s">
        <v>119</v>
      </c>
      <c r="F312" s="37" t="s">
        <v>119</v>
      </c>
      <c r="G312" s="37" t="s">
        <v>119</v>
      </c>
      <c r="H312" s="28" t="s">
        <v>119</v>
      </c>
      <c r="I312" s="28">
        <v>6</v>
      </c>
      <c r="J312" s="28" t="s">
        <v>119</v>
      </c>
      <c r="K312" s="29" t="s">
        <v>119</v>
      </c>
      <c r="L312" s="28" t="s">
        <v>119</v>
      </c>
      <c r="M312" s="28">
        <v>3</v>
      </c>
      <c r="N312" s="1" t="s">
        <v>119</v>
      </c>
      <c r="O312" s="43" t="s">
        <v>119</v>
      </c>
      <c r="P312" s="106" t="s">
        <v>119</v>
      </c>
      <c r="Q312" s="106">
        <v>1</v>
      </c>
      <c r="R312" s="106" t="s">
        <v>119</v>
      </c>
      <c r="S312" s="106" t="s">
        <v>119</v>
      </c>
      <c r="T312" s="106" t="s">
        <v>119</v>
      </c>
      <c r="U312" s="106" t="s">
        <v>119</v>
      </c>
      <c r="V312">
        <v>14</v>
      </c>
      <c r="W312" s="11" t="str">
        <f t="shared" si="4"/>
        <v>X</v>
      </c>
      <c r="X312" s="11" t="s">
        <v>119</v>
      </c>
    </row>
    <row r="313" spans="1:24" x14ac:dyDescent="0.3">
      <c r="A313" s="1" t="s">
        <v>422</v>
      </c>
      <c r="B313" s="2" t="s">
        <v>119</v>
      </c>
      <c r="C313" s="4" t="s">
        <v>119</v>
      </c>
      <c r="D313" s="4" t="s">
        <v>119</v>
      </c>
      <c r="E313" s="1" t="s">
        <v>119</v>
      </c>
      <c r="F313" s="37" t="s">
        <v>119</v>
      </c>
      <c r="G313" s="37">
        <v>3</v>
      </c>
      <c r="H313" s="28" t="s">
        <v>119</v>
      </c>
      <c r="I313" s="28" t="s">
        <v>119</v>
      </c>
      <c r="J313" s="28" t="s">
        <v>119</v>
      </c>
      <c r="K313" s="29" t="s">
        <v>119</v>
      </c>
      <c r="L313" s="28" t="s">
        <v>119</v>
      </c>
      <c r="M313" s="28">
        <f>53+27+14</f>
        <v>94</v>
      </c>
      <c r="N313" s="1" t="s">
        <v>119</v>
      </c>
      <c r="O313" s="43" t="s">
        <v>119</v>
      </c>
      <c r="P313" s="106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>
        <v>25</v>
      </c>
      <c r="W313" s="11" t="s">
        <v>134</v>
      </c>
      <c r="X313" s="11" t="s">
        <v>134</v>
      </c>
    </row>
    <row r="314" spans="1:24" x14ac:dyDescent="0.3">
      <c r="A314" s="1" t="s">
        <v>715</v>
      </c>
      <c r="B314" s="2" t="s">
        <v>119</v>
      </c>
      <c r="C314" s="4" t="s">
        <v>119</v>
      </c>
      <c r="D314" s="4" t="s">
        <v>119</v>
      </c>
      <c r="E314" s="1" t="s">
        <v>119</v>
      </c>
      <c r="F314" s="37" t="s">
        <v>119</v>
      </c>
      <c r="G314" s="37" t="s">
        <v>119</v>
      </c>
      <c r="H314" s="28" t="s">
        <v>119</v>
      </c>
      <c r="I314" s="28">
        <v>3</v>
      </c>
      <c r="J314" s="28" t="s">
        <v>119</v>
      </c>
      <c r="K314" s="29" t="s">
        <v>119</v>
      </c>
      <c r="L314" s="28" t="s">
        <v>119</v>
      </c>
      <c r="M314" s="28" t="s">
        <v>119</v>
      </c>
      <c r="N314" s="1" t="s">
        <v>119</v>
      </c>
      <c r="O314" s="43" t="s">
        <v>119</v>
      </c>
      <c r="P314" s="106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t="s">
        <v>119</v>
      </c>
      <c r="W314" s="11" t="s">
        <v>119</v>
      </c>
      <c r="X314" s="11" t="s">
        <v>134</v>
      </c>
    </row>
    <row r="315" spans="1:24" s="5" customFormat="1" x14ac:dyDescent="0.3">
      <c r="A315" s="10" t="s">
        <v>837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29" t="s">
        <v>119</v>
      </c>
      <c r="G315" s="29" t="s">
        <v>119</v>
      </c>
      <c r="H315" s="29" t="s">
        <v>119</v>
      </c>
      <c r="I315" s="29" t="s">
        <v>119</v>
      </c>
      <c r="J315" s="29" t="s">
        <v>119</v>
      </c>
      <c r="K315" s="29" t="s">
        <v>119</v>
      </c>
      <c r="L315" s="29" t="s">
        <v>119</v>
      </c>
      <c r="M315" s="29" t="s">
        <v>119</v>
      </c>
      <c r="N315" s="10" t="s">
        <v>119</v>
      </c>
      <c r="O315" s="43" t="s">
        <v>119</v>
      </c>
      <c r="P315" s="107" t="s">
        <v>119</v>
      </c>
      <c r="Q315" s="107" t="s">
        <v>119</v>
      </c>
      <c r="R315" s="107" t="s">
        <v>119</v>
      </c>
      <c r="S315" s="107">
        <v>3</v>
      </c>
      <c r="T315" s="107" t="s">
        <v>119</v>
      </c>
      <c r="U315" s="107" t="s">
        <v>119</v>
      </c>
      <c r="V315" t="s">
        <v>119</v>
      </c>
      <c r="W315" s="11" t="str">
        <f t="shared" si="4"/>
        <v>X</v>
      </c>
      <c r="X315" s="11" t="s">
        <v>119</v>
      </c>
    </row>
    <row r="316" spans="1:24" s="5" customFormat="1" x14ac:dyDescent="0.3">
      <c r="A316" s="10" t="s">
        <v>95</v>
      </c>
      <c r="B316" s="6">
        <v>63</v>
      </c>
      <c r="C316" s="10">
        <v>44</v>
      </c>
      <c r="D316" s="10">
        <v>1</v>
      </c>
      <c r="E316" s="10">
        <v>1</v>
      </c>
      <c r="F316" s="29" t="s">
        <v>119</v>
      </c>
      <c r="G316" s="29" t="s">
        <v>119</v>
      </c>
      <c r="H316" s="29">
        <v>1</v>
      </c>
      <c r="I316" s="29" t="s">
        <v>119</v>
      </c>
      <c r="J316" s="29">
        <v>1</v>
      </c>
      <c r="K316" s="29" t="s">
        <v>119</v>
      </c>
      <c r="L316" s="29" t="s">
        <v>119</v>
      </c>
      <c r="M316" s="29">
        <v>2</v>
      </c>
      <c r="N316" s="10" t="s">
        <v>119</v>
      </c>
      <c r="O316" s="43" t="s">
        <v>119</v>
      </c>
      <c r="P316" s="107" t="s">
        <v>119</v>
      </c>
      <c r="Q316" s="107" t="s">
        <v>119</v>
      </c>
      <c r="R316" s="107" t="s">
        <v>119</v>
      </c>
      <c r="S316" s="107">
        <v>13</v>
      </c>
      <c r="T316" s="107" t="s">
        <v>119</v>
      </c>
      <c r="U316" s="107" t="s">
        <v>119</v>
      </c>
      <c r="V316" t="s">
        <v>119</v>
      </c>
      <c r="W316" s="11" t="str">
        <f t="shared" si="4"/>
        <v>X</v>
      </c>
      <c r="X316" s="11" t="s">
        <v>119</v>
      </c>
    </row>
    <row r="317" spans="1:24" s="5" customFormat="1" x14ac:dyDescent="0.3">
      <c r="A317" s="10" t="s">
        <v>716</v>
      </c>
      <c r="B317" s="6" t="s">
        <v>119</v>
      </c>
      <c r="C317" s="10" t="s">
        <v>119</v>
      </c>
      <c r="D317" s="10" t="s">
        <v>119</v>
      </c>
      <c r="E317" s="10" t="s">
        <v>119</v>
      </c>
      <c r="F317" s="29" t="s">
        <v>119</v>
      </c>
      <c r="G317" s="29" t="s">
        <v>119</v>
      </c>
      <c r="H317" s="29" t="s">
        <v>119</v>
      </c>
      <c r="I317" s="29">
        <v>3</v>
      </c>
      <c r="J317" s="29" t="s">
        <v>119</v>
      </c>
      <c r="K317" s="29" t="s">
        <v>119</v>
      </c>
      <c r="L317" s="29" t="s">
        <v>119</v>
      </c>
      <c r="M317" s="29" t="s">
        <v>119</v>
      </c>
      <c r="N317" s="10" t="s">
        <v>119</v>
      </c>
      <c r="O317" s="43" t="s">
        <v>119</v>
      </c>
      <c r="P317" s="107" t="s">
        <v>119</v>
      </c>
      <c r="Q317" s="107" t="s">
        <v>119</v>
      </c>
      <c r="R317" s="107" t="s">
        <v>119</v>
      </c>
      <c r="S317" s="107" t="s">
        <v>119</v>
      </c>
      <c r="T317" s="107" t="s">
        <v>119</v>
      </c>
      <c r="U317" s="107" t="s">
        <v>119</v>
      </c>
      <c r="V317" t="s">
        <v>119</v>
      </c>
      <c r="W317" s="11" t="s">
        <v>119</v>
      </c>
      <c r="X317" s="11" t="s">
        <v>119</v>
      </c>
    </row>
    <row r="318" spans="1:24" s="5" customFormat="1" x14ac:dyDescent="0.3">
      <c r="A318" s="10" t="s">
        <v>665</v>
      </c>
      <c r="B318" s="6" t="s">
        <v>119</v>
      </c>
      <c r="C318" s="10" t="s">
        <v>119</v>
      </c>
      <c r="D318" s="10" t="s">
        <v>119</v>
      </c>
      <c r="E318" s="10" t="s">
        <v>119</v>
      </c>
      <c r="F318" s="29" t="s">
        <v>119</v>
      </c>
      <c r="G318" s="29" t="s">
        <v>119</v>
      </c>
      <c r="H318" s="29" t="s">
        <v>119</v>
      </c>
      <c r="I318" s="29">
        <v>1</v>
      </c>
      <c r="J318" s="29" t="s">
        <v>119</v>
      </c>
      <c r="K318" s="29" t="s">
        <v>119</v>
      </c>
      <c r="L318" s="29" t="s">
        <v>119</v>
      </c>
      <c r="M318" s="29" t="s">
        <v>119</v>
      </c>
      <c r="N318" s="10">
        <v>5</v>
      </c>
      <c r="O318" s="43" t="s">
        <v>119</v>
      </c>
      <c r="P318" s="107" t="s">
        <v>119</v>
      </c>
      <c r="Q318" s="107" t="s">
        <v>119</v>
      </c>
      <c r="R318" s="107" t="s">
        <v>119</v>
      </c>
      <c r="S318" s="107" t="s">
        <v>119</v>
      </c>
      <c r="T318" s="107" t="s">
        <v>119</v>
      </c>
      <c r="U318" s="107" t="s">
        <v>119</v>
      </c>
      <c r="V318" t="s">
        <v>119</v>
      </c>
      <c r="W318" s="11" t="s">
        <v>119</v>
      </c>
      <c r="X318" s="11" t="s">
        <v>119</v>
      </c>
    </row>
    <row r="319" spans="1:24" s="5" customFormat="1" x14ac:dyDescent="0.3">
      <c r="A319" s="10" t="s">
        <v>682</v>
      </c>
      <c r="B319" s="6" t="s">
        <v>119</v>
      </c>
      <c r="C319" s="10" t="s">
        <v>119</v>
      </c>
      <c r="D319" s="10" t="s">
        <v>119</v>
      </c>
      <c r="E319" s="10" t="s">
        <v>119</v>
      </c>
      <c r="F319" s="29" t="s">
        <v>119</v>
      </c>
      <c r="G319" s="29" t="s">
        <v>119</v>
      </c>
      <c r="H319" s="29">
        <v>3</v>
      </c>
      <c r="I319" s="29">
        <v>43</v>
      </c>
      <c r="J319" s="29" t="s">
        <v>119</v>
      </c>
      <c r="K319" s="29" t="s">
        <v>119</v>
      </c>
      <c r="L319" s="29" t="s">
        <v>119</v>
      </c>
      <c r="M319" s="29" t="s">
        <v>119</v>
      </c>
      <c r="N319" s="10" t="s">
        <v>119</v>
      </c>
      <c r="O319" s="43">
        <v>9</v>
      </c>
      <c r="P319" s="107" t="s">
        <v>119</v>
      </c>
      <c r="Q319" s="107" t="s">
        <v>119</v>
      </c>
      <c r="R319" s="107" t="s">
        <v>119</v>
      </c>
      <c r="S319" s="107" t="s">
        <v>119</v>
      </c>
      <c r="T319" s="107" t="s">
        <v>119</v>
      </c>
      <c r="U319" s="107" t="s">
        <v>119</v>
      </c>
      <c r="V319" t="s">
        <v>119</v>
      </c>
      <c r="W319" s="11" t="s">
        <v>119</v>
      </c>
      <c r="X319" s="11" t="s">
        <v>119</v>
      </c>
    </row>
    <row r="320" spans="1:24" s="5" customFormat="1" x14ac:dyDescent="0.3">
      <c r="A320" s="10" t="s">
        <v>225</v>
      </c>
      <c r="B320" s="6" t="s">
        <v>119</v>
      </c>
      <c r="C320" s="10" t="s">
        <v>119</v>
      </c>
      <c r="D320" s="10" t="s">
        <v>119</v>
      </c>
      <c r="E320" s="10" t="s">
        <v>119</v>
      </c>
      <c r="F320" s="29" t="s">
        <v>119</v>
      </c>
      <c r="G320" s="29" t="s">
        <v>134</v>
      </c>
      <c r="H320" s="29" t="s">
        <v>134</v>
      </c>
      <c r="I320" s="29">
        <v>6</v>
      </c>
      <c r="J320" s="29" t="s">
        <v>119</v>
      </c>
      <c r="K320" s="29" t="s">
        <v>119</v>
      </c>
      <c r="L320" s="29" t="s">
        <v>119</v>
      </c>
      <c r="M320" s="29" t="s">
        <v>119</v>
      </c>
      <c r="N320" s="10">
        <f>1+4+12+14+7+1</f>
        <v>39</v>
      </c>
      <c r="O320" s="43">
        <v>41</v>
      </c>
      <c r="P320" s="107" t="s">
        <v>119</v>
      </c>
      <c r="Q320" s="107" t="s">
        <v>119</v>
      </c>
      <c r="R320" s="107" t="s">
        <v>119</v>
      </c>
      <c r="S320" s="107" t="s">
        <v>119</v>
      </c>
      <c r="T320" s="107" t="s">
        <v>119</v>
      </c>
      <c r="U320" s="107" t="s">
        <v>119</v>
      </c>
      <c r="V320" t="s">
        <v>119</v>
      </c>
      <c r="W320" s="11" t="s">
        <v>119</v>
      </c>
      <c r="X320" s="11" t="s">
        <v>119</v>
      </c>
    </row>
    <row r="321" spans="1:24" s="5" customFormat="1" x14ac:dyDescent="0.3">
      <c r="A321" s="10" t="s">
        <v>98</v>
      </c>
      <c r="B321" s="6">
        <v>2</v>
      </c>
      <c r="C321" s="10">
        <v>0</v>
      </c>
      <c r="D321" s="10">
        <v>0</v>
      </c>
      <c r="E321" s="10">
        <v>59</v>
      </c>
      <c r="F321" s="29" t="s">
        <v>119</v>
      </c>
      <c r="G321" s="29" t="s">
        <v>119</v>
      </c>
      <c r="H321" s="29">
        <v>4</v>
      </c>
      <c r="I321" s="29" t="s">
        <v>119</v>
      </c>
      <c r="J321" s="29">
        <f>5+9+30+4+9+2+6+16+7+10+1+19+2+3+9+1+6+2+3+3+74+2+321+3+2+5+4+4+1+1+2+2+1+1+5</f>
        <v>575</v>
      </c>
      <c r="K321" s="29">
        <f>3+11+3+1+1+1</f>
        <v>20</v>
      </c>
      <c r="L321" s="29" t="s">
        <v>119</v>
      </c>
      <c r="M321" s="29">
        <f>10+7+19+156+3+1+18+34+38+617+332+1+9+20+20+3+3+60+56+15</f>
        <v>1422</v>
      </c>
      <c r="N321" s="10">
        <f>3+5+1</f>
        <v>9</v>
      </c>
      <c r="O321" s="43" t="s">
        <v>119</v>
      </c>
      <c r="P321" s="107">
        <v>14</v>
      </c>
      <c r="Q321" s="107">
        <v>3</v>
      </c>
      <c r="R321" s="107" t="s">
        <v>119</v>
      </c>
      <c r="S321" s="107">
        <v>5</v>
      </c>
      <c r="T321" s="107" t="s">
        <v>119</v>
      </c>
      <c r="U321" s="107">
        <v>2</v>
      </c>
      <c r="V321" t="s">
        <v>119</v>
      </c>
      <c r="W321" s="11" t="s">
        <v>119</v>
      </c>
      <c r="X321" s="11" t="s">
        <v>119</v>
      </c>
    </row>
    <row r="322" spans="1:24" s="5" customFormat="1" x14ac:dyDescent="0.3">
      <c r="A322" s="10" t="s">
        <v>1025</v>
      </c>
      <c r="B322" s="6" t="s">
        <v>119</v>
      </c>
      <c r="C322" s="10" t="s">
        <v>119</v>
      </c>
      <c r="D322" s="10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107" t="s">
        <v>119</v>
      </c>
      <c r="Q322" s="107" t="s">
        <v>119</v>
      </c>
      <c r="R322" s="107" t="s">
        <v>119</v>
      </c>
      <c r="S322" s="107" t="s">
        <v>119</v>
      </c>
      <c r="T322" s="107" t="s">
        <v>119</v>
      </c>
      <c r="U322" s="107">
        <v>21</v>
      </c>
      <c r="V322" t="s">
        <v>119</v>
      </c>
      <c r="W322" s="11" t="str">
        <f t="shared" si="4"/>
        <v>X</v>
      </c>
      <c r="X322" s="11" t="s">
        <v>119</v>
      </c>
    </row>
    <row r="323" spans="1:24" s="5" customFormat="1" x14ac:dyDescent="0.3">
      <c r="A323" s="10" t="s">
        <v>717</v>
      </c>
      <c r="B323" s="6" t="s">
        <v>119</v>
      </c>
      <c r="C323" s="10" t="s">
        <v>119</v>
      </c>
      <c r="D323" s="10" t="s">
        <v>119</v>
      </c>
      <c r="E323" s="10" t="s">
        <v>119</v>
      </c>
      <c r="F323" s="29" t="s">
        <v>119</v>
      </c>
      <c r="G323" s="29" t="s">
        <v>119</v>
      </c>
      <c r="H323" s="29" t="s">
        <v>119</v>
      </c>
      <c r="I323" s="29">
        <v>7</v>
      </c>
      <c r="J323" s="29" t="s">
        <v>119</v>
      </c>
      <c r="K323" s="29" t="s">
        <v>119</v>
      </c>
      <c r="L323" s="29" t="s">
        <v>119</v>
      </c>
      <c r="M323" s="29" t="s">
        <v>119</v>
      </c>
      <c r="N323" s="10" t="s">
        <v>119</v>
      </c>
      <c r="O323" s="43" t="s">
        <v>119</v>
      </c>
      <c r="P323" s="107" t="s">
        <v>119</v>
      </c>
      <c r="Q323" s="107" t="s">
        <v>119</v>
      </c>
      <c r="R323" s="107" t="s">
        <v>119</v>
      </c>
      <c r="S323" s="107" t="s">
        <v>119</v>
      </c>
      <c r="T323" s="107" t="s">
        <v>119</v>
      </c>
      <c r="U323" s="107" t="s">
        <v>119</v>
      </c>
      <c r="V323" t="s">
        <v>119</v>
      </c>
      <c r="W323" s="11" t="s">
        <v>119</v>
      </c>
      <c r="X323" s="11" t="s">
        <v>119</v>
      </c>
    </row>
    <row r="324" spans="1:24" s="5" customFormat="1" x14ac:dyDescent="0.3">
      <c r="A324" s="10" t="s">
        <v>202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2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107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t="s">
        <v>119</v>
      </c>
      <c r="W324" s="11" t="s">
        <v>119</v>
      </c>
      <c r="X324" s="11" t="s">
        <v>119</v>
      </c>
    </row>
    <row r="325" spans="1:24" x14ac:dyDescent="0.3">
      <c r="A325" s="14" t="s">
        <v>279</v>
      </c>
      <c r="B325" s="18" t="s">
        <v>119</v>
      </c>
      <c r="C325" s="14" t="s">
        <v>119</v>
      </c>
      <c r="D325" s="14" t="s">
        <v>119</v>
      </c>
      <c r="E325" s="14" t="s">
        <v>119</v>
      </c>
      <c r="F325" s="37" t="s">
        <v>119</v>
      </c>
      <c r="G325" s="37" t="s">
        <v>119</v>
      </c>
      <c r="H325" s="31" t="s">
        <v>119</v>
      </c>
      <c r="I325" s="31" t="s">
        <v>119</v>
      </c>
      <c r="J325" s="31" t="s">
        <v>119</v>
      </c>
      <c r="K325" s="28">
        <v>1</v>
      </c>
      <c r="L325" s="28" t="s">
        <v>119</v>
      </c>
      <c r="M325" s="28" t="s">
        <v>119</v>
      </c>
      <c r="N325" s="1" t="s">
        <v>119</v>
      </c>
      <c r="O325" s="43" t="s">
        <v>119</v>
      </c>
      <c r="P325" s="106" t="s">
        <v>119</v>
      </c>
      <c r="Q325" s="106" t="s">
        <v>119</v>
      </c>
      <c r="R325" s="106" t="s">
        <v>119</v>
      </c>
      <c r="S325" s="106" t="s">
        <v>119</v>
      </c>
      <c r="T325" s="106" t="s">
        <v>119</v>
      </c>
      <c r="U325" s="106" t="s">
        <v>119</v>
      </c>
      <c r="V325" t="s">
        <v>119</v>
      </c>
      <c r="W325" s="11" t="s">
        <v>134</v>
      </c>
      <c r="X325" s="11" t="s">
        <v>134</v>
      </c>
    </row>
    <row r="326" spans="1:24" x14ac:dyDescent="0.3">
      <c r="A326" s="14" t="s">
        <v>100</v>
      </c>
      <c r="B326" s="2">
        <v>147</v>
      </c>
      <c r="C326" s="14">
        <v>23</v>
      </c>
      <c r="D326" s="14">
        <v>4</v>
      </c>
      <c r="E326" s="1">
        <v>5</v>
      </c>
      <c r="F326" s="37" t="s">
        <v>119</v>
      </c>
      <c r="G326" s="37">
        <f>1+3+6+5+2</f>
        <v>17</v>
      </c>
      <c r="H326" s="34">
        <v>18</v>
      </c>
      <c r="I326" s="28">
        <v>13</v>
      </c>
      <c r="J326" s="28">
        <f>1+36+7+15+18+6+1+4+2+1+4</f>
        <v>95</v>
      </c>
      <c r="K326" s="28">
        <v>1</v>
      </c>
      <c r="L326" s="28">
        <v>1</v>
      </c>
      <c r="M326" s="28">
        <v>2</v>
      </c>
      <c r="N326" s="1">
        <v>2</v>
      </c>
      <c r="O326" s="43">
        <v>9</v>
      </c>
      <c r="P326" s="106" t="s">
        <v>119</v>
      </c>
      <c r="Q326" s="106" t="s">
        <v>119</v>
      </c>
      <c r="R326" s="106" t="s">
        <v>119</v>
      </c>
      <c r="S326" s="106" t="s">
        <v>119</v>
      </c>
      <c r="T326" s="106" t="s">
        <v>119</v>
      </c>
      <c r="U326" s="106" t="s">
        <v>119</v>
      </c>
      <c r="V326" t="s">
        <v>119</v>
      </c>
      <c r="W326" s="11" t="s">
        <v>134</v>
      </c>
      <c r="X326" s="11" t="s">
        <v>134</v>
      </c>
    </row>
    <row r="327" spans="1:24" x14ac:dyDescent="0.3">
      <c r="A327" s="14" t="s">
        <v>222</v>
      </c>
      <c r="B327" s="2" t="s">
        <v>119</v>
      </c>
      <c r="C327" s="14" t="s">
        <v>119</v>
      </c>
      <c r="D327" s="14" t="s">
        <v>119</v>
      </c>
      <c r="E327" s="1" t="s">
        <v>119</v>
      </c>
      <c r="F327" s="37">
        <v>18</v>
      </c>
      <c r="G327" s="37" t="s">
        <v>119</v>
      </c>
      <c r="H327" s="28" t="s">
        <v>119</v>
      </c>
      <c r="I327" s="28">
        <v>2</v>
      </c>
      <c r="J327" s="28">
        <v>9</v>
      </c>
      <c r="K327" s="28" t="s">
        <v>119</v>
      </c>
      <c r="L327" s="28" t="s">
        <v>119</v>
      </c>
      <c r="M327" s="28">
        <f>3+2+1</f>
        <v>6</v>
      </c>
      <c r="N327" s="1">
        <v>1</v>
      </c>
      <c r="O327" s="43" t="s">
        <v>119</v>
      </c>
      <c r="P327" s="106" t="s">
        <v>119</v>
      </c>
      <c r="Q327" s="106" t="s">
        <v>119</v>
      </c>
      <c r="R327" s="106" t="s">
        <v>119</v>
      </c>
      <c r="S327" s="106" t="s">
        <v>119</v>
      </c>
      <c r="T327" s="106" t="s">
        <v>119</v>
      </c>
      <c r="U327" s="106" t="s">
        <v>119</v>
      </c>
      <c r="V327" t="s">
        <v>119</v>
      </c>
      <c r="W327" s="11" t="s">
        <v>134</v>
      </c>
      <c r="X327" s="11" t="s">
        <v>119</v>
      </c>
    </row>
    <row r="328" spans="1:24" x14ac:dyDescent="0.3">
      <c r="A328" s="14" t="s">
        <v>1299</v>
      </c>
      <c r="B328" s="2" t="s">
        <v>119</v>
      </c>
      <c r="C328" s="14" t="s">
        <v>119</v>
      </c>
      <c r="D328" s="14" t="s">
        <v>119</v>
      </c>
      <c r="E328" s="1" t="s">
        <v>119</v>
      </c>
      <c r="F328" s="37">
        <v>21</v>
      </c>
      <c r="G328" s="37" t="s">
        <v>119</v>
      </c>
      <c r="H328" s="28" t="s">
        <v>119</v>
      </c>
      <c r="I328" s="28" t="s">
        <v>119</v>
      </c>
      <c r="J328" s="28" t="s">
        <v>119</v>
      </c>
      <c r="K328" s="28" t="s">
        <v>119</v>
      </c>
      <c r="L328" s="28" t="s">
        <v>119</v>
      </c>
      <c r="M328" s="28" t="s">
        <v>119</v>
      </c>
      <c r="N328" s="1" t="s">
        <v>119</v>
      </c>
      <c r="O328" s="43" t="s">
        <v>119</v>
      </c>
      <c r="P328" s="106" t="s">
        <v>119</v>
      </c>
      <c r="Q328" s="106" t="s">
        <v>119</v>
      </c>
      <c r="R328" s="106" t="s">
        <v>119</v>
      </c>
      <c r="S328" s="106" t="s">
        <v>119</v>
      </c>
      <c r="T328" s="106" t="s">
        <v>119</v>
      </c>
      <c r="U328" s="106" t="s">
        <v>119</v>
      </c>
      <c r="V328" t="s">
        <v>119</v>
      </c>
      <c r="W328" s="11" t="s">
        <v>119</v>
      </c>
      <c r="X328" s="11" t="s">
        <v>119</v>
      </c>
    </row>
    <row r="329" spans="1:24" x14ac:dyDescent="0.3">
      <c r="A329" s="14" t="s">
        <v>423</v>
      </c>
      <c r="B329" s="2" t="s">
        <v>119</v>
      </c>
      <c r="C329" s="14" t="s">
        <v>119</v>
      </c>
      <c r="D329" s="14" t="s">
        <v>119</v>
      </c>
      <c r="E329" s="1" t="s">
        <v>119</v>
      </c>
      <c r="F329" s="37">
        <v>7</v>
      </c>
      <c r="G329" s="37" t="s">
        <v>119</v>
      </c>
      <c r="H329" s="28" t="s">
        <v>119</v>
      </c>
      <c r="I329" s="28">
        <f>16+27</f>
        <v>43</v>
      </c>
      <c r="J329" s="28" t="s">
        <v>119</v>
      </c>
      <c r="K329" s="28" t="s">
        <v>119</v>
      </c>
      <c r="L329" s="28" t="s">
        <v>119</v>
      </c>
      <c r="M329" s="28" t="s">
        <v>134</v>
      </c>
      <c r="N329" s="1" t="s">
        <v>119</v>
      </c>
      <c r="O329" s="43" t="s">
        <v>119</v>
      </c>
      <c r="P329" s="106" t="s">
        <v>119</v>
      </c>
      <c r="Q329" s="106" t="s">
        <v>119</v>
      </c>
      <c r="R329" s="106" t="s">
        <v>119</v>
      </c>
      <c r="S329" s="106" t="s">
        <v>119</v>
      </c>
      <c r="T329" s="106" t="s">
        <v>119</v>
      </c>
      <c r="U329" s="106" t="s">
        <v>119</v>
      </c>
      <c r="V329" t="s">
        <v>119</v>
      </c>
      <c r="W329" s="11" t="s">
        <v>134</v>
      </c>
      <c r="X329" s="11" t="s">
        <v>134</v>
      </c>
    </row>
    <row r="330" spans="1:24" x14ac:dyDescent="0.3">
      <c r="A330" s="14" t="s">
        <v>424</v>
      </c>
      <c r="B330" s="2" t="s">
        <v>119</v>
      </c>
      <c r="C330" s="14" t="s">
        <v>119</v>
      </c>
      <c r="D330" s="14" t="s">
        <v>119</v>
      </c>
      <c r="E330" s="1" t="s">
        <v>119</v>
      </c>
      <c r="F330" s="37" t="s">
        <v>119</v>
      </c>
      <c r="G330" s="37" t="s">
        <v>119</v>
      </c>
      <c r="H330" s="28" t="s">
        <v>119</v>
      </c>
      <c r="I330" s="28" t="s">
        <v>119</v>
      </c>
      <c r="J330" s="28" t="s">
        <v>119</v>
      </c>
      <c r="K330" s="28" t="s">
        <v>119</v>
      </c>
      <c r="L330" s="28" t="s">
        <v>119</v>
      </c>
      <c r="M330" s="28">
        <v>2</v>
      </c>
      <c r="N330" s="1" t="s">
        <v>119</v>
      </c>
      <c r="O330" s="43" t="s">
        <v>119</v>
      </c>
      <c r="P330" s="106" t="s">
        <v>119</v>
      </c>
      <c r="Q330" s="106" t="s">
        <v>119</v>
      </c>
      <c r="R330" s="106" t="s">
        <v>119</v>
      </c>
      <c r="S330" s="106" t="s">
        <v>119</v>
      </c>
      <c r="T330" s="106" t="s">
        <v>119</v>
      </c>
      <c r="U330" s="106" t="s">
        <v>119</v>
      </c>
      <c r="V330" t="s">
        <v>119</v>
      </c>
      <c r="W330" s="11" t="s">
        <v>134</v>
      </c>
      <c r="X330" s="11" t="s">
        <v>134</v>
      </c>
    </row>
    <row r="331" spans="1:24" x14ac:dyDescent="0.3">
      <c r="A331" s="14" t="s">
        <v>838</v>
      </c>
      <c r="B331" s="2" t="s">
        <v>119</v>
      </c>
      <c r="C331" s="14" t="s">
        <v>119</v>
      </c>
      <c r="D331" s="14" t="s">
        <v>119</v>
      </c>
      <c r="E331" s="1" t="s">
        <v>119</v>
      </c>
      <c r="F331" s="37" t="s">
        <v>119</v>
      </c>
      <c r="G331" s="37" t="s">
        <v>119</v>
      </c>
      <c r="H331" s="28" t="s">
        <v>119</v>
      </c>
      <c r="I331" s="28" t="s">
        <v>119</v>
      </c>
      <c r="J331" s="28" t="s">
        <v>119</v>
      </c>
      <c r="K331" s="28" t="s">
        <v>119</v>
      </c>
      <c r="L331" s="28" t="s">
        <v>119</v>
      </c>
      <c r="M331" s="28" t="s">
        <v>119</v>
      </c>
      <c r="N331" s="1" t="s">
        <v>119</v>
      </c>
      <c r="O331" s="43" t="s">
        <v>119</v>
      </c>
      <c r="P331" s="106">
        <v>1</v>
      </c>
      <c r="Q331" s="106">
        <v>12</v>
      </c>
      <c r="R331" s="106" t="s">
        <v>119</v>
      </c>
      <c r="S331" s="106">
        <f>24+16</f>
        <v>40</v>
      </c>
      <c r="T331" s="106">
        <v>1</v>
      </c>
      <c r="U331" s="106">
        <v>4</v>
      </c>
      <c r="V331" t="s">
        <v>119</v>
      </c>
      <c r="W331" s="11" t="str">
        <f t="shared" ref="W331:W387" si="5">IF(SUM(P331:U331)&gt;=1,"X","")</f>
        <v>X</v>
      </c>
      <c r="X331" s="11" t="s">
        <v>134</v>
      </c>
    </row>
    <row r="332" spans="1:24" x14ac:dyDescent="0.3">
      <c r="A332" s="14" t="s">
        <v>1168</v>
      </c>
      <c r="B332" s="2" t="s">
        <v>119</v>
      </c>
      <c r="C332" s="14" t="s">
        <v>119</v>
      </c>
      <c r="D332" s="14" t="s">
        <v>119</v>
      </c>
      <c r="E332" s="1" t="s">
        <v>119</v>
      </c>
      <c r="F332" s="37" t="s">
        <v>119</v>
      </c>
      <c r="G332" s="37" t="s">
        <v>119</v>
      </c>
      <c r="H332" s="37" t="s">
        <v>119</v>
      </c>
      <c r="I332" s="37" t="s">
        <v>119</v>
      </c>
      <c r="J332" s="28" t="s">
        <v>134</v>
      </c>
      <c r="K332" s="28" t="s">
        <v>119</v>
      </c>
      <c r="L332" s="28" t="s">
        <v>119</v>
      </c>
      <c r="M332" s="28" t="s">
        <v>119</v>
      </c>
      <c r="N332" s="28" t="s">
        <v>119</v>
      </c>
      <c r="O332" s="28" t="s">
        <v>119</v>
      </c>
      <c r="P332" s="106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98" t="s">
        <v>134</v>
      </c>
      <c r="W332" s="11" t="s">
        <v>119</v>
      </c>
      <c r="X332" s="11" t="s">
        <v>119</v>
      </c>
    </row>
    <row r="333" spans="1:24" x14ac:dyDescent="0.3">
      <c r="A333" s="14" t="s">
        <v>842</v>
      </c>
      <c r="B333" s="2" t="s">
        <v>119</v>
      </c>
      <c r="C333" s="14" t="s">
        <v>119</v>
      </c>
      <c r="D333" s="14" t="s">
        <v>119</v>
      </c>
      <c r="E333" s="1" t="s">
        <v>119</v>
      </c>
      <c r="F333" s="37" t="s">
        <v>119</v>
      </c>
      <c r="G333" s="37" t="s">
        <v>119</v>
      </c>
      <c r="H333" s="28" t="s">
        <v>119</v>
      </c>
      <c r="I333" s="28" t="s">
        <v>119</v>
      </c>
      <c r="J333" s="28" t="s">
        <v>119</v>
      </c>
      <c r="K333" s="28" t="s">
        <v>119</v>
      </c>
      <c r="L333" s="28" t="s">
        <v>119</v>
      </c>
      <c r="M333" s="28" t="s">
        <v>119</v>
      </c>
      <c r="N333" s="1" t="s">
        <v>119</v>
      </c>
      <c r="O333" s="43" t="s">
        <v>119</v>
      </c>
      <c r="P333" s="106" t="s">
        <v>119</v>
      </c>
      <c r="Q333" s="106" t="s">
        <v>119</v>
      </c>
      <c r="R333" s="106" t="s">
        <v>119</v>
      </c>
      <c r="S333" s="106">
        <v>22</v>
      </c>
      <c r="T333" s="106" t="s">
        <v>119</v>
      </c>
      <c r="U333" s="106" t="s">
        <v>119</v>
      </c>
      <c r="V333" t="s">
        <v>119</v>
      </c>
      <c r="W333" s="11" t="str">
        <f t="shared" si="5"/>
        <v>X</v>
      </c>
      <c r="X333" s="11" t="s">
        <v>119</v>
      </c>
    </row>
    <row r="334" spans="1:24" x14ac:dyDescent="0.3">
      <c r="A334" s="14" t="s">
        <v>835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 t="s">
        <v>119</v>
      </c>
      <c r="G334" s="37" t="s">
        <v>119</v>
      </c>
      <c r="H334" s="28" t="s">
        <v>119</v>
      </c>
      <c r="I334" s="28" t="s">
        <v>119</v>
      </c>
      <c r="J334" s="28" t="s">
        <v>119</v>
      </c>
      <c r="K334" s="28" t="s">
        <v>119</v>
      </c>
      <c r="L334" s="28" t="s">
        <v>119</v>
      </c>
      <c r="M334" s="28" t="s">
        <v>119</v>
      </c>
      <c r="N334" s="1" t="s">
        <v>119</v>
      </c>
      <c r="O334" s="43" t="s">
        <v>119</v>
      </c>
      <c r="P334" s="106" t="s">
        <v>119</v>
      </c>
      <c r="Q334" s="106" t="s">
        <v>119</v>
      </c>
      <c r="R334" s="106" t="s">
        <v>119</v>
      </c>
      <c r="S334" s="106">
        <v>4</v>
      </c>
      <c r="T334" s="106" t="s">
        <v>119</v>
      </c>
      <c r="U334" s="106" t="s">
        <v>119</v>
      </c>
      <c r="V334" t="s">
        <v>119</v>
      </c>
      <c r="W334" s="11" t="str">
        <f t="shared" si="5"/>
        <v>X</v>
      </c>
      <c r="X334" s="11" t="s">
        <v>119</v>
      </c>
    </row>
    <row r="335" spans="1:24" x14ac:dyDescent="0.3">
      <c r="A335" s="14" t="s">
        <v>425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 t="s">
        <v>119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134</v>
      </c>
      <c r="N335" s="1" t="s">
        <v>119</v>
      </c>
      <c r="O335" s="43" t="s">
        <v>119</v>
      </c>
      <c r="P335" s="106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t="s">
        <v>119</v>
      </c>
      <c r="W335" s="11" t="s">
        <v>134</v>
      </c>
      <c r="X335" s="11" t="s">
        <v>119</v>
      </c>
    </row>
    <row r="336" spans="1:24" x14ac:dyDescent="0.3">
      <c r="A336" s="14" t="s">
        <v>426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 t="s">
        <v>119</v>
      </c>
      <c r="G336" s="37" t="s">
        <v>119</v>
      </c>
      <c r="H336" s="28" t="s">
        <v>119</v>
      </c>
      <c r="I336" s="28">
        <v>3</v>
      </c>
      <c r="J336" s="28" t="s">
        <v>119</v>
      </c>
      <c r="K336" s="28" t="s">
        <v>119</v>
      </c>
      <c r="L336" s="28" t="s">
        <v>119</v>
      </c>
      <c r="M336" s="28">
        <v>1</v>
      </c>
      <c r="N336" s="1" t="s">
        <v>119</v>
      </c>
      <c r="O336" s="43" t="s">
        <v>119</v>
      </c>
      <c r="P336" s="106" t="s">
        <v>119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t="s">
        <v>119</v>
      </c>
      <c r="W336" s="11" t="s">
        <v>134</v>
      </c>
      <c r="X336" s="11" t="s">
        <v>119</v>
      </c>
    </row>
    <row r="337" spans="1:24" s="5" customFormat="1" x14ac:dyDescent="0.3">
      <c r="A337" s="10" t="s">
        <v>1042</v>
      </c>
      <c r="B337" s="6" t="s">
        <v>119</v>
      </c>
      <c r="C337" s="10" t="s">
        <v>119</v>
      </c>
      <c r="D337" s="10" t="s">
        <v>119</v>
      </c>
      <c r="E337" s="10" t="s">
        <v>119</v>
      </c>
      <c r="F337" s="29" t="s">
        <v>119</v>
      </c>
      <c r="G337" s="29" t="s">
        <v>119</v>
      </c>
      <c r="H337" s="29" t="s">
        <v>119</v>
      </c>
      <c r="I337" s="29" t="s">
        <v>119</v>
      </c>
      <c r="J337" s="29">
        <v>102</v>
      </c>
      <c r="K337" s="29" t="s">
        <v>119</v>
      </c>
      <c r="L337" s="29" t="s">
        <v>119</v>
      </c>
      <c r="M337" s="29" t="s">
        <v>119</v>
      </c>
      <c r="N337" s="10" t="s">
        <v>119</v>
      </c>
      <c r="O337" s="43" t="s">
        <v>119</v>
      </c>
      <c r="P337" s="107" t="s">
        <v>119</v>
      </c>
      <c r="Q337" s="107" t="s">
        <v>119</v>
      </c>
      <c r="R337" s="107" t="s">
        <v>119</v>
      </c>
      <c r="S337" s="107" t="s">
        <v>119</v>
      </c>
      <c r="T337" s="107" t="s">
        <v>119</v>
      </c>
      <c r="U337" s="107" t="s">
        <v>119</v>
      </c>
      <c r="V337" t="s">
        <v>119</v>
      </c>
      <c r="W337" s="11" t="s">
        <v>119</v>
      </c>
      <c r="X337" s="11" t="s">
        <v>119</v>
      </c>
    </row>
    <row r="338" spans="1:24" x14ac:dyDescent="0.3">
      <c r="A338" s="14" t="s">
        <v>427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>
        <v>1</v>
      </c>
      <c r="L338" s="28" t="s">
        <v>119</v>
      </c>
      <c r="M338" s="28" t="s">
        <v>134</v>
      </c>
      <c r="N338" s="1" t="s">
        <v>119</v>
      </c>
      <c r="O338" s="43" t="s">
        <v>119</v>
      </c>
      <c r="P338" s="106" t="s">
        <v>119</v>
      </c>
      <c r="Q338" s="106" t="s">
        <v>119</v>
      </c>
      <c r="R338" s="106" t="s">
        <v>119</v>
      </c>
      <c r="S338" s="106" t="s">
        <v>119</v>
      </c>
      <c r="T338" s="106" t="s">
        <v>119</v>
      </c>
      <c r="U338" s="106" t="s">
        <v>119</v>
      </c>
      <c r="V338" t="s">
        <v>119</v>
      </c>
      <c r="W338" s="11" t="s">
        <v>1274</v>
      </c>
      <c r="X338" s="11" t="s">
        <v>1274</v>
      </c>
    </row>
    <row r="339" spans="1:24" x14ac:dyDescent="0.3">
      <c r="A339" s="14" t="s">
        <v>101</v>
      </c>
      <c r="B339" s="2">
        <v>1</v>
      </c>
      <c r="C339" s="14">
        <v>0</v>
      </c>
      <c r="D339" s="14">
        <v>0</v>
      </c>
      <c r="E339" s="1">
        <v>0</v>
      </c>
      <c r="F339" s="37">
        <v>27</v>
      </c>
      <c r="G339" s="37" t="s">
        <v>119</v>
      </c>
      <c r="H339" s="28" t="s">
        <v>119</v>
      </c>
      <c r="I339" s="28">
        <v>2</v>
      </c>
      <c r="J339" s="28" t="s">
        <v>119</v>
      </c>
      <c r="K339" s="28" t="s">
        <v>119</v>
      </c>
      <c r="L339" s="28" t="s">
        <v>119</v>
      </c>
      <c r="M339" s="28">
        <v>12</v>
      </c>
      <c r="N339" s="1" t="s">
        <v>119</v>
      </c>
      <c r="O339" s="43" t="s">
        <v>119</v>
      </c>
      <c r="P339" s="106">
        <v>4</v>
      </c>
      <c r="Q339" s="106" t="s">
        <v>119</v>
      </c>
      <c r="R339" s="106">
        <v>1</v>
      </c>
      <c r="S339" s="106">
        <v>1</v>
      </c>
      <c r="T339" s="106" t="s">
        <v>119</v>
      </c>
      <c r="U339" s="106" t="s">
        <v>119</v>
      </c>
      <c r="V339" t="s">
        <v>119</v>
      </c>
      <c r="W339" s="11" t="str">
        <f t="shared" si="5"/>
        <v>X</v>
      </c>
      <c r="X339" s="11" t="s">
        <v>134</v>
      </c>
    </row>
    <row r="340" spans="1:24" x14ac:dyDescent="0.3">
      <c r="A340" s="14" t="s">
        <v>1169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>
        <v>3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106" t="s">
        <v>119</v>
      </c>
      <c r="Q340" s="106" t="s">
        <v>119</v>
      </c>
      <c r="R340" s="106" t="s">
        <v>119</v>
      </c>
      <c r="S340" s="106" t="s">
        <v>119</v>
      </c>
      <c r="T340" s="106" t="s">
        <v>119</v>
      </c>
      <c r="U340" s="106" t="s">
        <v>119</v>
      </c>
      <c r="V340" t="s">
        <v>134</v>
      </c>
      <c r="W340" s="11" t="s">
        <v>119</v>
      </c>
      <c r="X340" s="11" t="s">
        <v>119</v>
      </c>
    </row>
    <row r="341" spans="1:24" x14ac:dyDescent="0.3">
      <c r="A341" s="14" t="s">
        <v>836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106" t="s">
        <v>119</v>
      </c>
      <c r="Q341" s="106" t="s">
        <v>119</v>
      </c>
      <c r="R341" s="106" t="s">
        <v>119</v>
      </c>
      <c r="S341" s="106">
        <v>1</v>
      </c>
      <c r="T341" s="106" t="s">
        <v>119</v>
      </c>
      <c r="U341" s="106" t="s">
        <v>119</v>
      </c>
      <c r="V341" t="s">
        <v>119</v>
      </c>
      <c r="W341" s="11" t="str">
        <f t="shared" si="5"/>
        <v>X</v>
      </c>
      <c r="X341" s="11" t="s">
        <v>119</v>
      </c>
    </row>
    <row r="342" spans="1:24" x14ac:dyDescent="0.3">
      <c r="A342" s="14" t="s">
        <v>834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119</v>
      </c>
      <c r="N342" s="1" t="s">
        <v>119</v>
      </c>
      <c r="O342" s="43" t="s">
        <v>119</v>
      </c>
      <c r="P342" s="106" t="s">
        <v>119</v>
      </c>
      <c r="Q342" s="106">
        <v>5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t="s">
        <v>119</v>
      </c>
      <c r="W342" s="11" t="str">
        <f t="shared" si="5"/>
        <v>X</v>
      </c>
      <c r="X342" s="11" t="s">
        <v>119</v>
      </c>
    </row>
    <row r="343" spans="1:24" x14ac:dyDescent="0.3">
      <c r="A343" s="14" t="s">
        <v>428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 t="s">
        <v>119</v>
      </c>
      <c r="J343" s="28" t="s">
        <v>119</v>
      </c>
      <c r="K343" s="28" t="s">
        <v>119</v>
      </c>
      <c r="L343" s="28" t="s">
        <v>119</v>
      </c>
      <c r="M343" s="28">
        <f>6+33+11+2+2</f>
        <v>54</v>
      </c>
      <c r="N343" s="1" t="s">
        <v>119</v>
      </c>
      <c r="O343" s="43" t="s">
        <v>119</v>
      </c>
      <c r="P343" s="106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t="s">
        <v>119</v>
      </c>
      <c r="W343" s="11" t="s">
        <v>134</v>
      </c>
      <c r="X343" s="11" t="s">
        <v>119</v>
      </c>
    </row>
    <row r="344" spans="1:24" x14ac:dyDescent="0.3">
      <c r="A344" s="14" t="s">
        <v>429</v>
      </c>
      <c r="B344" s="2" t="s">
        <v>119</v>
      </c>
      <c r="C344" s="14" t="s">
        <v>119</v>
      </c>
      <c r="D344" s="14" t="s">
        <v>119</v>
      </c>
      <c r="E344" s="1" t="s">
        <v>119</v>
      </c>
      <c r="F344" s="37" t="s">
        <v>119</v>
      </c>
      <c r="G344" s="37" t="s">
        <v>119</v>
      </c>
      <c r="H344" s="28" t="s">
        <v>119</v>
      </c>
      <c r="I344" s="28" t="s">
        <v>119</v>
      </c>
      <c r="J344" s="28" t="s">
        <v>119</v>
      </c>
      <c r="K344" s="28" t="s">
        <v>119</v>
      </c>
      <c r="L344" s="28" t="s">
        <v>119</v>
      </c>
      <c r="M344" s="28">
        <f>3+16+3+3+4</f>
        <v>29</v>
      </c>
      <c r="N344" s="1" t="s">
        <v>119</v>
      </c>
      <c r="O344" s="43" t="s">
        <v>119</v>
      </c>
      <c r="P344" s="106" t="s">
        <v>119</v>
      </c>
      <c r="Q344" s="106" t="s">
        <v>119</v>
      </c>
      <c r="R344" s="106" t="s">
        <v>119</v>
      </c>
      <c r="S344" s="106" t="s">
        <v>119</v>
      </c>
      <c r="T344" s="106" t="s">
        <v>119</v>
      </c>
      <c r="U344" s="106" t="s">
        <v>119</v>
      </c>
      <c r="V344" t="s">
        <v>119</v>
      </c>
      <c r="W344" s="11" t="s">
        <v>1274</v>
      </c>
      <c r="X344" s="11" t="s">
        <v>1274</v>
      </c>
    </row>
    <row r="345" spans="1:24" x14ac:dyDescent="0.3">
      <c r="A345" s="14" t="s">
        <v>430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 t="s">
        <v>119</v>
      </c>
      <c r="L345" s="28" t="s">
        <v>119</v>
      </c>
      <c r="M345" s="28">
        <f>4+51+11+9+4</f>
        <v>79</v>
      </c>
      <c r="N345" s="1" t="s">
        <v>119</v>
      </c>
      <c r="O345" s="43" t="s">
        <v>119</v>
      </c>
      <c r="P345" s="106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t="s">
        <v>119</v>
      </c>
      <c r="W345" s="11" t="s">
        <v>1274</v>
      </c>
      <c r="X345" s="11" t="s">
        <v>1274</v>
      </c>
    </row>
    <row r="346" spans="1:24" x14ac:dyDescent="0.3">
      <c r="A346" s="14" t="s">
        <v>1300</v>
      </c>
      <c r="B346" s="2" t="s">
        <v>119</v>
      </c>
      <c r="C346" s="14" t="s">
        <v>119</v>
      </c>
      <c r="D346" s="14" t="s">
        <v>119</v>
      </c>
      <c r="E346" s="1" t="s">
        <v>119</v>
      </c>
      <c r="F346" s="37">
        <v>2</v>
      </c>
      <c r="G346" s="37" t="s">
        <v>119</v>
      </c>
      <c r="H346" s="28" t="s">
        <v>119</v>
      </c>
      <c r="I346" s="28" t="s">
        <v>119</v>
      </c>
      <c r="J346" s="28" t="s">
        <v>119</v>
      </c>
      <c r="K346" s="28" t="s">
        <v>119</v>
      </c>
      <c r="L346" s="28" t="s">
        <v>119</v>
      </c>
      <c r="M346" s="28" t="s">
        <v>119</v>
      </c>
      <c r="N346" s="1" t="s">
        <v>119</v>
      </c>
      <c r="O346" s="43" t="s">
        <v>119</v>
      </c>
      <c r="P346" s="106" t="s">
        <v>119</v>
      </c>
      <c r="Q346" s="106" t="s">
        <v>119</v>
      </c>
      <c r="R346" s="106" t="s">
        <v>119</v>
      </c>
      <c r="S346" s="106" t="s">
        <v>119</v>
      </c>
      <c r="T346" s="106" t="s">
        <v>119</v>
      </c>
      <c r="U346" s="106" t="s">
        <v>119</v>
      </c>
      <c r="V346" t="s">
        <v>119</v>
      </c>
      <c r="W346" s="11" t="s">
        <v>119</v>
      </c>
      <c r="X346" s="11" t="s">
        <v>119</v>
      </c>
    </row>
    <row r="347" spans="1:24" x14ac:dyDescent="0.3">
      <c r="A347" s="14" t="s">
        <v>431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 t="s">
        <v>119</v>
      </c>
      <c r="K347" s="28" t="s">
        <v>119</v>
      </c>
      <c r="L347" s="28" t="s">
        <v>119</v>
      </c>
      <c r="M347" s="28">
        <v>8</v>
      </c>
      <c r="N347" s="1" t="s">
        <v>119</v>
      </c>
      <c r="O347" s="43" t="s">
        <v>119</v>
      </c>
      <c r="P347" s="106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t="s">
        <v>119</v>
      </c>
      <c r="W347" s="11" t="s">
        <v>119</v>
      </c>
      <c r="X347" s="11" t="s">
        <v>119</v>
      </c>
    </row>
    <row r="348" spans="1:24" x14ac:dyDescent="0.3">
      <c r="A348" s="14" t="s">
        <v>841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106" t="s">
        <v>119</v>
      </c>
      <c r="Q348" s="106" t="s">
        <v>119</v>
      </c>
      <c r="R348" s="106" t="s">
        <v>119</v>
      </c>
      <c r="S348" s="106">
        <v>2</v>
      </c>
      <c r="T348" s="106" t="s">
        <v>119</v>
      </c>
      <c r="U348" s="106" t="s">
        <v>119</v>
      </c>
      <c r="V348" t="s">
        <v>119</v>
      </c>
      <c r="W348" s="11" t="str">
        <f t="shared" si="5"/>
        <v>X</v>
      </c>
      <c r="X348" s="11" t="s">
        <v>1274</v>
      </c>
    </row>
    <row r="349" spans="1:24" x14ac:dyDescent="0.3">
      <c r="A349" s="14" t="s">
        <v>1301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>
        <v>4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106" t="s">
        <v>119</v>
      </c>
      <c r="Q349" s="106" t="s">
        <v>119</v>
      </c>
      <c r="R349" s="106" t="s">
        <v>119</v>
      </c>
      <c r="S349" s="106" t="s">
        <v>119</v>
      </c>
      <c r="T349" s="106" t="s">
        <v>119</v>
      </c>
      <c r="U349" s="106" t="s">
        <v>119</v>
      </c>
      <c r="V349" t="s">
        <v>119</v>
      </c>
      <c r="W349" s="11" t="s">
        <v>119</v>
      </c>
      <c r="X349" s="11" t="s">
        <v>119</v>
      </c>
    </row>
    <row r="350" spans="1:24" x14ac:dyDescent="0.3">
      <c r="A350" s="14" t="s">
        <v>96</v>
      </c>
      <c r="B350" s="2">
        <v>0</v>
      </c>
      <c r="C350" s="14">
        <v>4</v>
      </c>
      <c r="D350" s="14">
        <v>1</v>
      </c>
      <c r="E350" s="1">
        <v>0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 t="s">
        <v>119</v>
      </c>
      <c r="N350" s="1" t="s">
        <v>119</v>
      </c>
      <c r="O350" s="43" t="s">
        <v>119</v>
      </c>
      <c r="P350" s="106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t="s">
        <v>119</v>
      </c>
      <c r="W350" s="11" t="s">
        <v>119</v>
      </c>
      <c r="X350" s="11" t="s">
        <v>119</v>
      </c>
    </row>
    <row r="351" spans="1:24" x14ac:dyDescent="0.3">
      <c r="A351" s="14" t="s">
        <v>432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 t="s">
        <v>134</v>
      </c>
      <c r="N351" s="1" t="s">
        <v>119</v>
      </c>
      <c r="O351" s="43" t="s">
        <v>119</v>
      </c>
      <c r="P351" s="106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t="s">
        <v>119</v>
      </c>
      <c r="W351" s="11" t="s">
        <v>134</v>
      </c>
      <c r="X351" s="11" t="s">
        <v>119</v>
      </c>
    </row>
    <row r="352" spans="1:24" x14ac:dyDescent="0.3">
      <c r="A352" s="14" t="s">
        <v>843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 t="s">
        <v>119</v>
      </c>
      <c r="N352" s="1" t="s">
        <v>119</v>
      </c>
      <c r="O352" s="43" t="s">
        <v>119</v>
      </c>
      <c r="P352" s="106" t="s">
        <v>119</v>
      </c>
      <c r="Q352" s="106" t="s">
        <v>119</v>
      </c>
      <c r="R352" s="106" t="s">
        <v>119</v>
      </c>
      <c r="S352" s="106">
        <v>1</v>
      </c>
      <c r="T352" s="106" t="s">
        <v>119</v>
      </c>
      <c r="U352" s="106" t="s">
        <v>119</v>
      </c>
      <c r="V352" t="s">
        <v>119</v>
      </c>
      <c r="W352" s="11" t="str">
        <f t="shared" si="5"/>
        <v>X</v>
      </c>
      <c r="X352" s="11" t="s">
        <v>119</v>
      </c>
    </row>
    <row r="353" spans="1:24" x14ac:dyDescent="0.3">
      <c r="A353" s="14" t="s">
        <v>1026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 t="s">
        <v>119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106" t="s">
        <v>119</v>
      </c>
      <c r="Q353" s="106" t="s">
        <v>119</v>
      </c>
      <c r="R353" s="106" t="s">
        <v>119</v>
      </c>
      <c r="S353" s="106">
        <v>1</v>
      </c>
      <c r="T353" s="106" t="s">
        <v>119</v>
      </c>
      <c r="U353" s="106">
        <v>1</v>
      </c>
      <c r="V353" t="s">
        <v>119</v>
      </c>
      <c r="W353" s="11" t="str">
        <f t="shared" si="5"/>
        <v>X</v>
      </c>
      <c r="X353" s="11" t="s">
        <v>119</v>
      </c>
    </row>
    <row r="354" spans="1:24" x14ac:dyDescent="0.3">
      <c r="A354" s="14" t="s">
        <v>664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 t="s">
        <v>119</v>
      </c>
      <c r="N354" s="1">
        <v>4</v>
      </c>
      <c r="O354" s="43" t="s">
        <v>119</v>
      </c>
      <c r="P354" s="106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t="s">
        <v>119</v>
      </c>
      <c r="W354" s="11" t="s">
        <v>1274</v>
      </c>
      <c r="X354" s="11" t="s">
        <v>1274</v>
      </c>
    </row>
    <row r="355" spans="1:24" x14ac:dyDescent="0.3">
      <c r="A355" s="14" t="s">
        <v>433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>
        <f>6+19+1+14+4</f>
        <v>44</v>
      </c>
      <c r="N355" s="1" t="s">
        <v>119</v>
      </c>
      <c r="O355" s="43" t="s">
        <v>119</v>
      </c>
      <c r="P355" s="106" t="s">
        <v>119</v>
      </c>
      <c r="Q355" s="106" t="s">
        <v>119</v>
      </c>
      <c r="R355" s="106" t="s">
        <v>119</v>
      </c>
      <c r="S355" s="106" t="s">
        <v>119</v>
      </c>
      <c r="T355" s="106" t="s">
        <v>119</v>
      </c>
      <c r="U355" s="106" t="s">
        <v>119</v>
      </c>
      <c r="V355" t="s">
        <v>119</v>
      </c>
      <c r="W355" s="11" t="s">
        <v>119</v>
      </c>
      <c r="X355" s="11" t="s">
        <v>119</v>
      </c>
    </row>
    <row r="356" spans="1:24" x14ac:dyDescent="0.3">
      <c r="A356" s="14" t="s">
        <v>434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 t="s">
        <v>119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134</v>
      </c>
      <c r="L356" s="28" t="s">
        <v>119</v>
      </c>
      <c r="M356" s="28">
        <v>1</v>
      </c>
      <c r="N356" s="1" t="s">
        <v>119</v>
      </c>
      <c r="O356" s="43" t="s">
        <v>119</v>
      </c>
      <c r="P356" s="106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t="s">
        <v>119</v>
      </c>
      <c r="W356" s="11" t="s">
        <v>134</v>
      </c>
      <c r="X356" s="11" t="s">
        <v>134</v>
      </c>
    </row>
    <row r="357" spans="1:24" x14ac:dyDescent="0.3">
      <c r="A357" s="14" t="s">
        <v>435</v>
      </c>
      <c r="B357" s="2" t="s">
        <v>119</v>
      </c>
      <c r="C357" s="14" t="s">
        <v>119</v>
      </c>
      <c r="D357" s="14" t="s">
        <v>119</v>
      </c>
      <c r="E357" s="1" t="s">
        <v>119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>
        <v>2</v>
      </c>
      <c r="N357" s="1" t="s">
        <v>119</v>
      </c>
      <c r="O357" s="43" t="s">
        <v>119</v>
      </c>
      <c r="P357" s="106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t="s">
        <v>119</v>
      </c>
      <c r="W357" s="11" t="s">
        <v>119</v>
      </c>
      <c r="X357" s="11" t="s">
        <v>119</v>
      </c>
    </row>
    <row r="358" spans="1:24" x14ac:dyDescent="0.3">
      <c r="A358" s="14" t="s">
        <v>681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>
        <f>2+1+2+2+1</f>
        <v>8</v>
      </c>
      <c r="H358" s="28" t="s">
        <v>119</v>
      </c>
      <c r="I358" s="28" t="s">
        <v>119</v>
      </c>
      <c r="J358" s="28">
        <f>122+13+3</f>
        <v>138</v>
      </c>
      <c r="K358" s="28" t="s">
        <v>119</v>
      </c>
      <c r="L358" s="28" t="s">
        <v>119</v>
      </c>
      <c r="M358" s="28" t="s">
        <v>119</v>
      </c>
      <c r="N358" s="1" t="s">
        <v>119</v>
      </c>
      <c r="O358" s="43" t="s">
        <v>119</v>
      </c>
      <c r="P358" s="106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t="s">
        <v>119</v>
      </c>
      <c r="W358" s="11" t="s">
        <v>134</v>
      </c>
      <c r="X358" s="11" t="s">
        <v>134</v>
      </c>
    </row>
    <row r="359" spans="1:24" x14ac:dyDescent="0.3">
      <c r="A359" s="14" t="s">
        <v>328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>
        <v>1</v>
      </c>
      <c r="M359" s="28" t="s">
        <v>119</v>
      </c>
      <c r="N359" s="1" t="s">
        <v>119</v>
      </c>
      <c r="O359" s="43" t="s">
        <v>119</v>
      </c>
      <c r="P359" s="106" t="s">
        <v>119</v>
      </c>
      <c r="Q359" s="106" t="s">
        <v>119</v>
      </c>
      <c r="R359" s="106" t="s">
        <v>119</v>
      </c>
      <c r="S359" s="106">
        <v>1</v>
      </c>
      <c r="T359" s="106" t="s">
        <v>119</v>
      </c>
      <c r="U359" s="106" t="s">
        <v>119</v>
      </c>
      <c r="V359" t="s">
        <v>119</v>
      </c>
      <c r="W359" s="11" t="str">
        <f t="shared" si="5"/>
        <v>X</v>
      </c>
      <c r="X359" s="11" t="s">
        <v>119</v>
      </c>
    </row>
    <row r="360" spans="1:24" x14ac:dyDescent="0.3">
      <c r="A360" s="14" t="s">
        <v>280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31">
        <v>1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106" t="s">
        <v>119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t="s">
        <v>119</v>
      </c>
      <c r="W360" s="11" t="s">
        <v>119</v>
      </c>
      <c r="X360" s="11" t="s">
        <v>134</v>
      </c>
    </row>
    <row r="361" spans="1:24" x14ac:dyDescent="0.3">
      <c r="A361" s="14" t="s">
        <v>223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>
        <v>2</v>
      </c>
      <c r="K361" s="29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106" t="s">
        <v>119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t="s">
        <v>119</v>
      </c>
      <c r="W361" s="11" t="s">
        <v>119</v>
      </c>
      <c r="X361" s="11" t="s">
        <v>119</v>
      </c>
    </row>
    <row r="362" spans="1:24" x14ac:dyDescent="0.3">
      <c r="A362" s="14" t="s">
        <v>436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9" t="s">
        <v>119</v>
      </c>
      <c r="L362" s="28" t="s">
        <v>119</v>
      </c>
      <c r="M362" s="28">
        <v>2</v>
      </c>
      <c r="N362" s="1" t="s">
        <v>119</v>
      </c>
      <c r="O362" s="43" t="s">
        <v>119</v>
      </c>
      <c r="P362" s="106" t="s">
        <v>119</v>
      </c>
      <c r="Q362" s="106" t="s">
        <v>119</v>
      </c>
      <c r="R362" s="106" t="s">
        <v>119</v>
      </c>
      <c r="S362" s="106" t="s">
        <v>119</v>
      </c>
      <c r="T362" s="106" t="s">
        <v>119</v>
      </c>
      <c r="U362" s="106" t="s">
        <v>119</v>
      </c>
      <c r="V362" t="s">
        <v>119</v>
      </c>
      <c r="W362" s="11" t="s">
        <v>119</v>
      </c>
      <c r="X362" s="11" t="s">
        <v>119</v>
      </c>
    </row>
    <row r="363" spans="1:24" x14ac:dyDescent="0.3">
      <c r="A363" s="14" t="s">
        <v>224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>
        <v>1</v>
      </c>
      <c r="K363" s="28" t="s">
        <v>119</v>
      </c>
      <c r="L363" s="28" t="s">
        <v>119</v>
      </c>
      <c r="M363" s="28">
        <f>1+34+20+23+38</f>
        <v>116</v>
      </c>
      <c r="N363" s="1" t="s">
        <v>119</v>
      </c>
      <c r="O363" s="43" t="s">
        <v>119</v>
      </c>
      <c r="P363" s="106" t="s">
        <v>119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t="s">
        <v>119</v>
      </c>
      <c r="W363" s="11" t="s">
        <v>1274</v>
      </c>
      <c r="X363" s="11" t="s">
        <v>1274</v>
      </c>
    </row>
    <row r="364" spans="1:24" x14ac:dyDescent="0.3">
      <c r="A364" s="14" t="s">
        <v>437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 t="s">
        <v>134</v>
      </c>
      <c r="N364" s="1" t="s">
        <v>119</v>
      </c>
      <c r="O364" s="43" t="s">
        <v>119</v>
      </c>
      <c r="P364" s="106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t="s">
        <v>119</v>
      </c>
      <c r="W364" s="11" t="s">
        <v>134</v>
      </c>
      <c r="X364" s="11" t="s">
        <v>134</v>
      </c>
    </row>
    <row r="365" spans="1:24" x14ac:dyDescent="0.3">
      <c r="A365" s="14" t="s">
        <v>1099</v>
      </c>
      <c r="B365" s="2">
        <v>2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119</v>
      </c>
      <c r="L365" s="28" t="s">
        <v>119</v>
      </c>
      <c r="M365" s="28" t="s">
        <v>119</v>
      </c>
      <c r="N365" s="1" t="s">
        <v>119</v>
      </c>
      <c r="O365" s="43" t="s">
        <v>119</v>
      </c>
      <c r="P365" s="106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t="s">
        <v>119</v>
      </c>
      <c r="W365" s="11" t="s">
        <v>119</v>
      </c>
      <c r="X365" s="11" t="s">
        <v>119</v>
      </c>
    </row>
    <row r="366" spans="1:24" x14ac:dyDescent="0.3">
      <c r="A366" s="14" t="s">
        <v>1302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>
        <v>8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 t="s">
        <v>119</v>
      </c>
      <c r="N366" s="1" t="s">
        <v>119</v>
      </c>
      <c r="O366" s="43" t="s">
        <v>119</v>
      </c>
      <c r="P366" s="106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t="s">
        <v>119</v>
      </c>
      <c r="W366" s="11" t="s">
        <v>119</v>
      </c>
      <c r="X366" s="11" t="s">
        <v>119</v>
      </c>
    </row>
    <row r="367" spans="1:24" x14ac:dyDescent="0.3">
      <c r="A367" s="14" t="s">
        <v>1024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 t="s">
        <v>119</v>
      </c>
      <c r="H367" s="28" t="s">
        <v>119</v>
      </c>
      <c r="I367" s="28" t="s">
        <v>119</v>
      </c>
      <c r="J367" s="28" t="s">
        <v>119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106" t="s">
        <v>119</v>
      </c>
      <c r="Q367" s="106" t="s">
        <v>119</v>
      </c>
      <c r="R367" s="106" t="s">
        <v>119</v>
      </c>
      <c r="S367" s="106" t="s">
        <v>119</v>
      </c>
      <c r="T367" s="106">
        <v>1</v>
      </c>
      <c r="U367" s="106" t="s">
        <v>119</v>
      </c>
      <c r="V367" t="s">
        <v>119</v>
      </c>
      <c r="W367" s="11" t="str">
        <f t="shared" si="5"/>
        <v>X</v>
      </c>
      <c r="X367" s="11" t="s">
        <v>119</v>
      </c>
    </row>
    <row r="368" spans="1:24" x14ac:dyDescent="0.3">
      <c r="A368" s="14" t="s">
        <v>438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 t="s">
        <v>119</v>
      </c>
      <c r="M368" s="28">
        <f>2+15+12+27+16</f>
        <v>72</v>
      </c>
      <c r="N368" s="1" t="s">
        <v>119</v>
      </c>
      <c r="O368" s="43" t="s">
        <v>119</v>
      </c>
      <c r="P368" s="106" t="s">
        <v>119</v>
      </c>
      <c r="Q368" s="106" t="s">
        <v>119</v>
      </c>
      <c r="R368" s="106" t="s">
        <v>119</v>
      </c>
      <c r="S368" s="106" t="s">
        <v>119</v>
      </c>
      <c r="T368" s="106" t="s">
        <v>119</v>
      </c>
      <c r="U368" s="106" t="s">
        <v>119</v>
      </c>
      <c r="V368" t="s">
        <v>119</v>
      </c>
      <c r="W368" s="11" t="s">
        <v>134</v>
      </c>
      <c r="X368" s="11" t="s">
        <v>119</v>
      </c>
    </row>
    <row r="369" spans="1:24" x14ac:dyDescent="0.3">
      <c r="A369" s="14" t="s">
        <v>839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28" t="s">
        <v>119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106" t="s">
        <v>119</v>
      </c>
      <c r="Q369" s="106" t="s">
        <v>119</v>
      </c>
      <c r="R369" s="106" t="s">
        <v>119</v>
      </c>
      <c r="S369" s="106">
        <v>2</v>
      </c>
      <c r="T369" s="106" t="s">
        <v>119</v>
      </c>
      <c r="U369" s="106" t="s">
        <v>119</v>
      </c>
      <c r="V369" t="s">
        <v>119</v>
      </c>
      <c r="W369" s="11" t="str">
        <f t="shared" si="5"/>
        <v>X</v>
      </c>
      <c r="X369" s="11" t="s">
        <v>1274</v>
      </c>
    </row>
    <row r="370" spans="1:24" x14ac:dyDescent="0.3">
      <c r="A370" s="14" t="s">
        <v>844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 t="s">
        <v>119</v>
      </c>
      <c r="K370" s="28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106">
        <v>6</v>
      </c>
      <c r="Q370" s="106">
        <v>35</v>
      </c>
      <c r="R370" s="106">
        <v>2</v>
      </c>
      <c r="S370" s="106">
        <v>34</v>
      </c>
      <c r="T370" s="106" t="s">
        <v>119</v>
      </c>
      <c r="U370" s="106">
        <v>2</v>
      </c>
      <c r="V370" t="s">
        <v>119</v>
      </c>
      <c r="W370" s="11" t="str">
        <f t="shared" si="5"/>
        <v>X</v>
      </c>
      <c r="X370" s="11" t="s">
        <v>1274</v>
      </c>
    </row>
    <row r="371" spans="1:24" x14ac:dyDescent="0.3">
      <c r="A371" s="14" t="s">
        <v>439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8" t="s">
        <v>119</v>
      </c>
      <c r="L371" s="28" t="s">
        <v>119</v>
      </c>
      <c r="M371" s="28">
        <v>1</v>
      </c>
      <c r="N371" s="1" t="s">
        <v>119</v>
      </c>
      <c r="O371" s="43" t="s">
        <v>119</v>
      </c>
      <c r="P371" s="106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t="s">
        <v>119</v>
      </c>
      <c r="W371" s="11" t="s">
        <v>119</v>
      </c>
      <c r="X371" s="11" t="s">
        <v>119</v>
      </c>
    </row>
    <row r="372" spans="1:24" x14ac:dyDescent="0.3">
      <c r="A372" s="14" t="s">
        <v>840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 t="s">
        <v>119</v>
      </c>
      <c r="K372" s="28" t="s">
        <v>119</v>
      </c>
      <c r="L372" s="28" t="s">
        <v>119</v>
      </c>
      <c r="M372" s="28" t="s">
        <v>119</v>
      </c>
      <c r="N372" s="1" t="s">
        <v>119</v>
      </c>
      <c r="O372" s="43" t="s">
        <v>119</v>
      </c>
      <c r="P372" s="106" t="s">
        <v>119</v>
      </c>
      <c r="Q372" s="106" t="s">
        <v>119</v>
      </c>
      <c r="R372" s="106" t="s">
        <v>119</v>
      </c>
      <c r="S372" s="106">
        <v>3</v>
      </c>
      <c r="T372" s="106" t="s">
        <v>119</v>
      </c>
      <c r="U372" s="106" t="s">
        <v>119</v>
      </c>
      <c r="V372" t="s">
        <v>119</v>
      </c>
      <c r="W372" s="11" t="str">
        <f t="shared" si="5"/>
        <v>X</v>
      </c>
      <c r="X372" s="11" t="s">
        <v>119</v>
      </c>
    </row>
    <row r="373" spans="1:24" x14ac:dyDescent="0.3">
      <c r="A373" s="10" t="s">
        <v>226</v>
      </c>
      <c r="B373" s="6" t="s">
        <v>119</v>
      </c>
      <c r="C373" s="10" t="s">
        <v>119</v>
      </c>
      <c r="D373" s="10" t="s">
        <v>119</v>
      </c>
      <c r="E373" s="10" t="s">
        <v>119</v>
      </c>
      <c r="F373" s="37" t="s">
        <v>119</v>
      </c>
      <c r="G373" s="29" t="s">
        <v>119</v>
      </c>
      <c r="H373" s="29" t="s">
        <v>119</v>
      </c>
      <c r="I373" s="29" t="s">
        <v>119</v>
      </c>
      <c r="J373" s="29">
        <v>1</v>
      </c>
      <c r="K373" s="29" t="s">
        <v>119</v>
      </c>
      <c r="L373" s="29" t="s">
        <v>119</v>
      </c>
      <c r="M373" s="29" t="s">
        <v>119</v>
      </c>
      <c r="N373" s="10" t="s">
        <v>119</v>
      </c>
      <c r="O373" s="43" t="s">
        <v>119</v>
      </c>
      <c r="P373" s="107" t="s">
        <v>119</v>
      </c>
      <c r="Q373" s="107" t="s">
        <v>119</v>
      </c>
      <c r="R373" s="107">
        <v>1</v>
      </c>
      <c r="S373" s="107" t="s">
        <v>119</v>
      </c>
      <c r="T373" s="106" t="s">
        <v>119</v>
      </c>
      <c r="U373" s="106" t="s">
        <v>119</v>
      </c>
      <c r="V373" t="s">
        <v>119</v>
      </c>
      <c r="W373" s="11" t="str">
        <f t="shared" si="5"/>
        <v>X</v>
      </c>
      <c r="X373" s="11" t="s">
        <v>119</v>
      </c>
    </row>
    <row r="374" spans="1:24" x14ac:dyDescent="0.3">
      <c r="A374" s="10" t="s">
        <v>97</v>
      </c>
      <c r="B374" s="6">
        <v>5</v>
      </c>
      <c r="C374" s="10">
        <v>1</v>
      </c>
      <c r="D374" s="10">
        <v>1</v>
      </c>
      <c r="E374" s="10">
        <v>2</v>
      </c>
      <c r="F374" s="37" t="s">
        <v>119</v>
      </c>
      <c r="G374" s="29" t="s">
        <v>119</v>
      </c>
      <c r="H374" s="29" t="s">
        <v>119</v>
      </c>
      <c r="I374" s="29" t="s">
        <v>119</v>
      </c>
      <c r="J374" s="29" t="s">
        <v>119</v>
      </c>
      <c r="K374" s="29" t="s">
        <v>119</v>
      </c>
      <c r="L374" s="29" t="s">
        <v>119</v>
      </c>
      <c r="M374" s="29" t="s">
        <v>119</v>
      </c>
      <c r="N374" s="10" t="s">
        <v>119</v>
      </c>
      <c r="O374" s="43" t="s">
        <v>119</v>
      </c>
      <c r="P374" s="107" t="s">
        <v>119</v>
      </c>
      <c r="Q374" s="107" t="s">
        <v>119</v>
      </c>
      <c r="R374" s="107" t="s">
        <v>119</v>
      </c>
      <c r="S374" s="107" t="s">
        <v>119</v>
      </c>
      <c r="T374" s="106" t="s">
        <v>119</v>
      </c>
      <c r="U374" s="106" t="s">
        <v>119</v>
      </c>
      <c r="V374" t="s">
        <v>119</v>
      </c>
      <c r="W374" s="11" t="s">
        <v>119</v>
      </c>
      <c r="X374" s="11" t="s">
        <v>119</v>
      </c>
    </row>
    <row r="375" spans="1:24" x14ac:dyDescent="0.3">
      <c r="A375" s="14" t="s">
        <v>130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 t="s">
        <v>119</v>
      </c>
      <c r="G375" s="37" t="s">
        <v>119</v>
      </c>
      <c r="H375" s="28">
        <v>5</v>
      </c>
      <c r="I375" s="28" t="s">
        <v>119</v>
      </c>
      <c r="J375" s="28" t="s">
        <v>119</v>
      </c>
      <c r="K375" s="28" t="s">
        <v>119</v>
      </c>
      <c r="L375" s="28">
        <v>1</v>
      </c>
      <c r="M375" s="28" t="s">
        <v>119</v>
      </c>
      <c r="N375" s="1" t="s">
        <v>119</v>
      </c>
      <c r="O375" s="43" t="s">
        <v>119</v>
      </c>
      <c r="P375" s="106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t="s">
        <v>119</v>
      </c>
      <c r="W375" s="11" t="s">
        <v>134</v>
      </c>
      <c r="X375" s="11" t="s">
        <v>119</v>
      </c>
    </row>
    <row r="376" spans="1:24" x14ac:dyDescent="0.3">
      <c r="A376" s="14" t="s">
        <v>440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134</v>
      </c>
      <c r="N376" s="1" t="s">
        <v>119</v>
      </c>
      <c r="O376" s="43" t="s">
        <v>119</v>
      </c>
      <c r="P376" s="106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 t="s">
        <v>119</v>
      </c>
      <c r="V376" t="s">
        <v>119</v>
      </c>
      <c r="W376" s="11" t="s">
        <v>134</v>
      </c>
      <c r="X376" s="11" t="s">
        <v>119</v>
      </c>
    </row>
    <row r="377" spans="1:24" x14ac:dyDescent="0.3">
      <c r="A377" s="14" t="s">
        <v>441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>
        <v>1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1+3+3+8+7</f>
        <v>22</v>
      </c>
      <c r="N377" s="1" t="s">
        <v>119</v>
      </c>
      <c r="O377" s="43" t="s">
        <v>119</v>
      </c>
      <c r="P377" s="106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t="s">
        <v>119</v>
      </c>
      <c r="W377" s="11" t="s">
        <v>119</v>
      </c>
      <c r="X377" s="11" t="s">
        <v>119</v>
      </c>
    </row>
    <row r="378" spans="1:24" x14ac:dyDescent="0.3">
      <c r="A378" s="14" t="s">
        <v>99</v>
      </c>
      <c r="B378" s="2">
        <v>8</v>
      </c>
      <c r="C378" s="14">
        <v>9</v>
      </c>
      <c r="D378" s="14">
        <v>0</v>
      </c>
      <c r="E378" s="1">
        <v>0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>
        <v>3</v>
      </c>
      <c r="N378" s="1">
        <v>1</v>
      </c>
      <c r="O378" s="43" t="s">
        <v>119</v>
      </c>
      <c r="P378" s="106" t="s">
        <v>119</v>
      </c>
      <c r="Q378" s="106" t="s">
        <v>119</v>
      </c>
      <c r="R378" s="106" t="s">
        <v>119</v>
      </c>
      <c r="S378" s="106" t="s">
        <v>119</v>
      </c>
      <c r="T378" s="106" t="s">
        <v>119</v>
      </c>
      <c r="U378" s="106" t="s">
        <v>119</v>
      </c>
      <c r="V378" t="s">
        <v>119</v>
      </c>
      <c r="W378" s="11" t="s">
        <v>134</v>
      </c>
      <c r="X378" s="11" t="s">
        <v>134</v>
      </c>
    </row>
    <row r="379" spans="1:24" x14ac:dyDescent="0.3">
      <c r="A379" s="14" t="s">
        <v>281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>
        <v>15</v>
      </c>
      <c r="H379" s="28">
        <v>3</v>
      </c>
      <c r="I379" s="28" t="s">
        <v>119</v>
      </c>
      <c r="J379" s="28" t="s">
        <v>119</v>
      </c>
      <c r="K379" s="28">
        <v>12</v>
      </c>
      <c r="L379" s="28" t="s">
        <v>119</v>
      </c>
      <c r="M379" s="28">
        <v>3</v>
      </c>
      <c r="N379" s="1" t="s">
        <v>119</v>
      </c>
      <c r="O379" s="43" t="s">
        <v>119</v>
      </c>
      <c r="P379" s="106" t="s">
        <v>119</v>
      </c>
      <c r="Q379" s="106" t="s">
        <v>119</v>
      </c>
      <c r="R379" s="106" t="s">
        <v>119</v>
      </c>
      <c r="S379" s="106" t="s">
        <v>119</v>
      </c>
      <c r="T379" s="106" t="s">
        <v>119</v>
      </c>
      <c r="U379" s="106" t="s">
        <v>119</v>
      </c>
      <c r="V379" t="s">
        <v>119</v>
      </c>
      <c r="W379" s="11" t="s">
        <v>134</v>
      </c>
      <c r="X379" s="11" t="s">
        <v>134</v>
      </c>
    </row>
    <row r="380" spans="1:24" x14ac:dyDescent="0.3">
      <c r="A380" s="14" t="s">
        <v>442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106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t="s">
        <v>119</v>
      </c>
      <c r="W380" s="11" t="s">
        <v>119</v>
      </c>
      <c r="X380" s="11" t="s">
        <v>119</v>
      </c>
    </row>
    <row r="381" spans="1:24" x14ac:dyDescent="0.3">
      <c r="A381" s="1" t="s">
        <v>91</v>
      </c>
      <c r="B381" s="2">
        <v>1</v>
      </c>
      <c r="C381" s="4">
        <v>0</v>
      </c>
      <c r="D381" s="4">
        <v>0</v>
      </c>
      <c r="E381" s="1">
        <v>0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>
        <v>2</v>
      </c>
      <c r="N381" s="1" t="s">
        <v>119</v>
      </c>
      <c r="O381" s="43" t="s">
        <v>119</v>
      </c>
      <c r="P381" s="106" t="s">
        <v>119</v>
      </c>
      <c r="Q381" s="106" t="s">
        <v>119</v>
      </c>
      <c r="R381" s="106" t="s">
        <v>119</v>
      </c>
      <c r="S381" s="106" t="s">
        <v>119</v>
      </c>
      <c r="T381" s="106" t="s">
        <v>119</v>
      </c>
      <c r="U381" s="106" t="s">
        <v>119</v>
      </c>
      <c r="V381" t="s">
        <v>119</v>
      </c>
      <c r="W381" s="11" t="s">
        <v>134</v>
      </c>
      <c r="X381" s="11" t="s">
        <v>119</v>
      </c>
    </row>
    <row r="382" spans="1:24" x14ac:dyDescent="0.3">
      <c r="A382" s="12" t="s">
        <v>443</v>
      </c>
      <c r="B382" s="2" t="s">
        <v>119</v>
      </c>
      <c r="C382" s="4" t="s">
        <v>119</v>
      </c>
      <c r="D382" s="4" t="s">
        <v>119</v>
      </c>
      <c r="E382" s="1" t="s">
        <v>119</v>
      </c>
      <c r="F382" s="37" t="s">
        <v>119</v>
      </c>
      <c r="G382" s="37" t="s">
        <v>119</v>
      </c>
      <c r="H382" s="28" t="s">
        <v>119</v>
      </c>
      <c r="I382" s="28" t="s">
        <v>119</v>
      </c>
      <c r="J382" s="28" t="s">
        <v>119</v>
      </c>
      <c r="K382" s="28" t="s">
        <v>119</v>
      </c>
      <c r="L382" s="28" t="s">
        <v>119</v>
      </c>
      <c r="M382" s="28">
        <v>10</v>
      </c>
      <c r="N382" s="1" t="s">
        <v>119</v>
      </c>
      <c r="O382" s="43" t="s">
        <v>119</v>
      </c>
      <c r="P382" s="106" t="s">
        <v>119</v>
      </c>
      <c r="Q382" s="106" t="s">
        <v>119</v>
      </c>
      <c r="R382" s="106" t="s">
        <v>119</v>
      </c>
      <c r="S382" s="106">
        <v>1</v>
      </c>
      <c r="T382" s="106" t="s">
        <v>119</v>
      </c>
      <c r="U382" s="106" t="s">
        <v>119</v>
      </c>
      <c r="V382" t="s">
        <v>119</v>
      </c>
      <c r="W382" s="11" t="s">
        <v>134</v>
      </c>
      <c r="X382" s="11" t="s">
        <v>134</v>
      </c>
    </row>
    <row r="383" spans="1:24" x14ac:dyDescent="0.3">
      <c r="A383" s="12" t="s">
        <v>1228</v>
      </c>
      <c r="B383" s="2" t="s">
        <v>119</v>
      </c>
      <c r="C383" s="4" t="s">
        <v>119</v>
      </c>
      <c r="D383" s="4" t="s">
        <v>119</v>
      </c>
      <c r="E383" s="1" t="s">
        <v>119</v>
      </c>
      <c r="F383" s="37" t="s">
        <v>119</v>
      </c>
      <c r="G383" s="37" t="s">
        <v>119</v>
      </c>
      <c r="H383" s="28" t="s">
        <v>119</v>
      </c>
      <c r="I383" s="28" t="s">
        <v>119</v>
      </c>
      <c r="J383" s="28">
        <v>4</v>
      </c>
      <c r="K383" s="28" t="s">
        <v>119</v>
      </c>
      <c r="L383" s="28" t="s">
        <v>119</v>
      </c>
      <c r="M383" s="28" t="s">
        <v>119</v>
      </c>
      <c r="N383" s="1" t="s">
        <v>119</v>
      </c>
      <c r="O383" s="43" t="s">
        <v>119</v>
      </c>
      <c r="P383" s="106" t="s">
        <v>119</v>
      </c>
      <c r="Q383" s="106" t="s">
        <v>119</v>
      </c>
      <c r="R383" s="106" t="s">
        <v>119</v>
      </c>
      <c r="S383" s="106" t="s">
        <v>119</v>
      </c>
      <c r="T383" s="106" t="s">
        <v>119</v>
      </c>
      <c r="U383" s="106" t="s">
        <v>119</v>
      </c>
      <c r="V383" t="s">
        <v>134</v>
      </c>
      <c r="W383" s="11" t="s">
        <v>119</v>
      </c>
      <c r="X383" s="11" t="s">
        <v>119</v>
      </c>
    </row>
    <row r="384" spans="1:24" x14ac:dyDescent="0.3">
      <c r="A384" s="12" t="s">
        <v>1229</v>
      </c>
      <c r="B384" s="2" t="s">
        <v>119</v>
      </c>
      <c r="C384" s="4" t="s">
        <v>119</v>
      </c>
      <c r="D384" s="4" t="s">
        <v>119</v>
      </c>
      <c r="E384" s="1" t="s">
        <v>119</v>
      </c>
      <c r="F384" s="37" t="s">
        <v>119</v>
      </c>
      <c r="G384" s="37" t="s">
        <v>119</v>
      </c>
      <c r="H384" s="28" t="s">
        <v>119</v>
      </c>
      <c r="I384" s="28" t="s">
        <v>119</v>
      </c>
      <c r="J384" s="28">
        <v>12</v>
      </c>
      <c r="K384" s="28" t="s">
        <v>119</v>
      </c>
      <c r="L384" s="28" t="s">
        <v>119</v>
      </c>
      <c r="M384" s="28" t="s">
        <v>119</v>
      </c>
      <c r="N384" s="1" t="s">
        <v>119</v>
      </c>
      <c r="O384" s="43" t="s">
        <v>119</v>
      </c>
      <c r="P384" s="106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t="s">
        <v>134</v>
      </c>
      <c r="W384" s="11" t="s">
        <v>119</v>
      </c>
      <c r="X384" s="11" t="s">
        <v>119</v>
      </c>
    </row>
    <row r="385" spans="1:24" x14ac:dyDescent="0.3">
      <c r="A385" s="12" t="s">
        <v>1303</v>
      </c>
      <c r="B385" s="2" t="s">
        <v>119</v>
      </c>
      <c r="C385" s="4" t="s">
        <v>119</v>
      </c>
      <c r="D385" s="4" t="s">
        <v>119</v>
      </c>
      <c r="E385" s="1" t="s">
        <v>119</v>
      </c>
      <c r="F385" s="37">
        <v>3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119</v>
      </c>
      <c r="N385" s="1" t="s">
        <v>119</v>
      </c>
      <c r="O385" s="43" t="s">
        <v>119</v>
      </c>
      <c r="P385" s="106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t="s">
        <v>119</v>
      </c>
      <c r="W385" s="11" t="s">
        <v>119</v>
      </c>
      <c r="X385" s="11" t="s">
        <v>119</v>
      </c>
    </row>
    <row r="386" spans="1:24" x14ac:dyDescent="0.3">
      <c r="A386" s="12" t="s">
        <v>444</v>
      </c>
      <c r="B386" s="2" t="s">
        <v>119</v>
      </c>
      <c r="C386" s="4" t="s">
        <v>119</v>
      </c>
      <c r="D386" s="4" t="s">
        <v>119</v>
      </c>
      <c r="E386" s="1" t="s">
        <v>119</v>
      </c>
      <c r="F386" s="37" t="s">
        <v>119</v>
      </c>
      <c r="G386" s="37" t="s">
        <v>119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1+8+4+3+1</f>
        <v>17</v>
      </c>
      <c r="N386" s="1" t="s">
        <v>119</v>
      </c>
      <c r="O386" s="43" t="s">
        <v>119</v>
      </c>
      <c r="P386" s="106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t="s">
        <v>119</v>
      </c>
      <c r="W386" s="11" t="s">
        <v>134</v>
      </c>
      <c r="X386" s="11" t="s">
        <v>134</v>
      </c>
    </row>
    <row r="387" spans="1:24" x14ac:dyDescent="0.3">
      <c r="A387" s="12" t="s">
        <v>817</v>
      </c>
      <c r="B387" s="2" t="s">
        <v>119</v>
      </c>
      <c r="C387" s="4" t="s">
        <v>119</v>
      </c>
      <c r="D387" s="4" t="s">
        <v>119</v>
      </c>
      <c r="E387" s="1" t="s">
        <v>119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 t="s">
        <v>119</v>
      </c>
      <c r="N387" s="1" t="s">
        <v>119</v>
      </c>
      <c r="O387" s="43" t="s">
        <v>119</v>
      </c>
      <c r="P387" s="106" t="s">
        <v>119</v>
      </c>
      <c r="Q387" s="106" t="s">
        <v>119</v>
      </c>
      <c r="R387" s="106" t="s">
        <v>119</v>
      </c>
      <c r="S387" s="106">
        <v>8</v>
      </c>
      <c r="T387" s="106" t="s">
        <v>119</v>
      </c>
      <c r="U387" s="106" t="s">
        <v>119</v>
      </c>
      <c r="V387" t="s">
        <v>119</v>
      </c>
      <c r="W387" s="11" t="str">
        <f t="shared" si="5"/>
        <v>X</v>
      </c>
      <c r="X387" s="11" t="s">
        <v>119</v>
      </c>
    </row>
    <row r="388" spans="1:24" s="74" customFormat="1" x14ac:dyDescent="0.3">
      <c r="A388" s="20" t="s">
        <v>1249</v>
      </c>
      <c r="B388" s="19" t="s">
        <v>119</v>
      </c>
      <c r="C388" s="20" t="s">
        <v>119</v>
      </c>
      <c r="D388" s="20" t="s">
        <v>119</v>
      </c>
      <c r="E388" s="25" t="s">
        <v>119</v>
      </c>
      <c r="F388" s="37" t="s">
        <v>119</v>
      </c>
      <c r="G388" s="37" t="s">
        <v>119</v>
      </c>
      <c r="H388" s="32" t="s">
        <v>119</v>
      </c>
      <c r="I388" s="32" t="s">
        <v>119</v>
      </c>
      <c r="J388" s="32" t="s">
        <v>119</v>
      </c>
      <c r="K388" s="32" t="s">
        <v>119</v>
      </c>
      <c r="L388" s="32" t="s">
        <v>119</v>
      </c>
      <c r="M388" s="33">
        <v>2</v>
      </c>
      <c r="N388" s="25" t="s">
        <v>119</v>
      </c>
      <c r="O388" s="43" t="s">
        <v>119</v>
      </c>
      <c r="P388" s="106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t="s">
        <v>134</v>
      </c>
      <c r="W388" s="11" t="s">
        <v>119</v>
      </c>
      <c r="X388" s="11" t="s">
        <v>119</v>
      </c>
    </row>
    <row r="389" spans="1:24" s="11" customFormat="1" x14ac:dyDescent="0.3">
      <c r="A389" s="12" t="s">
        <v>445</v>
      </c>
      <c r="B389" s="18" t="s">
        <v>119</v>
      </c>
      <c r="C389" s="12" t="s">
        <v>119</v>
      </c>
      <c r="D389" s="12" t="s">
        <v>119</v>
      </c>
      <c r="E389" s="14" t="s">
        <v>119</v>
      </c>
      <c r="F389" s="37" t="s">
        <v>119</v>
      </c>
      <c r="G389" s="37" t="s">
        <v>119</v>
      </c>
      <c r="H389" s="31" t="s">
        <v>119</v>
      </c>
      <c r="I389" s="31" t="s">
        <v>119</v>
      </c>
      <c r="J389" s="31" t="s">
        <v>119</v>
      </c>
      <c r="K389" s="31" t="s">
        <v>119</v>
      </c>
      <c r="L389" s="31" t="s">
        <v>119</v>
      </c>
      <c r="M389" s="31" t="s">
        <v>134</v>
      </c>
      <c r="N389" s="14" t="s">
        <v>119</v>
      </c>
      <c r="O389" s="43" t="s">
        <v>119</v>
      </c>
      <c r="P389" s="106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t="s">
        <v>119</v>
      </c>
      <c r="W389" s="11" t="s">
        <v>119</v>
      </c>
      <c r="X389" s="11" t="s">
        <v>119</v>
      </c>
    </row>
    <row r="390" spans="1:24" s="11" customFormat="1" x14ac:dyDescent="0.3">
      <c r="A390" s="12" t="s">
        <v>446</v>
      </c>
      <c r="B390" s="18" t="s">
        <v>119</v>
      </c>
      <c r="C390" s="12" t="s">
        <v>119</v>
      </c>
      <c r="D390" s="12" t="s">
        <v>119</v>
      </c>
      <c r="E390" s="14" t="s">
        <v>119</v>
      </c>
      <c r="F390" s="37" t="s">
        <v>119</v>
      </c>
      <c r="G390" s="37" t="s">
        <v>119</v>
      </c>
      <c r="H390" s="31">
        <v>4</v>
      </c>
      <c r="I390" s="31">
        <v>16</v>
      </c>
      <c r="J390" s="31" t="s">
        <v>119</v>
      </c>
      <c r="K390" s="31" t="s">
        <v>119</v>
      </c>
      <c r="L390" s="31" t="s">
        <v>119</v>
      </c>
      <c r="M390" s="31" t="s">
        <v>134</v>
      </c>
      <c r="N390" s="14" t="s">
        <v>119</v>
      </c>
      <c r="O390" s="43" t="s">
        <v>119</v>
      </c>
      <c r="P390" s="106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t="s">
        <v>119</v>
      </c>
      <c r="W390" s="11" t="s">
        <v>119</v>
      </c>
      <c r="X390" s="11" t="s">
        <v>119</v>
      </c>
    </row>
    <row r="391" spans="1:24" s="11" customFormat="1" x14ac:dyDescent="0.3">
      <c r="A391" s="12" t="s">
        <v>447</v>
      </c>
      <c r="B391" s="18" t="s">
        <v>119</v>
      </c>
      <c r="C391" s="12" t="s">
        <v>119</v>
      </c>
      <c r="D391" s="12" t="s">
        <v>119</v>
      </c>
      <c r="E391" s="14" t="s">
        <v>119</v>
      </c>
      <c r="F391" s="37" t="s">
        <v>119</v>
      </c>
      <c r="G391" s="37" t="s">
        <v>119</v>
      </c>
      <c r="H391" s="31" t="s">
        <v>119</v>
      </c>
      <c r="I391" s="31" t="s">
        <v>119</v>
      </c>
      <c r="J391" s="31" t="s">
        <v>119</v>
      </c>
      <c r="K391" s="31" t="s">
        <v>119</v>
      </c>
      <c r="L391" s="31" t="s">
        <v>119</v>
      </c>
      <c r="M391" s="31">
        <v>4</v>
      </c>
      <c r="N391" s="14" t="s">
        <v>119</v>
      </c>
      <c r="O391" s="43" t="s">
        <v>119</v>
      </c>
      <c r="P391" s="106" t="s">
        <v>119</v>
      </c>
      <c r="Q391" s="106" t="s">
        <v>119</v>
      </c>
      <c r="R391" s="106" t="s">
        <v>119</v>
      </c>
      <c r="S391" s="106" t="s">
        <v>119</v>
      </c>
      <c r="T391" s="106" t="s">
        <v>119</v>
      </c>
      <c r="U391" s="106">
        <v>1</v>
      </c>
      <c r="V391" t="s">
        <v>119</v>
      </c>
      <c r="W391" s="11" t="str">
        <f t="shared" ref="W391:W454" si="6">IF(SUM(P391:U391)&gt;=1,"X","")</f>
        <v>X</v>
      </c>
      <c r="X391" s="11" t="s">
        <v>134</v>
      </c>
    </row>
    <row r="392" spans="1:24" x14ac:dyDescent="0.3">
      <c r="A392" s="1" t="s">
        <v>92</v>
      </c>
      <c r="B392" s="2">
        <v>0</v>
      </c>
      <c r="C392" s="4">
        <v>2</v>
      </c>
      <c r="D392" s="4">
        <v>0</v>
      </c>
      <c r="E392" s="1">
        <v>0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1</v>
      </c>
      <c r="K392" s="29" t="s">
        <v>119</v>
      </c>
      <c r="L392" s="28" t="s">
        <v>119</v>
      </c>
      <c r="M392" s="28">
        <v>2</v>
      </c>
      <c r="N392" s="1">
        <v>1</v>
      </c>
      <c r="O392" s="43">
        <v>1</v>
      </c>
      <c r="P392" s="106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t="s">
        <v>119</v>
      </c>
      <c r="W392" s="11" t="s">
        <v>134</v>
      </c>
      <c r="X392" s="11" t="s">
        <v>134</v>
      </c>
    </row>
    <row r="393" spans="1:24" x14ac:dyDescent="0.3">
      <c r="A393" s="1" t="s">
        <v>198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>
        <v>9</v>
      </c>
      <c r="J393" s="28" t="s">
        <v>119</v>
      </c>
      <c r="K393" s="29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106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t="s">
        <v>119</v>
      </c>
      <c r="W393" s="11" t="s">
        <v>119</v>
      </c>
      <c r="X393" s="11" t="s">
        <v>134</v>
      </c>
    </row>
    <row r="394" spans="1:24" x14ac:dyDescent="0.3">
      <c r="A394" s="1" t="s">
        <v>85</v>
      </c>
      <c r="B394" s="2">
        <v>2</v>
      </c>
      <c r="C394" s="4">
        <v>0</v>
      </c>
      <c r="D394" s="4">
        <v>0</v>
      </c>
      <c r="E394" s="1">
        <v>0</v>
      </c>
      <c r="F394" s="37" t="s">
        <v>119</v>
      </c>
      <c r="G394" s="37" t="s">
        <v>119</v>
      </c>
      <c r="H394" s="28" t="s">
        <v>119</v>
      </c>
      <c r="I394" s="28">
        <v>1</v>
      </c>
      <c r="J394" s="28" t="s">
        <v>119</v>
      </c>
      <c r="K394" s="29" t="s">
        <v>119</v>
      </c>
      <c r="L394" s="28" t="s">
        <v>119</v>
      </c>
      <c r="M394" s="28">
        <f>2+92+32+1+22+43+14+4</f>
        <v>210</v>
      </c>
      <c r="N394" s="1">
        <v>1</v>
      </c>
      <c r="O394" s="43" t="s">
        <v>119</v>
      </c>
      <c r="P394" s="106">
        <v>1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t="s">
        <v>119</v>
      </c>
      <c r="W394" s="11" t="str">
        <f t="shared" si="6"/>
        <v>X</v>
      </c>
      <c r="X394" s="11" t="s">
        <v>134</v>
      </c>
    </row>
    <row r="395" spans="1:24" s="5" customFormat="1" x14ac:dyDescent="0.3">
      <c r="A395" s="10" t="s">
        <v>105</v>
      </c>
      <c r="B395" s="6">
        <v>54</v>
      </c>
      <c r="C395" s="10">
        <v>0</v>
      </c>
      <c r="D395" s="10">
        <v>0</v>
      </c>
      <c r="E395" s="10">
        <v>0</v>
      </c>
      <c r="F395" s="29" t="s">
        <v>119</v>
      </c>
      <c r="G395" s="29" t="s">
        <v>119</v>
      </c>
      <c r="H395" s="29" t="s">
        <v>119</v>
      </c>
      <c r="I395" s="29" t="s">
        <v>119</v>
      </c>
      <c r="J395" s="29" t="s">
        <v>119</v>
      </c>
      <c r="K395" s="29" t="s">
        <v>119</v>
      </c>
      <c r="L395" s="29" t="s">
        <v>119</v>
      </c>
      <c r="M395" s="29" t="s">
        <v>119</v>
      </c>
      <c r="N395" s="10" t="s">
        <v>119</v>
      </c>
      <c r="O395" s="43" t="s">
        <v>119</v>
      </c>
      <c r="P395" s="107" t="s">
        <v>119</v>
      </c>
      <c r="Q395" s="107" t="s">
        <v>119</v>
      </c>
      <c r="R395" s="107" t="s">
        <v>119</v>
      </c>
      <c r="S395" s="107" t="s">
        <v>119</v>
      </c>
      <c r="T395" s="107" t="s">
        <v>119</v>
      </c>
      <c r="U395" s="107" t="s">
        <v>119</v>
      </c>
      <c r="V395" t="s">
        <v>119</v>
      </c>
      <c r="W395" s="11" t="s">
        <v>119</v>
      </c>
      <c r="X395" s="11" t="s">
        <v>119</v>
      </c>
    </row>
    <row r="396" spans="1:24" s="5" customFormat="1" x14ac:dyDescent="0.3">
      <c r="A396" s="10" t="s">
        <v>104</v>
      </c>
      <c r="B396" s="6">
        <v>3</v>
      </c>
      <c r="C396" s="10">
        <v>0</v>
      </c>
      <c r="D396" s="10">
        <v>0</v>
      </c>
      <c r="E396" s="10">
        <v>0</v>
      </c>
      <c r="F396" s="29" t="s">
        <v>119</v>
      </c>
      <c r="G396" s="29" t="s">
        <v>119</v>
      </c>
      <c r="H396" s="29" t="s">
        <v>119</v>
      </c>
      <c r="I396" s="29" t="s">
        <v>119</v>
      </c>
      <c r="J396" s="29" t="s">
        <v>119</v>
      </c>
      <c r="K396" s="29" t="s">
        <v>119</v>
      </c>
      <c r="L396" s="29" t="s">
        <v>119</v>
      </c>
      <c r="M396" s="29" t="s">
        <v>119</v>
      </c>
      <c r="N396" s="10" t="s">
        <v>119</v>
      </c>
      <c r="O396" s="43" t="s">
        <v>119</v>
      </c>
      <c r="P396" s="107" t="s">
        <v>119</v>
      </c>
      <c r="Q396" s="107" t="s">
        <v>119</v>
      </c>
      <c r="R396" s="107" t="s">
        <v>119</v>
      </c>
      <c r="S396" s="107">
        <v>1</v>
      </c>
      <c r="T396" s="107" t="s">
        <v>119</v>
      </c>
      <c r="U396" s="107" t="s">
        <v>119</v>
      </c>
      <c r="V396" t="s">
        <v>119</v>
      </c>
      <c r="W396" s="11" t="s">
        <v>119</v>
      </c>
      <c r="X396" s="11" t="s">
        <v>119</v>
      </c>
    </row>
    <row r="397" spans="1:24" s="11" customFormat="1" x14ac:dyDescent="0.3">
      <c r="A397" s="14" t="s">
        <v>448</v>
      </c>
      <c r="B397" s="18" t="s">
        <v>119</v>
      </c>
      <c r="C397" s="14" t="s">
        <v>119</v>
      </c>
      <c r="D397" s="14" t="s">
        <v>119</v>
      </c>
      <c r="E397" s="14" t="s">
        <v>119</v>
      </c>
      <c r="F397" s="37" t="s">
        <v>119</v>
      </c>
      <c r="G397" s="37" t="s">
        <v>119</v>
      </c>
      <c r="H397" s="31">
        <v>1</v>
      </c>
      <c r="I397" s="31" t="s">
        <v>119</v>
      </c>
      <c r="J397" s="31" t="s">
        <v>119</v>
      </c>
      <c r="K397" s="31" t="s">
        <v>119</v>
      </c>
      <c r="L397" s="31" t="s">
        <v>119</v>
      </c>
      <c r="M397" s="31" t="s">
        <v>134</v>
      </c>
      <c r="N397" s="14" t="s">
        <v>119</v>
      </c>
      <c r="O397" s="43" t="s">
        <v>119</v>
      </c>
      <c r="P397" s="106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t="s">
        <v>119</v>
      </c>
      <c r="W397" s="11" t="s">
        <v>119</v>
      </c>
      <c r="X397" s="11" t="s">
        <v>119</v>
      </c>
    </row>
    <row r="398" spans="1:24" s="11" customFormat="1" x14ac:dyDescent="0.3">
      <c r="A398" s="14" t="s">
        <v>1032</v>
      </c>
      <c r="B398" s="18" t="s">
        <v>119</v>
      </c>
      <c r="C398" s="14" t="s">
        <v>119</v>
      </c>
      <c r="D398" s="14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119</v>
      </c>
      <c r="N398" s="14" t="s">
        <v>119</v>
      </c>
      <c r="O398" s="43" t="s">
        <v>119</v>
      </c>
      <c r="P398" s="106" t="s">
        <v>119</v>
      </c>
      <c r="Q398" s="106" t="s">
        <v>119</v>
      </c>
      <c r="R398" s="106" t="s">
        <v>119</v>
      </c>
      <c r="S398" s="106">
        <v>30</v>
      </c>
      <c r="T398" s="106" t="s">
        <v>119</v>
      </c>
      <c r="U398" s="106" t="s">
        <v>119</v>
      </c>
      <c r="V398" t="s">
        <v>119</v>
      </c>
      <c r="W398" s="11" t="str">
        <f t="shared" si="6"/>
        <v>X</v>
      </c>
      <c r="X398" s="11" t="s">
        <v>119</v>
      </c>
    </row>
    <row r="399" spans="1:24" s="5" customFormat="1" x14ac:dyDescent="0.3">
      <c r="A399" s="10" t="s">
        <v>282</v>
      </c>
      <c r="B399" s="6" t="s">
        <v>119</v>
      </c>
      <c r="C399" s="10" t="s">
        <v>119</v>
      </c>
      <c r="D399" s="10" t="s">
        <v>119</v>
      </c>
      <c r="E399" s="10" t="s">
        <v>119</v>
      </c>
      <c r="F399" s="29" t="s">
        <v>119</v>
      </c>
      <c r="G399" s="29" t="s">
        <v>119</v>
      </c>
      <c r="H399" s="29" t="s">
        <v>119</v>
      </c>
      <c r="I399" s="29" t="s">
        <v>119</v>
      </c>
      <c r="J399" s="29" t="s">
        <v>119</v>
      </c>
      <c r="K399" s="29">
        <v>5</v>
      </c>
      <c r="L399" s="29" t="s">
        <v>119</v>
      </c>
      <c r="M399" s="29" t="s">
        <v>119</v>
      </c>
      <c r="N399" s="10" t="s">
        <v>119</v>
      </c>
      <c r="O399" s="43" t="s">
        <v>119</v>
      </c>
      <c r="P399" s="107">
        <v>1</v>
      </c>
      <c r="Q399" s="107" t="s">
        <v>119</v>
      </c>
      <c r="R399" s="107">
        <v>1</v>
      </c>
      <c r="S399" s="107">
        <v>1</v>
      </c>
      <c r="T399" s="107">
        <v>1</v>
      </c>
      <c r="U399" s="107">
        <v>1</v>
      </c>
      <c r="V399" t="s">
        <v>119</v>
      </c>
      <c r="W399" s="11" t="str">
        <f t="shared" si="6"/>
        <v>X</v>
      </c>
      <c r="X399" s="11" t="s">
        <v>119</v>
      </c>
    </row>
    <row r="400" spans="1:24" s="11" customFormat="1" x14ac:dyDescent="0.3">
      <c r="A400" s="14" t="s">
        <v>867</v>
      </c>
      <c r="B400" s="18" t="s">
        <v>119</v>
      </c>
      <c r="C400" s="14" t="s">
        <v>119</v>
      </c>
      <c r="D400" s="14" t="s">
        <v>119</v>
      </c>
      <c r="E400" s="14" t="s">
        <v>119</v>
      </c>
      <c r="F400" s="37" t="s">
        <v>119</v>
      </c>
      <c r="G400" s="31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 t="s">
        <v>119</v>
      </c>
      <c r="N400" s="14" t="s">
        <v>119</v>
      </c>
      <c r="O400" s="43" t="s">
        <v>119</v>
      </c>
      <c r="P400" s="108" t="s">
        <v>119</v>
      </c>
      <c r="Q400" s="108" t="s">
        <v>119</v>
      </c>
      <c r="R400" s="108" t="s">
        <v>119</v>
      </c>
      <c r="S400" s="108">
        <v>1</v>
      </c>
      <c r="T400" s="106" t="s">
        <v>119</v>
      </c>
      <c r="U400" s="106" t="s">
        <v>119</v>
      </c>
      <c r="V400" t="s">
        <v>119</v>
      </c>
      <c r="W400" s="11" t="str">
        <f t="shared" si="6"/>
        <v>X</v>
      </c>
      <c r="X400" s="11" t="s">
        <v>119</v>
      </c>
    </row>
    <row r="401" spans="1:24" s="5" customFormat="1" x14ac:dyDescent="0.3">
      <c r="A401" s="10" t="s">
        <v>131</v>
      </c>
      <c r="B401" s="6" t="s">
        <v>119</v>
      </c>
      <c r="C401" s="10" t="s">
        <v>119</v>
      </c>
      <c r="D401" s="10" t="s">
        <v>119</v>
      </c>
      <c r="E401" s="10" t="s">
        <v>119</v>
      </c>
      <c r="F401" s="29" t="s">
        <v>119</v>
      </c>
      <c r="G401" s="29" t="s">
        <v>119</v>
      </c>
      <c r="H401" s="29">
        <v>3</v>
      </c>
      <c r="I401" s="29" t="s">
        <v>119</v>
      </c>
      <c r="J401" s="29" t="s">
        <v>119</v>
      </c>
      <c r="K401" s="29" t="s">
        <v>119</v>
      </c>
      <c r="L401" s="29" t="s">
        <v>119</v>
      </c>
      <c r="M401" s="29" t="s">
        <v>119</v>
      </c>
      <c r="N401" s="10" t="s">
        <v>119</v>
      </c>
      <c r="O401" s="43" t="s">
        <v>119</v>
      </c>
      <c r="P401" s="107" t="s">
        <v>119</v>
      </c>
      <c r="Q401" s="107" t="s">
        <v>119</v>
      </c>
      <c r="R401" s="107" t="s">
        <v>119</v>
      </c>
      <c r="S401" s="107" t="s">
        <v>119</v>
      </c>
      <c r="T401" s="107" t="s">
        <v>119</v>
      </c>
      <c r="U401" s="107" t="s">
        <v>119</v>
      </c>
      <c r="V401" t="s">
        <v>119</v>
      </c>
      <c r="W401" s="11" t="s">
        <v>119</v>
      </c>
      <c r="X401" s="11" t="s">
        <v>119</v>
      </c>
    </row>
    <row r="402" spans="1:24" x14ac:dyDescent="0.3">
      <c r="A402" s="1" t="s">
        <v>227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 t="s">
        <v>119</v>
      </c>
      <c r="J402" s="28">
        <v>1</v>
      </c>
      <c r="K402" s="31" t="s">
        <v>119</v>
      </c>
      <c r="L402" s="28" t="s">
        <v>119</v>
      </c>
      <c r="M402" s="28">
        <v>12</v>
      </c>
      <c r="N402" s="1" t="s">
        <v>119</v>
      </c>
      <c r="O402" s="43" t="s">
        <v>119</v>
      </c>
      <c r="P402" s="106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t="s">
        <v>119</v>
      </c>
      <c r="W402" s="11" t="s">
        <v>119</v>
      </c>
      <c r="X402" s="11" t="s">
        <v>119</v>
      </c>
    </row>
    <row r="403" spans="1:24" x14ac:dyDescent="0.3">
      <c r="A403" s="1" t="s">
        <v>196</v>
      </c>
      <c r="B403" s="2" t="s">
        <v>119</v>
      </c>
      <c r="C403" s="4" t="s">
        <v>119</v>
      </c>
      <c r="D403" s="4" t="s">
        <v>119</v>
      </c>
      <c r="E403" s="1" t="s">
        <v>119</v>
      </c>
      <c r="F403" s="37" t="s">
        <v>119</v>
      </c>
      <c r="G403" s="37" t="s">
        <v>119</v>
      </c>
      <c r="H403" s="28" t="s">
        <v>119</v>
      </c>
      <c r="I403" s="28">
        <v>2</v>
      </c>
      <c r="J403" s="28" t="s">
        <v>119</v>
      </c>
      <c r="K403" s="29" t="s">
        <v>119</v>
      </c>
      <c r="L403" s="28" t="s">
        <v>119</v>
      </c>
      <c r="M403" s="28" t="s">
        <v>134</v>
      </c>
      <c r="N403" s="1" t="s">
        <v>119</v>
      </c>
      <c r="O403" s="43" t="s">
        <v>119</v>
      </c>
      <c r="P403" s="106" t="s">
        <v>119</v>
      </c>
      <c r="Q403" s="106" t="s">
        <v>119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t="s">
        <v>119</v>
      </c>
      <c r="W403" s="11" t="s">
        <v>134</v>
      </c>
      <c r="X403" s="11" t="s">
        <v>119</v>
      </c>
    </row>
    <row r="404" spans="1:24" x14ac:dyDescent="0.3">
      <c r="A404" s="1" t="s">
        <v>683</v>
      </c>
      <c r="B404" s="2" t="s">
        <v>119</v>
      </c>
      <c r="C404" s="4" t="s">
        <v>119</v>
      </c>
      <c r="D404" s="4" t="s">
        <v>119</v>
      </c>
      <c r="E404" s="1" t="s">
        <v>119</v>
      </c>
      <c r="F404" s="37" t="s">
        <v>119</v>
      </c>
      <c r="G404" s="37" t="s">
        <v>119</v>
      </c>
      <c r="H404" s="28">
        <v>1</v>
      </c>
      <c r="I404" s="28">
        <v>4</v>
      </c>
      <c r="J404" s="28" t="s">
        <v>119</v>
      </c>
      <c r="K404" s="29" t="s">
        <v>119</v>
      </c>
      <c r="L404" s="28" t="s">
        <v>119</v>
      </c>
      <c r="M404" s="28" t="s">
        <v>119</v>
      </c>
      <c r="N404" s="1" t="s">
        <v>119</v>
      </c>
      <c r="O404" s="43">
        <v>1</v>
      </c>
      <c r="P404" s="106" t="s">
        <v>119</v>
      </c>
      <c r="Q404" s="106" t="s">
        <v>119</v>
      </c>
      <c r="R404" s="106" t="s">
        <v>119</v>
      </c>
      <c r="S404" s="106" t="s">
        <v>119</v>
      </c>
      <c r="T404" s="106" t="s">
        <v>119</v>
      </c>
      <c r="U404" s="106" t="s">
        <v>119</v>
      </c>
      <c r="V404" t="s">
        <v>119</v>
      </c>
      <c r="W404" s="11" t="s">
        <v>119</v>
      </c>
      <c r="X404" s="11" t="s">
        <v>134</v>
      </c>
    </row>
    <row r="405" spans="1:24" s="5" customFormat="1" x14ac:dyDescent="0.3">
      <c r="A405" s="10" t="s">
        <v>83</v>
      </c>
      <c r="B405" s="6">
        <v>2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>
        <v>1</v>
      </c>
      <c r="N405" s="10" t="s">
        <v>119</v>
      </c>
      <c r="O405" s="43" t="s">
        <v>119</v>
      </c>
      <c r="P405" s="107" t="s">
        <v>119</v>
      </c>
      <c r="Q405" s="107" t="s">
        <v>119</v>
      </c>
      <c r="R405" s="107" t="s">
        <v>119</v>
      </c>
      <c r="S405" s="107" t="s">
        <v>119</v>
      </c>
      <c r="T405" s="107" t="s">
        <v>119</v>
      </c>
      <c r="U405" s="107" t="s">
        <v>119</v>
      </c>
      <c r="V405" t="s">
        <v>119</v>
      </c>
      <c r="W405" s="11" t="s">
        <v>119</v>
      </c>
      <c r="X405" s="11" t="s">
        <v>119</v>
      </c>
    </row>
    <row r="406" spans="1:24" s="11" customFormat="1" x14ac:dyDescent="0.3">
      <c r="A406" s="14" t="s">
        <v>329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 t="s">
        <v>119</v>
      </c>
      <c r="I406" s="31">
        <v>1</v>
      </c>
      <c r="J406" s="31" t="s">
        <v>119</v>
      </c>
      <c r="K406" s="31" t="s">
        <v>119</v>
      </c>
      <c r="L406" s="31">
        <v>5</v>
      </c>
      <c r="M406" s="31" t="s">
        <v>119</v>
      </c>
      <c r="N406" s="14">
        <v>2</v>
      </c>
      <c r="O406" s="43">
        <v>1</v>
      </c>
      <c r="P406" s="106" t="s">
        <v>119</v>
      </c>
      <c r="Q406" s="106" t="s">
        <v>119</v>
      </c>
      <c r="R406" s="106">
        <v>1</v>
      </c>
      <c r="S406" s="106">
        <v>1</v>
      </c>
      <c r="T406" s="106" t="s">
        <v>119</v>
      </c>
      <c r="U406" s="106" t="s">
        <v>119</v>
      </c>
      <c r="V406" t="s">
        <v>119</v>
      </c>
      <c r="W406" s="11" t="str">
        <f t="shared" si="6"/>
        <v>X</v>
      </c>
      <c r="X406" s="11" t="s">
        <v>134</v>
      </c>
    </row>
    <row r="407" spans="1:24" s="11" customFormat="1" x14ac:dyDescent="0.3">
      <c r="A407" s="14" t="s">
        <v>1298</v>
      </c>
      <c r="B407" s="2" t="s">
        <v>119</v>
      </c>
      <c r="C407" s="14" t="s">
        <v>119</v>
      </c>
      <c r="D407" s="14" t="s">
        <v>119</v>
      </c>
      <c r="E407" s="1" t="s">
        <v>119</v>
      </c>
      <c r="F407" s="37">
        <v>5</v>
      </c>
      <c r="G407" s="37" t="s">
        <v>119</v>
      </c>
      <c r="H407" s="28" t="s">
        <v>119</v>
      </c>
      <c r="I407" s="28" t="s">
        <v>119</v>
      </c>
      <c r="J407" s="28" t="s">
        <v>119</v>
      </c>
      <c r="K407" s="28">
        <v>1</v>
      </c>
      <c r="L407" s="28" t="s">
        <v>119</v>
      </c>
      <c r="M407" s="28">
        <v>7</v>
      </c>
      <c r="N407" s="1" t="s">
        <v>119</v>
      </c>
      <c r="O407" s="43" t="s">
        <v>119</v>
      </c>
      <c r="P407" s="106" t="s">
        <v>119</v>
      </c>
      <c r="Q407" s="106" t="s">
        <v>119</v>
      </c>
      <c r="R407" s="106" t="s">
        <v>119</v>
      </c>
      <c r="S407" s="106" t="s">
        <v>119</v>
      </c>
      <c r="T407" s="106" t="s">
        <v>119</v>
      </c>
      <c r="U407" s="106" t="s">
        <v>119</v>
      </c>
      <c r="V407" t="s">
        <v>119</v>
      </c>
      <c r="W407" s="11" t="s">
        <v>134</v>
      </c>
      <c r="X407" s="11" t="s">
        <v>119</v>
      </c>
    </row>
    <row r="408" spans="1:24" s="11" customFormat="1" x14ac:dyDescent="0.3">
      <c r="A408" s="14" t="s">
        <v>449</v>
      </c>
      <c r="B408" s="18" t="s">
        <v>119</v>
      </c>
      <c r="C408" s="14" t="s">
        <v>119</v>
      </c>
      <c r="D408" s="14" t="s">
        <v>119</v>
      </c>
      <c r="E408" s="14" t="s">
        <v>119</v>
      </c>
      <c r="F408" s="37" t="s">
        <v>119</v>
      </c>
      <c r="G408" s="37" t="s">
        <v>119</v>
      </c>
      <c r="H408" s="31" t="s">
        <v>119</v>
      </c>
      <c r="I408" s="31" t="s">
        <v>119</v>
      </c>
      <c r="J408" s="31" t="s">
        <v>119</v>
      </c>
      <c r="K408" s="31" t="s">
        <v>119</v>
      </c>
      <c r="L408" s="31" t="s">
        <v>119</v>
      </c>
      <c r="M408" s="31" t="s">
        <v>134</v>
      </c>
      <c r="N408" s="14" t="s">
        <v>119</v>
      </c>
      <c r="O408" s="43" t="s">
        <v>119</v>
      </c>
      <c r="P408" s="106" t="s">
        <v>119</v>
      </c>
      <c r="Q408" s="106">
        <v>1</v>
      </c>
      <c r="R408" s="106" t="s">
        <v>119</v>
      </c>
      <c r="S408" s="106" t="s">
        <v>119</v>
      </c>
      <c r="T408" s="106" t="s">
        <v>119</v>
      </c>
      <c r="U408" s="106" t="s">
        <v>119</v>
      </c>
      <c r="V408" t="s">
        <v>119</v>
      </c>
      <c r="W408" s="11" t="str">
        <f t="shared" si="6"/>
        <v>X</v>
      </c>
      <c r="X408" s="11" t="s">
        <v>119</v>
      </c>
    </row>
    <row r="409" spans="1:24" s="11" customFormat="1" x14ac:dyDescent="0.3">
      <c r="A409" s="14" t="s">
        <v>450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7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>
        <v>3</v>
      </c>
      <c r="N409" s="14" t="s">
        <v>119</v>
      </c>
      <c r="O409" s="43" t="s">
        <v>119</v>
      </c>
      <c r="P409" s="106" t="s">
        <v>119</v>
      </c>
      <c r="Q409" s="106" t="s">
        <v>119</v>
      </c>
      <c r="R409" s="106" t="s">
        <v>119</v>
      </c>
      <c r="S409" s="106" t="s">
        <v>119</v>
      </c>
      <c r="T409" s="106" t="s">
        <v>119</v>
      </c>
      <c r="U409" s="106" t="s">
        <v>119</v>
      </c>
      <c r="V409" t="s">
        <v>119</v>
      </c>
      <c r="W409" s="11" t="s">
        <v>119</v>
      </c>
      <c r="X409" s="11" t="s">
        <v>119</v>
      </c>
    </row>
    <row r="410" spans="1:24" s="11" customFormat="1" x14ac:dyDescent="0.3">
      <c r="A410" s="14" t="s">
        <v>451</v>
      </c>
      <c r="B410" s="18" t="s">
        <v>119</v>
      </c>
      <c r="C410" s="14" t="s">
        <v>119</v>
      </c>
      <c r="D410" s="14" t="s">
        <v>119</v>
      </c>
      <c r="E410" s="14" t="s">
        <v>119</v>
      </c>
      <c r="F410" s="37" t="s">
        <v>119</v>
      </c>
      <c r="G410" s="37" t="s">
        <v>119</v>
      </c>
      <c r="H410" s="31" t="s">
        <v>119</v>
      </c>
      <c r="I410" s="31" t="s">
        <v>119</v>
      </c>
      <c r="J410" s="31" t="s">
        <v>119</v>
      </c>
      <c r="K410" s="31" t="s">
        <v>119</v>
      </c>
      <c r="L410" s="31" t="s">
        <v>119</v>
      </c>
      <c r="M410" s="31" t="s">
        <v>134</v>
      </c>
      <c r="N410" s="14" t="s">
        <v>119</v>
      </c>
      <c r="O410" s="43" t="s">
        <v>119</v>
      </c>
      <c r="P410" s="106" t="s">
        <v>119</v>
      </c>
      <c r="Q410" s="106" t="s">
        <v>119</v>
      </c>
      <c r="R410" s="106" t="s">
        <v>119</v>
      </c>
      <c r="S410" s="106" t="s">
        <v>119</v>
      </c>
      <c r="T410" s="106" t="s">
        <v>119</v>
      </c>
      <c r="U410" s="106" t="s">
        <v>119</v>
      </c>
      <c r="V410" t="s">
        <v>119</v>
      </c>
      <c r="W410" s="11" t="s">
        <v>134</v>
      </c>
      <c r="X410" s="11" t="s">
        <v>119</v>
      </c>
    </row>
    <row r="411" spans="1:24" s="11" customFormat="1" x14ac:dyDescent="0.3">
      <c r="A411" s="14" t="s">
        <v>452</v>
      </c>
      <c r="B411" s="18" t="s">
        <v>119</v>
      </c>
      <c r="C411" s="14" t="s">
        <v>119</v>
      </c>
      <c r="D411" s="14" t="s">
        <v>119</v>
      </c>
      <c r="E411" s="14" t="s">
        <v>119</v>
      </c>
      <c r="F411" s="37" t="s">
        <v>119</v>
      </c>
      <c r="G411" s="37" t="s">
        <v>119</v>
      </c>
      <c r="H411" s="31" t="s">
        <v>119</v>
      </c>
      <c r="I411" s="31" t="s">
        <v>119</v>
      </c>
      <c r="J411" s="31" t="s">
        <v>119</v>
      </c>
      <c r="K411" s="31" t="s">
        <v>119</v>
      </c>
      <c r="L411" s="31" t="s">
        <v>119</v>
      </c>
      <c r="M411" s="31">
        <v>1</v>
      </c>
      <c r="N411" s="14" t="s">
        <v>119</v>
      </c>
      <c r="O411" s="43" t="s">
        <v>119</v>
      </c>
      <c r="P411" s="106" t="s">
        <v>119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t="s">
        <v>119</v>
      </c>
      <c r="W411" s="11" t="s">
        <v>1274</v>
      </c>
      <c r="X411" s="11" t="s">
        <v>1274</v>
      </c>
    </row>
    <row r="412" spans="1:24" x14ac:dyDescent="0.3">
      <c r="A412" s="14" t="s">
        <v>228</v>
      </c>
      <c r="B412" s="18" t="s">
        <v>119</v>
      </c>
      <c r="C412" s="12" t="s">
        <v>119</v>
      </c>
      <c r="D412" s="12" t="s">
        <v>119</v>
      </c>
      <c r="E412" s="14" t="s">
        <v>119</v>
      </c>
      <c r="F412" s="37" t="s">
        <v>119</v>
      </c>
      <c r="G412" s="37" t="s">
        <v>119</v>
      </c>
      <c r="H412" s="31">
        <v>1</v>
      </c>
      <c r="I412" s="31" t="s">
        <v>119</v>
      </c>
      <c r="J412" s="31">
        <v>4</v>
      </c>
      <c r="K412" s="28" t="s">
        <v>119</v>
      </c>
      <c r="L412" s="28" t="s">
        <v>119</v>
      </c>
      <c r="M412" s="28" t="s">
        <v>119</v>
      </c>
      <c r="N412" s="1" t="s">
        <v>119</v>
      </c>
      <c r="O412" s="43">
        <v>2</v>
      </c>
      <c r="P412" s="106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t="s">
        <v>119</v>
      </c>
      <c r="W412" s="11" t="s">
        <v>119</v>
      </c>
      <c r="X412" s="11" t="s">
        <v>119</v>
      </c>
    </row>
    <row r="413" spans="1:24" x14ac:dyDescent="0.3">
      <c r="A413" s="14" t="s">
        <v>718</v>
      </c>
      <c r="B413" s="18" t="s">
        <v>119</v>
      </c>
      <c r="C413" s="12" t="s">
        <v>119</v>
      </c>
      <c r="D413" s="12" t="s">
        <v>119</v>
      </c>
      <c r="E413" s="14" t="s">
        <v>119</v>
      </c>
      <c r="F413" s="37" t="s">
        <v>119</v>
      </c>
      <c r="G413" s="37" t="s">
        <v>119</v>
      </c>
      <c r="H413" s="31" t="s">
        <v>119</v>
      </c>
      <c r="I413" s="31">
        <v>22</v>
      </c>
      <c r="J413" s="31" t="s">
        <v>119</v>
      </c>
      <c r="K413" s="28" t="s">
        <v>119</v>
      </c>
      <c r="L413" s="28" t="s">
        <v>119</v>
      </c>
      <c r="M413" s="28" t="s">
        <v>119</v>
      </c>
      <c r="N413" s="1" t="s">
        <v>119</v>
      </c>
      <c r="O413" s="43" t="s">
        <v>119</v>
      </c>
      <c r="P413" s="106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t="s">
        <v>119</v>
      </c>
      <c r="W413" s="11" t="s">
        <v>119</v>
      </c>
      <c r="X413" s="11" t="s">
        <v>134</v>
      </c>
    </row>
    <row r="414" spans="1:24" s="5" customFormat="1" x14ac:dyDescent="0.3">
      <c r="A414" s="10" t="s">
        <v>283</v>
      </c>
      <c r="B414" s="6" t="s">
        <v>119</v>
      </c>
      <c r="C414" s="7" t="s">
        <v>119</v>
      </c>
      <c r="D414" s="7" t="s">
        <v>119</v>
      </c>
      <c r="E414" s="10" t="s">
        <v>119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>
        <v>1</v>
      </c>
      <c r="L414" s="29" t="s">
        <v>119</v>
      </c>
      <c r="M414" s="29" t="s">
        <v>119</v>
      </c>
      <c r="N414" s="10" t="s">
        <v>119</v>
      </c>
      <c r="O414" s="43" t="s">
        <v>119</v>
      </c>
      <c r="P414" s="107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t="s">
        <v>119</v>
      </c>
      <c r="W414" s="11" t="s">
        <v>119</v>
      </c>
      <c r="X414" s="11" t="s">
        <v>119</v>
      </c>
    </row>
    <row r="415" spans="1:24" s="11" customFormat="1" x14ac:dyDescent="0.3">
      <c r="A415" s="14" t="s">
        <v>453</v>
      </c>
      <c r="B415" s="18" t="s">
        <v>119</v>
      </c>
      <c r="C415" s="12" t="s">
        <v>119</v>
      </c>
      <c r="D415" s="12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 t="s">
        <v>119</v>
      </c>
      <c r="J415" s="31" t="s">
        <v>119</v>
      </c>
      <c r="K415" s="31" t="s">
        <v>119</v>
      </c>
      <c r="L415" s="31" t="s">
        <v>119</v>
      </c>
      <c r="M415" s="31" t="s">
        <v>134</v>
      </c>
      <c r="N415" s="14" t="s">
        <v>119</v>
      </c>
      <c r="O415" s="43" t="s">
        <v>119</v>
      </c>
      <c r="P415" s="106" t="s">
        <v>119</v>
      </c>
      <c r="Q415" s="106" t="s">
        <v>119</v>
      </c>
      <c r="R415" s="106" t="s">
        <v>119</v>
      </c>
      <c r="S415" s="106" t="s">
        <v>119</v>
      </c>
      <c r="T415" s="106" t="s">
        <v>119</v>
      </c>
      <c r="U415" s="106" t="s">
        <v>119</v>
      </c>
      <c r="V415" t="s">
        <v>119</v>
      </c>
      <c r="W415" s="11" t="s">
        <v>134</v>
      </c>
      <c r="X415" s="11" t="s">
        <v>134</v>
      </c>
    </row>
    <row r="416" spans="1:24" x14ac:dyDescent="0.3">
      <c r="A416" s="14" t="s">
        <v>1170</v>
      </c>
      <c r="B416" s="18" t="s">
        <v>119</v>
      </c>
      <c r="C416" s="12" t="s">
        <v>119</v>
      </c>
      <c r="D416" s="12" t="s">
        <v>119</v>
      </c>
      <c r="E416" s="14" t="s">
        <v>119</v>
      </c>
      <c r="F416" s="37" t="s">
        <v>119</v>
      </c>
      <c r="G416" s="37" t="s">
        <v>119</v>
      </c>
      <c r="H416" s="31" t="s">
        <v>119</v>
      </c>
      <c r="I416" s="31" t="s">
        <v>119</v>
      </c>
      <c r="J416" s="31">
        <f>2+4+1+41</f>
        <v>48</v>
      </c>
      <c r="K416" s="31" t="s">
        <v>119</v>
      </c>
      <c r="L416" s="28" t="s">
        <v>119</v>
      </c>
      <c r="M416" s="28" t="s">
        <v>119</v>
      </c>
      <c r="N416" s="1" t="s">
        <v>119</v>
      </c>
      <c r="O416" s="43" t="s">
        <v>119</v>
      </c>
      <c r="P416" s="106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t="s">
        <v>134</v>
      </c>
      <c r="W416" s="11" t="s">
        <v>119</v>
      </c>
      <c r="X416" s="11" t="s">
        <v>119</v>
      </c>
    </row>
    <row r="417" spans="1:24" s="5" customFormat="1" x14ac:dyDescent="0.3">
      <c r="A417" s="10" t="s">
        <v>833</v>
      </c>
      <c r="B417" s="6" t="s">
        <v>119</v>
      </c>
      <c r="C417" s="7" t="s">
        <v>119</v>
      </c>
      <c r="D417" s="7" t="s">
        <v>119</v>
      </c>
      <c r="E417" s="10" t="s">
        <v>119</v>
      </c>
      <c r="F417" s="29" t="s">
        <v>119</v>
      </c>
      <c r="G417" s="29" t="s">
        <v>119</v>
      </c>
      <c r="H417" s="29" t="s">
        <v>119</v>
      </c>
      <c r="I417" s="29" t="s">
        <v>119</v>
      </c>
      <c r="J417" s="29" t="s">
        <v>119</v>
      </c>
      <c r="K417" s="29" t="s">
        <v>119</v>
      </c>
      <c r="L417" s="29" t="s">
        <v>119</v>
      </c>
      <c r="M417" s="29" t="s">
        <v>119</v>
      </c>
      <c r="N417" s="10" t="s">
        <v>119</v>
      </c>
      <c r="O417" s="43" t="s">
        <v>119</v>
      </c>
      <c r="P417" s="107" t="s">
        <v>119</v>
      </c>
      <c r="Q417" s="107">
        <v>1</v>
      </c>
      <c r="R417" s="107" t="s">
        <v>119</v>
      </c>
      <c r="S417" s="107" t="s">
        <v>119</v>
      </c>
      <c r="T417" s="107" t="s">
        <v>119</v>
      </c>
      <c r="U417" s="107" t="s">
        <v>119</v>
      </c>
      <c r="V417" t="s">
        <v>119</v>
      </c>
      <c r="W417" s="11" t="str">
        <f t="shared" si="6"/>
        <v>X</v>
      </c>
      <c r="X417" s="11" t="s">
        <v>119</v>
      </c>
    </row>
    <row r="418" spans="1:24" x14ac:dyDescent="0.3">
      <c r="A418" s="14" t="s">
        <v>684</v>
      </c>
      <c r="B418" s="18" t="s">
        <v>119</v>
      </c>
      <c r="C418" s="12" t="s">
        <v>119</v>
      </c>
      <c r="D418" s="12" t="s">
        <v>119</v>
      </c>
      <c r="E418" s="14" t="s">
        <v>119</v>
      </c>
      <c r="F418" s="37" t="s">
        <v>119</v>
      </c>
      <c r="G418" s="37">
        <v>2</v>
      </c>
      <c r="H418" s="31" t="s">
        <v>119</v>
      </c>
      <c r="I418" s="31">
        <v>1</v>
      </c>
      <c r="J418" s="31" t="s">
        <v>119</v>
      </c>
      <c r="K418" s="31" t="s">
        <v>119</v>
      </c>
      <c r="L418" s="28" t="s">
        <v>119</v>
      </c>
      <c r="M418" s="28" t="s">
        <v>119</v>
      </c>
      <c r="N418" s="1" t="s">
        <v>119</v>
      </c>
      <c r="O418" s="43" t="s">
        <v>119</v>
      </c>
      <c r="P418" s="106" t="s">
        <v>119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t="s">
        <v>119</v>
      </c>
      <c r="W418" s="11" t="s">
        <v>119</v>
      </c>
      <c r="X418" s="11" t="s">
        <v>119</v>
      </c>
    </row>
    <row r="419" spans="1:24" x14ac:dyDescent="0.3">
      <c r="A419" s="14" t="s">
        <v>454</v>
      </c>
      <c r="B419" s="18" t="s">
        <v>119</v>
      </c>
      <c r="C419" s="12" t="s">
        <v>119</v>
      </c>
      <c r="D419" s="12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28" t="s">
        <v>119</v>
      </c>
      <c r="M419" s="28">
        <v>1</v>
      </c>
      <c r="N419" s="1" t="s">
        <v>119</v>
      </c>
      <c r="O419" s="43" t="s">
        <v>119</v>
      </c>
      <c r="P419" s="106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t="s">
        <v>119</v>
      </c>
      <c r="W419" s="11" t="s">
        <v>134</v>
      </c>
      <c r="X419" s="11" t="s">
        <v>119</v>
      </c>
    </row>
    <row r="420" spans="1:24" x14ac:dyDescent="0.3">
      <c r="A420" s="25" t="s">
        <v>1250</v>
      </c>
      <c r="B420" s="22">
        <v>0</v>
      </c>
      <c r="C420" s="24">
        <v>0</v>
      </c>
      <c r="D420" s="24">
        <v>0</v>
      </c>
      <c r="E420" s="24">
        <v>3</v>
      </c>
      <c r="F420" s="37" t="s">
        <v>119</v>
      </c>
      <c r="G420" s="37" t="s">
        <v>119</v>
      </c>
      <c r="H420" s="28" t="s">
        <v>119</v>
      </c>
      <c r="I420" s="28" t="s">
        <v>119</v>
      </c>
      <c r="J420" s="28" t="s">
        <v>119</v>
      </c>
      <c r="K420" s="37" t="s">
        <v>119</v>
      </c>
      <c r="L420" s="28" t="s">
        <v>119</v>
      </c>
      <c r="M420" s="28" t="s">
        <v>119</v>
      </c>
      <c r="N420" s="1" t="s">
        <v>119</v>
      </c>
      <c r="O420" s="43" t="s">
        <v>119</v>
      </c>
      <c r="P420" s="106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t="s">
        <v>134</v>
      </c>
      <c r="W420" s="11" t="s">
        <v>119</v>
      </c>
      <c r="X420" s="11" t="s">
        <v>119</v>
      </c>
    </row>
    <row r="421" spans="1:24" s="11" customFormat="1" x14ac:dyDescent="0.3">
      <c r="A421" s="14" t="s">
        <v>455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13</v>
      </c>
      <c r="N421" s="14" t="s">
        <v>119</v>
      </c>
      <c r="O421" s="43" t="s">
        <v>119</v>
      </c>
      <c r="P421" s="106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t="s">
        <v>119</v>
      </c>
      <c r="W421" s="11" t="s">
        <v>134</v>
      </c>
      <c r="X421" s="11" t="s">
        <v>134</v>
      </c>
    </row>
    <row r="422" spans="1:24" s="11" customFormat="1" x14ac:dyDescent="0.3">
      <c r="A422" s="14" t="s">
        <v>719</v>
      </c>
      <c r="B422" s="18" t="s">
        <v>119</v>
      </c>
      <c r="C422" s="14" t="s">
        <v>119</v>
      </c>
      <c r="D422" s="14" t="s">
        <v>119</v>
      </c>
      <c r="E422" s="14" t="s">
        <v>119</v>
      </c>
      <c r="F422" s="37" t="s">
        <v>119</v>
      </c>
      <c r="G422" s="37" t="s">
        <v>119</v>
      </c>
      <c r="H422" s="31" t="s">
        <v>119</v>
      </c>
      <c r="I422" s="31">
        <v>5</v>
      </c>
      <c r="J422" s="31" t="s">
        <v>119</v>
      </c>
      <c r="K422" s="31" t="s">
        <v>119</v>
      </c>
      <c r="L422" s="31" t="s">
        <v>119</v>
      </c>
      <c r="M422" s="31" t="s">
        <v>119</v>
      </c>
      <c r="N422" s="14" t="s">
        <v>119</v>
      </c>
      <c r="O422" s="43">
        <v>1</v>
      </c>
      <c r="P422" s="106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t="s">
        <v>119</v>
      </c>
      <c r="W422" s="11" t="s">
        <v>134</v>
      </c>
      <c r="X422" s="11" t="s">
        <v>134</v>
      </c>
    </row>
    <row r="423" spans="1:24" s="11" customFormat="1" x14ac:dyDescent="0.3">
      <c r="A423" s="14" t="s">
        <v>456</v>
      </c>
      <c r="B423" s="18" t="s">
        <v>119</v>
      </c>
      <c r="C423" s="14" t="s">
        <v>119</v>
      </c>
      <c r="D423" s="14" t="s">
        <v>119</v>
      </c>
      <c r="E423" s="14" t="s">
        <v>119</v>
      </c>
      <c r="F423" s="37" t="s">
        <v>119</v>
      </c>
      <c r="G423" s="37">
        <v>1</v>
      </c>
      <c r="H423" s="31" t="s">
        <v>119</v>
      </c>
      <c r="I423" s="31" t="s">
        <v>119</v>
      </c>
      <c r="J423" s="31" t="s">
        <v>119</v>
      </c>
      <c r="K423" s="31" t="s">
        <v>119</v>
      </c>
      <c r="L423" s="31" t="s">
        <v>119</v>
      </c>
      <c r="M423" s="31">
        <f>5+1+6+3+1+7+3+1+6+4+5</f>
        <v>42</v>
      </c>
      <c r="N423" s="14" t="s">
        <v>119</v>
      </c>
      <c r="O423" s="43" t="s">
        <v>119</v>
      </c>
      <c r="P423" s="106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t="s">
        <v>119</v>
      </c>
      <c r="W423" s="11" t="s">
        <v>134</v>
      </c>
      <c r="X423" s="11" t="s">
        <v>119</v>
      </c>
    </row>
    <row r="424" spans="1:24" s="11" customFormat="1" x14ac:dyDescent="0.3">
      <c r="A424" s="14" t="s">
        <v>1171</v>
      </c>
      <c r="B424" s="18" t="s">
        <v>119</v>
      </c>
      <c r="C424" s="18" t="s">
        <v>119</v>
      </c>
      <c r="D424" s="18" t="s">
        <v>119</v>
      </c>
      <c r="E424" s="18" t="s">
        <v>119</v>
      </c>
      <c r="F424" s="18" t="s">
        <v>119</v>
      </c>
      <c r="G424" s="18" t="s">
        <v>119</v>
      </c>
      <c r="H424" s="18" t="s">
        <v>119</v>
      </c>
      <c r="I424" s="18" t="s">
        <v>119</v>
      </c>
      <c r="J424" s="31" t="s">
        <v>134</v>
      </c>
      <c r="K424" s="31" t="s">
        <v>119</v>
      </c>
      <c r="L424" s="31" t="s">
        <v>119</v>
      </c>
      <c r="M424" s="31" t="s">
        <v>119</v>
      </c>
      <c r="N424" s="31" t="s">
        <v>119</v>
      </c>
      <c r="O424" s="31" t="s">
        <v>119</v>
      </c>
      <c r="P424" s="106" t="s">
        <v>119</v>
      </c>
      <c r="Q424" s="106" t="s">
        <v>119</v>
      </c>
      <c r="R424" s="106" t="s">
        <v>119</v>
      </c>
      <c r="S424" s="106" t="s">
        <v>119</v>
      </c>
      <c r="T424" s="106" t="s">
        <v>119</v>
      </c>
      <c r="U424" s="106" t="s">
        <v>119</v>
      </c>
      <c r="V424" t="s">
        <v>134</v>
      </c>
      <c r="W424" s="11" t="s">
        <v>119</v>
      </c>
      <c r="X424" s="11" t="s">
        <v>119</v>
      </c>
    </row>
    <row r="425" spans="1:24" s="11" customFormat="1" x14ac:dyDescent="0.3">
      <c r="A425" s="14" t="s">
        <v>1022</v>
      </c>
      <c r="B425" s="18" t="s">
        <v>119</v>
      </c>
      <c r="C425" s="14" t="s">
        <v>119</v>
      </c>
      <c r="D425" s="14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119</v>
      </c>
      <c r="N425" s="14" t="s">
        <v>119</v>
      </c>
      <c r="O425" s="43" t="s">
        <v>119</v>
      </c>
      <c r="P425" s="106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>
        <f>101+278</f>
        <v>379</v>
      </c>
      <c r="V425" t="s">
        <v>119</v>
      </c>
      <c r="W425" s="11" t="str">
        <f t="shared" si="6"/>
        <v>X</v>
      </c>
      <c r="X425" s="11" t="s">
        <v>119</v>
      </c>
    </row>
    <row r="426" spans="1:24" s="11" customFormat="1" x14ac:dyDescent="0.3">
      <c r="A426" s="14" t="s">
        <v>826</v>
      </c>
      <c r="B426" s="18" t="s">
        <v>119</v>
      </c>
      <c r="C426" s="14" t="s">
        <v>119</v>
      </c>
      <c r="D426" s="14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 t="s">
        <v>119</v>
      </c>
      <c r="K426" s="31" t="s">
        <v>119</v>
      </c>
      <c r="L426" s="31" t="s">
        <v>119</v>
      </c>
      <c r="M426" s="31" t="s">
        <v>119</v>
      </c>
      <c r="N426" s="14" t="s">
        <v>119</v>
      </c>
      <c r="O426" s="43" t="s">
        <v>119</v>
      </c>
      <c r="P426" s="106" t="s">
        <v>119</v>
      </c>
      <c r="Q426" s="106" t="s">
        <v>119</v>
      </c>
      <c r="R426" s="106" t="s">
        <v>119</v>
      </c>
      <c r="S426" s="106">
        <v>9</v>
      </c>
      <c r="T426" s="106" t="s">
        <v>119</v>
      </c>
      <c r="U426" s="106" t="s">
        <v>119</v>
      </c>
      <c r="V426" t="s">
        <v>119</v>
      </c>
      <c r="W426" s="11" t="str">
        <f t="shared" si="6"/>
        <v>X</v>
      </c>
      <c r="X426" s="11" t="s">
        <v>119</v>
      </c>
    </row>
    <row r="427" spans="1:24" x14ac:dyDescent="0.3">
      <c r="A427" s="25" t="s">
        <v>1224</v>
      </c>
      <c r="B427" s="22">
        <v>262</v>
      </c>
      <c r="C427" s="23">
        <v>73</v>
      </c>
      <c r="D427" s="23">
        <v>0</v>
      </c>
      <c r="E427" s="24">
        <v>0</v>
      </c>
      <c r="F427" s="37" t="s">
        <v>119</v>
      </c>
      <c r="G427" s="37" t="s">
        <v>119</v>
      </c>
      <c r="H427" s="28" t="s">
        <v>119</v>
      </c>
      <c r="I427" s="28" t="s">
        <v>119</v>
      </c>
      <c r="J427" s="28" t="s">
        <v>119</v>
      </c>
      <c r="K427" s="37" t="s">
        <v>119</v>
      </c>
      <c r="L427" s="28" t="s">
        <v>119</v>
      </c>
      <c r="M427" s="28" t="s">
        <v>119</v>
      </c>
      <c r="N427" s="1" t="s">
        <v>119</v>
      </c>
      <c r="O427" s="43" t="s">
        <v>119</v>
      </c>
      <c r="P427" s="106" t="s">
        <v>119</v>
      </c>
      <c r="Q427" s="106" t="s">
        <v>119</v>
      </c>
      <c r="R427" s="106" t="s">
        <v>119</v>
      </c>
      <c r="S427" s="106" t="s">
        <v>119</v>
      </c>
      <c r="T427" s="106" t="s">
        <v>119</v>
      </c>
      <c r="U427" s="106" t="s">
        <v>119</v>
      </c>
      <c r="V427" t="s">
        <v>134</v>
      </c>
      <c r="W427" s="11" t="s">
        <v>119</v>
      </c>
      <c r="X427" s="11" t="s">
        <v>119</v>
      </c>
    </row>
    <row r="428" spans="1:24" s="11" customFormat="1" x14ac:dyDescent="0.3">
      <c r="A428" s="14" t="s">
        <v>1172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 t="s">
        <v>119</v>
      </c>
      <c r="H428" s="31" t="s">
        <v>119</v>
      </c>
      <c r="I428" s="31" t="s">
        <v>119</v>
      </c>
      <c r="J428" s="31">
        <f>45+86+6+2+65</f>
        <v>204</v>
      </c>
      <c r="K428" s="37" t="s">
        <v>119</v>
      </c>
      <c r="L428" s="31" t="s">
        <v>119</v>
      </c>
      <c r="M428" s="31" t="s">
        <v>119</v>
      </c>
      <c r="N428" s="14" t="s">
        <v>119</v>
      </c>
      <c r="O428" s="43" t="s">
        <v>119</v>
      </c>
      <c r="P428" s="106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t="s">
        <v>134</v>
      </c>
      <c r="W428" s="11" t="s">
        <v>119</v>
      </c>
      <c r="X428" s="11" t="s">
        <v>119</v>
      </c>
    </row>
    <row r="429" spans="1:24" x14ac:dyDescent="0.3">
      <c r="A429" s="39" t="s">
        <v>201</v>
      </c>
      <c r="B429" s="9" t="s">
        <v>119</v>
      </c>
      <c r="C429" s="44" t="s">
        <v>119</v>
      </c>
      <c r="D429" s="44" t="s">
        <v>119</v>
      </c>
      <c r="E429" s="39" t="s">
        <v>119</v>
      </c>
      <c r="F429" s="37" t="s">
        <v>119</v>
      </c>
      <c r="G429" s="37" t="s">
        <v>119</v>
      </c>
      <c r="H429" s="37" t="s">
        <v>119</v>
      </c>
      <c r="I429" s="37" t="s">
        <v>119</v>
      </c>
      <c r="J429" s="37" t="s">
        <v>119</v>
      </c>
      <c r="K429" s="28" t="s">
        <v>119</v>
      </c>
      <c r="L429" s="28" t="s">
        <v>119</v>
      </c>
      <c r="M429" s="28" t="s">
        <v>119</v>
      </c>
      <c r="N429" s="1" t="s">
        <v>119</v>
      </c>
      <c r="O429" s="43" t="s">
        <v>119</v>
      </c>
      <c r="P429" s="106" t="s">
        <v>119</v>
      </c>
      <c r="Q429" s="106" t="s">
        <v>119</v>
      </c>
      <c r="R429" s="106" t="s">
        <v>119</v>
      </c>
      <c r="S429" s="106">
        <v>21</v>
      </c>
      <c r="T429" s="106" t="s">
        <v>119</v>
      </c>
      <c r="U429" s="106" t="s">
        <v>119</v>
      </c>
      <c r="V429" t="s">
        <v>119</v>
      </c>
      <c r="W429" s="11" t="str">
        <f t="shared" si="6"/>
        <v>X</v>
      </c>
      <c r="X429" s="11" t="s">
        <v>119</v>
      </c>
    </row>
    <row r="430" spans="1:24" x14ac:dyDescent="0.3">
      <c r="A430" s="39" t="s">
        <v>1173</v>
      </c>
      <c r="B430" s="9" t="s">
        <v>119</v>
      </c>
      <c r="C430" s="44" t="s">
        <v>119</v>
      </c>
      <c r="D430" s="44" t="s">
        <v>119</v>
      </c>
      <c r="E430" s="39" t="s">
        <v>119</v>
      </c>
      <c r="F430" s="37" t="s">
        <v>119</v>
      </c>
      <c r="G430" s="37" t="s">
        <v>119</v>
      </c>
      <c r="H430" s="37" t="s">
        <v>119</v>
      </c>
      <c r="I430" s="37" t="s">
        <v>119</v>
      </c>
      <c r="J430" s="37">
        <v>41</v>
      </c>
      <c r="K430" s="28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106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t="s">
        <v>134</v>
      </c>
      <c r="W430" s="11" t="s">
        <v>119</v>
      </c>
      <c r="X430" s="11" t="s">
        <v>119</v>
      </c>
    </row>
    <row r="431" spans="1:24" x14ac:dyDescent="0.3">
      <c r="A431" s="39" t="s">
        <v>825</v>
      </c>
      <c r="B431" s="9" t="s">
        <v>119</v>
      </c>
      <c r="C431" s="44" t="s">
        <v>119</v>
      </c>
      <c r="D431" s="44" t="s">
        <v>119</v>
      </c>
      <c r="E431" s="39" t="s">
        <v>119</v>
      </c>
      <c r="F431" s="37" t="s">
        <v>119</v>
      </c>
      <c r="G431" s="37" t="s">
        <v>119</v>
      </c>
      <c r="H431" s="37" t="s">
        <v>119</v>
      </c>
      <c r="I431" s="37" t="s">
        <v>119</v>
      </c>
      <c r="J431" s="37" t="s">
        <v>119</v>
      </c>
      <c r="K431" s="28" t="s">
        <v>119</v>
      </c>
      <c r="L431" s="28" t="s">
        <v>119</v>
      </c>
      <c r="M431" s="28" t="s">
        <v>119</v>
      </c>
      <c r="N431" s="1" t="s">
        <v>119</v>
      </c>
      <c r="O431" s="43" t="s">
        <v>119</v>
      </c>
      <c r="P431" s="106">
        <v>50</v>
      </c>
      <c r="Q431" s="106" t="s">
        <v>119</v>
      </c>
      <c r="R431" s="106">
        <v>33</v>
      </c>
      <c r="S431" s="106" t="s">
        <v>119</v>
      </c>
      <c r="T431" s="106" t="s">
        <v>119</v>
      </c>
      <c r="U431" s="106" t="s">
        <v>119</v>
      </c>
      <c r="V431" t="s">
        <v>119</v>
      </c>
      <c r="W431" s="11" t="str">
        <f t="shared" si="6"/>
        <v>X</v>
      </c>
      <c r="X431" s="11" t="s">
        <v>119</v>
      </c>
    </row>
    <row r="432" spans="1:24" x14ac:dyDescent="0.3">
      <c r="A432" s="44" t="s">
        <v>1174</v>
      </c>
      <c r="B432" s="9" t="s">
        <v>119</v>
      </c>
      <c r="C432" s="9" t="s">
        <v>119</v>
      </c>
      <c r="D432" s="9" t="s">
        <v>119</v>
      </c>
      <c r="E432" s="9" t="s">
        <v>119</v>
      </c>
      <c r="F432" s="9" t="s">
        <v>119</v>
      </c>
      <c r="G432" s="9" t="s">
        <v>119</v>
      </c>
      <c r="H432" s="9" t="s">
        <v>119</v>
      </c>
      <c r="I432" s="9" t="s">
        <v>119</v>
      </c>
      <c r="J432" s="37" t="s">
        <v>134</v>
      </c>
      <c r="K432" s="28" t="s">
        <v>119</v>
      </c>
      <c r="L432" s="28" t="s">
        <v>119</v>
      </c>
      <c r="M432" s="28" t="s">
        <v>119</v>
      </c>
      <c r="N432" s="28" t="s">
        <v>119</v>
      </c>
      <c r="O432" s="28" t="s">
        <v>119</v>
      </c>
      <c r="P432" s="106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t="s">
        <v>134</v>
      </c>
      <c r="W432" s="11" t="s">
        <v>119</v>
      </c>
      <c r="X432" s="11" t="s">
        <v>119</v>
      </c>
    </row>
    <row r="433" spans="1:24" x14ac:dyDescent="0.3">
      <c r="A433" s="44" t="s">
        <v>1175</v>
      </c>
      <c r="B433" s="9" t="s">
        <v>119</v>
      </c>
      <c r="C433" s="44" t="s">
        <v>119</v>
      </c>
      <c r="D433" s="44" t="s">
        <v>119</v>
      </c>
      <c r="E433" s="39" t="s">
        <v>119</v>
      </c>
      <c r="F433" s="37" t="s">
        <v>119</v>
      </c>
      <c r="G433" s="37" t="s">
        <v>119</v>
      </c>
      <c r="H433" s="37" t="s">
        <v>119</v>
      </c>
      <c r="I433" s="37" t="s">
        <v>119</v>
      </c>
      <c r="J433" s="37">
        <f>23+2+5</f>
        <v>30</v>
      </c>
      <c r="K433" s="28" t="s">
        <v>119</v>
      </c>
      <c r="L433" s="28" t="s">
        <v>119</v>
      </c>
      <c r="M433" s="28" t="s">
        <v>119</v>
      </c>
      <c r="N433" s="1" t="s">
        <v>119</v>
      </c>
      <c r="O433" s="43" t="s">
        <v>119</v>
      </c>
      <c r="P433" s="106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t="s">
        <v>134</v>
      </c>
      <c r="W433" s="11" t="s">
        <v>119</v>
      </c>
      <c r="X433" s="11" t="s">
        <v>119</v>
      </c>
    </row>
    <row r="434" spans="1:24" x14ac:dyDescent="0.3">
      <c r="A434" s="39" t="s">
        <v>284</v>
      </c>
      <c r="B434" s="9" t="s">
        <v>119</v>
      </c>
      <c r="C434" s="44" t="s">
        <v>119</v>
      </c>
      <c r="D434" s="44" t="s">
        <v>119</v>
      </c>
      <c r="E434" s="39" t="s">
        <v>119</v>
      </c>
      <c r="F434" s="37" t="s">
        <v>119</v>
      </c>
      <c r="G434" s="37" t="s">
        <v>119</v>
      </c>
      <c r="H434" s="37" t="s">
        <v>119</v>
      </c>
      <c r="I434" s="37" t="s">
        <v>119</v>
      </c>
      <c r="J434" s="37" t="s">
        <v>119</v>
      </c>
      <c r="K434" s="28">
        <v>7</v>
      </c>
      <c r="L434" s="28">
        <v>1</v>
      </c>
      <c r="M434" s="28" t="s">
        <v>119</v>
      </c>
      <c r="N434" s="1" t="s">
        <v>119</v>
      </c>
      <c r="O434" s="43" t="s">
        <v>119</v>
      </c>
      <c r="P434" s="106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t="s">
        <v>119</v>
      </c>
      <c r="W434" s="11" t="s">
        <v>134</v>
      </c>
      <c r="X434" s="11" t="s">
        <v>134</v>
      </c>
    </row>
    <row r="435" spans="1:24" x14ac:dyDescent="0.3">
      <c r="A435" s="14" t="s">
        <v>132</v>
      </c>
      <c r="B435" s="2" t="s">
        <v>119</v>
      </c>
      <c r="C435" s="12" t="s">
        <v>119</v>
      </c>
      <c r="D435" s="12" t="s">
        <v>119</v>
      </c>
      <c r="E435" s="90" t="s">
        <v>119</v>
      </c>
      <c r="F435" s="37" t="s">
        <v>119</v>
      </c>
      <c r="G435" s="37">
        <f>5+1+4+1+2+2</f>
        <v>15</v>
      </c>
      <c r="H435" s="28">
        <f>32+8+4+34</f>
        <v>78</v>
      </c>
      <c r="I435" s="28">
        <f>3+2+2+3+3+2+11+1+1+17</f>
        <v>45</v>
      </c>
      <c r="J435" s="28" t="s">
        <v>119</v>
      </c>
      <c r="K435" s="28" t="s">
        <v>119</v>
      </c>
      <c r="L435" s="28">
        <f>33+95+2+12+1+30+1+1</f>
        <v>175</v>
      </c>
      <c r="M435" s="28" t="s">
        <v>134</v>
      </c>
      <c r="N435" s="1">
        <f>1+8+5+2+1</f>
        <v>17</v>
      </c>
      <c r="O435" s="43">
        <f>22+11+1+38+44+1+39+48+4+56+159+21</f>
        <v>444</v>
      </c>
      <c r="P435" s="106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t="s">
        <v>119</v>
      </c>
      <c r="W435" s="11" t="s">
        <v>1274</v>
      </c>
      <c r="X435" s="11" t="s">
        <v>1274</v>
      </c>
    </row>
    <row r="436" spans="1:24" x14ac:dyDescent="0.3">
      <c r="A436" s="14" t="s">
        <v>1176</v>
      </c>
      <c r="B436" s="2" t="s">
        <v>119</v>
      </c>
      <c r="C436" s="12" t="s">
        <v>119</v>
      </c>
      <c r="D436" s="12" t="s">
        <v>119</v>
      </c>
      <c r="E436" s="90" t="s">
        <v>119</v>
      </c>
      <c r="F436" s="37" t="s">
        <v>119</v>
      </c>
      <c r="G436" s="37" t="s">
        <v>119</v>
      </c>
      <c r="H436" s="28" t="s">
        <v>119</v>
      </c>
      <c r="I436" s="28" t="s">
        <v>119</v>
      </c>
      <c r="J436" s="28">
        <v>19</v>
      </c>
      <c r="K436" s="31" t="s">
        <v>119</v>
      </c>
      <c r="L436" s="28" t="s">
        <v>119</v>
      </c>
      <c r="M436" s="28" t="s">
        <v>119</v>
      </c>
      <c r="N436" s="1" t="s">
        <v>119</v>
      </c>
      <c r="O436" s="43" t="s">
        <v>119</v>
      </c>
      <c r="P436" s="106" t="s">
        <v>119</v>
      </c>
      <c r="Q436" s="106" t="s">
        <v>119</v>
      </c>
      <c r="R436" s="106" t="s">
        <v>119</v>
      </c>
      <c r="S436" s="106" t="s">
        <v>119</v>
      </c>
      <c r="T436" s="106" t="s">
        <v>119</v>
      </c>
      <c r="U436" s="106" t="s">
        <v>119</v>
      </c>
      <c r="V436" t="s">
        <v>134</v>
      </c>
      <c r="W436" s="11" t="s">
        <v>119</v>
      </c>
      <c r="X436" s="11" t="s">
        <v>119</v>
      </c>
    </row>
    <row r="437" spans="1:24" x14ac:dyDescent="0.3">
      <c r="A437" s="14" t="s">
        <v>823</v>
      </c>
      <c r="B437" s="2" t="s">
        <v>119</v>
      </c>
      <c r="C437" s="12" t="s">
        <v>119</v>
      </c>
      <c r="D437" s="12" t="s">
        <v>119</v>
      </c>
      <c r="E437" s="90" t="s">
        <v>119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1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106">
        <v>2</v>
      </c>
      <c r="Q437" s="106">
        <v>5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t="s">
        <v>119</v>
      </c>
      <c r="W437" s="11" t="str">
        <f t="shared" si="6"/>
        <v>X</v>
      </c>
      <c r="X437" s="11" t="s">
        <v>1274</v>
      </c>
    </row>
    <row r="438" spans="1:24" x14ac:dyDescent="0.3">
      <c r="A438" s="14" t="s">
        <v>133</v>
      </c>
      <c r="B438" s="2" t="s">
        <v>119</v>
      </c>
      <c r="C438" s="12" t="s">
        <v>119</v>
      </c>
      <c r="D438" s="12" t="s">
        <v>119</v>
      </c>
      <c r="E438" s="90" t="s">
        <v>119</v>
      </c>
      <c r="F438" s="37">
        <v>25</v>
      </c>
      <c r="G438" s="37" t="s">
        <v>119</v>
      </c>
      <c r="H438" s="28">
        <f>2+14+1+4+2+1+37</f>
        <v>61</v>
      </c>
      <c r="I438" s="28">
        <f>30+1+2+2+2+1+13</f>
        <v>51</v>
      </c>
      <c r="J438" s="28">
        <f>8+2+6+10</f>
        <v>26</v>
      </c>
      <c r="K438" s="31">
        <f>5+21+21+11+2+16+9+12+3+4</f>
        <v>104</v>
      </c>
      <c r="L438" s="28" t="s">
        <v>119</v>
      </c>
      <c r="M438" s="28" t="s">
        <v>119</v>
      </c>
      <c r="N438" s="1">
        <v>16</v>
      </c>
      <c r="O438" s="43" t="s">
        <v>119</v>
      </c>
      <c r="P438" s="106" t="s">
        <v>119</v>
      </c>
      <c r="Q438" s="106">
        <v>91</v>
      </c>
      <c r="R438" s="106">
        <v>58</v>
      </c>
      <c r="S438" s="106" t="s">
        <v>119</v>
      </c>
      <c r="T438" s="106" t="s">
        <v>119</v>
      </c>
      <c r="U438" s="106" t="s">
        <v>119</v>
      </c>
      <c r="V438" t="s">
        <v>119</v>
      </c>
      <c r="W438" s="11" t="str">
        <f t="shared" si="6"/>
        <v>X</v>
      </c>
      <c r="X438" s="11" t="s">
        <v>134</v>
      </c>
    </row>
    <row r="439" spans="1:24" x14ac:dyDescent="0.3">
      <c r="A439" s="14" t="s">
        <v>1231</v>
      </c>
      <c r="B439" s="2" t="s">
        <v>119</v>
      </c>
      <c r="C439" s="12" t="s">
        <v>119</v>
      </c>
      <c r="D439" s="12" t="s">
        <v>119</v>
      </c>
      <c r="E439" s="90" t="s">
        <v>119</v>
      </c>
      <c r="F439" s="37" t="s">
        <v>119</v>
      </c>
      <c r="G439" s="37" t="s">
        <v>119</v>
      </c>
      <c r="H439" s="28" t="s">
        <v>119</v>
      </c>
      <c r="I439" s="28" t="s">
        <v>119</v>
      </c>
      <c r="J439" s="28">
        <v>69</v>
      </c>
      <c r="K439" s="31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106" t="s">
        <v>119</v>
      </c>
      <c r="Q439" s="106" t="s">
        <v>119</v>
      </c>
      <c r="R439" s="106" t="s">
        <v>119</v>
      </c>
      <c r="S439" s="106" t="s">
        <v>119</v>
      </c>
      <c r="T439" s="106" t="s">
        <v>119</v>
      </c>
      <c r="U439" s="106" t="s">
        <v>119</v>
      </c>
      <c r="V439" t="s">
        <v>134</v>
      </c>
      <c r="W439" s="11" t="s">
        <v>119</v>
      </c>
      <c r="X439" s="11" t="s">
        <v>119</v>
      </c>
    </row>
    <row r="440" spans="1:24" s="74" customFormat="1" x14ac:dyDescent="0.3">
      <c r="A440" s="25" t="s">
        <v>1226</v>
      </c>
      <c r="B440" s="19" t="s">
        <v>119</v>
      </c>
      <c r="C440" s="20" t="s">
        <v>119</v>
      </c>
      <c r="D440" s="20" t="s">
        <v>119</v>
      </c>
      <c r="E440" s="91" t="s">
        <v>119</v>
      </c>
      <c r="F440" s="37" t="s">
        <v>119</v>
      </c>
      <c r="G440" s="33">
        <f>14+6+7+71+38+5</f>
        <v>141</v>
      </c>
      <c r="H440" s="32" t="s">
        <v>119</v>
      </c>
      <c r="I440" s="32" t="s">
        <v>119</v>
      </c>
      <c r="J440" s="32" t="s">
        <v>119</v>
      </c>
      <c r="K440" s="32" t="s">
        <v>119</v>
      </c>
      <c r="L440" s="32" t="s">
        <v>119</v>
      </c>
      <c r="M440" s="32" t="s">
        <v>119</v>
      </c>
      <c r="N440" s="25" t="s">
        <v>119</v>
      </c>
      <c r="O440" s="43" t="s">
        <v>119</v>
      </c>
      <c r="P440" s="106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t="s">
        <v>134</v>
      </c>
      <c r="W440" s="11" t="s">
        <v>119</v>
      </c>
      <c r="X440" s="11" t="s">
        <v>119</v>
      </c>
    </row>
    <row r="441" spans="1:24" x14ac:dyDescent="0.3">
      <c r="A441" s="25" t="s">
        <v>1225</v>
      </c>
      <c r="B441" s="19" t="s">
        <v>119</v>
      </c>
      <c r="C441" s="20" t="s">
        <v>119</v>
      </c>
      <c r="D441" s="20" t="s">
        <v>119</v>
      </c>
      <c r="E441" s="91" t="s">
        <v>119</v>
      </c>
      <c r="F441" s="37" t="s">
        <v>119</v>
      </c>
      <c r="G441" s="37" t="s">
        <v>119</v>
      </c>
      <c r="H441" s="33">
        <f>4+1+9+10+7</f>
        <v>31</v>
      </c>
      <c r="I441" s="28" t="s">
        <v>119</v>
      </c>
      <c r="J441" s="28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106" t="s">
        <v>119</v>
      </c>
      <c r="Q441" s="106" t="s">
        <v>119</v>
      </c>
      <c r="R441" s="106" t="s">
        <v>119</v>
      </c>
      <c r="S441" s="106" t="s">
        <v>119</v>
      </c>
      <c r="T441" s="106" t="s">
        <v>119</v>
      </c>
      <c r="U441" s="106" t="s">
        <v>119</v>
      </c>
      <c r="V441" t="s">
        <v>134</v>
      </c>
      <c r="W441" s="11" t="s">
        <v>119</v>
      </c>
      <c r="X441" s="11" t="s">
        <v>119</v>
      </c>
    </row>
    <row r="442" spans="1:24" x14ac:dyDescent="0.3">
      <c r="A442" s="14" t="s">
        <v>285</v>
      </c>
      <c r="B442" s="18" t="s">
        <v>119</v>
      </c>
      <c r="C442" s="12" t="s">
        <v>119</v>
      </c>
      <c r="D442" s="12" t="s">
        <v>119</v>
      </c>
      <c r="E442" s="90" t="s">
        <v>119</v>
      </c>
      <c r="F442" s="37" t="s">
        <v>119</v>
      </c>
      <c r="G442" s="37" t="s">
        <v>119</v>
      </c>
      <c r="H442" s="31" t="s">
        <v>119</v>
      </c>
      <c r="I442" s="31" t="s">
        <v>119</v>
      </c>
      <c r="J442" s="31" t="s">
        <v>119</v>
      </c>
      <c r="K442" s="28">
        <v>4</v>
      </c>
      <c r="L442" s="28" t="s">
        <v>119</v>
      </c>
      <c r="M442" s="28" t="s">
        <v>119</v>
      </c>
      <c r="N442" s="1" t="s">
        <v>119</v>
      </c>
      <c r="O442" s="43" t="s">
        <v>119</v>
      </c>
      <c r="P442" s="106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t="s">
        <v>119</v>
      </c>
      <c r="W442" s="11" t="s">
        <v>119</v>
      </c>
      <c r="X442" s="11" t="s">
        <v>134</v>
      </c>
    </row>
    <row r="443" spans="1:24" x14ac:dyDescent="0.3">
      <c r="A443" s="14" t="s">
        <v>1177</v>
      </c>
      <c r="B443" s="18" t="s">
        <v>119</v>
      </c>
      <c r="C443" s="12" t="s">
        <v>119</v>
      </c>
      <c r="D443" s="12" t="s">
        <v>119</v>
      </c>
      <c r="E443" s="90" t="s">
        <v>119</v>
      </c>
      <c r="F443" s="37" t="s">
        <v>119</v>
      </c>
      <c r="G443" s="37" t="s">
        <v>119</v>
      </c>
      <c r="H443" s="31" t="s">
        <v>119</v>
      </c>
      <c r="I443" s="31" t="s">
        <v>119</v>
      </c>
      <c r="J443" s="31">
        <v>12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106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t="s">
        <v>134</v>
      </c>
      <c r="W443" s="11" t="s">
        <v>119</v>
      </c>
      <c r="X443" s="11" t="s">
        <v>119</v>
      </c>
    </row>
    <row r="444" spans="1:24" x14ac:dyDescent="0.3">
      <c r="A444" s="14" t="s">
        <v>824</v>
      </c>
      <c r="B444" s="18" t="s">
        <v>119</v>
      </c>
      <c r="C444" s="12" t="s">
        <v>119</v>
      </c>
      <c r="D444" s="12" t="s">
        <v>119</v>
      </c>
      <c r="E444" s="90" t="s">
        <v>119</v>
      </c>
      <c r="F444" s="37" t="s">
        <v>119</v>
      </c>
      <c r="G444" s="37" t="s">
        <v>119</v>
      </c>
      <c r="H444" s="31" t="s">
        <v>119</v>
      </c>
      <c r="I444" s="31" t="s">
        <v>119</v>
      </c>
      <c r="J444" s="31" t="s">
        <v>119</v>
      </c>
      <c r="K444" s="28" t="s">
        <v>119</v>
      </c>
      <c r="L444" s="28" t="s">
        <v>119</v>
      </c>
      <c r="M444" s="28" t="s">
        <v>119</v>
      </c>
      <c r="N444" s="1" t="s">
        <v>119</v>
      </c>
      <c r="O444" s="43" t="s">
        <v>119</v>
      </c>
      <c r="P444" s="106" t="s">
        <v>119</v>
      </c>
      <c r="Q444" s="106" t="s">
        <v>119</v>
      </c>
      <c r="R444" s="106" t="s">
        <v>119</v>
      </c>
      <c r="S444" s="106">
        <f>35+29+100+28+2</f>
        <v>194</v>
      </c>
      <c r="T444" s="106" t="s">
        <v>119</v>
      </c>
      <c r="U444" s="106" t="s">
        <v>119</v>
      </c>
      <c r="V444" t="s">
        <v>119</v>
      </c>
      <c r="W444" s="11" t="str">
        <f t="shared" si="6"/>
        <v>X</v>
      </c>
      <c r="X444" s="11" t="s">
        <v>119</v>
      </c>
    </row>
    <row r="445" spans="1:24" x14ac:dyDescent="0.3">
      <c r="A445" s="14" t="s">
        <v>1023</v>
      </c>
      <c r="B445" s="18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 t="s">
        <v>119</v>
      </c>
      <c r="H445" s="31" t="s">
        <v>119</v>
      </c>
      <c r="I445" s="31" t="s">
        <v>119</v>
      </c>
      <c r="J445" s="31" t="s">
        <v>119</v>
      </c>
      <c r="K445" s="28" t="s">
        <v>119</v>
      </c>
      <c r="L445" s="28" t="s">
        <v>119</v>
      </c>
      <c r="M445" s="28" t="s">
        <v>119</v>
      </c>
      <c r="N445" s="1" t="s">
        <v>119</v>
      </c>
      <c r="O445" s="43" t="s">
        <v>119</v>
      </c>
      <c r="P445" s="106" t="s">
        <v>119</v>
      </c>
      <c r="Q445" s="106" t="s">
        <v>119</v>
      </c>
      <c r="R445" s="106" t="s">
        <v>119</v>
      </c>
      <c r="S445" s="106">
        <v>62</v>
      </c>
      <c r="T445" s="106" t="s">
        <v>119</v>
      </c>
      <c r="U445" s="106" t="s">
        <v>119</v>
      </c>
      <c r="V445" t="s">
        <v>119</v>
      </c>
      <c r="W445" s="11" t="str">
        <f t="shared" si="6"/>
        <v>X</v>
      </c>
      <c r="X445" s="11" t="s">
        <v>1274</v>
      </c>
    </row>
    <row r="446" spans="1:24" x14ac:dyDescent="0.3">
      <c r="A446" s="14" t="s">
        <v>457</v>
      </c>
      <c r="B446" s="18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31" t="s">
        <v>119</v>
      </c>
      <c r="I446" s="31">
        <v>1</v>
      </c>
      <c r="J446" s="31" t="s">
        <v>119</v>
      </c>
      <c r="K446" s="28" t="s">
        <v>119</v>
      </c>
      <c r="L446" s="28" t="s">
        <v>119</v>
      </c>
      <c r="M446" s="28" t="s">
        <v>134</v>
      </c>
      <c r="N446" s="1" t="s">
        <v>119</v>
      </c>
      <c r="O446" s="43" t="s">
        <v>119</v>
      </c>
      <c r="P446" s="106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t="s">
        <v>119</v>
      </c>
      <c r="W446" s="11" t="s">
        <v>134</v>
      </c>
      <c r="X446" s="11" t="s">
        <v>134</v>
      </c>
    </row>
    <row r="447" spans="1:24" x14ac:dyDescent="0.3">
      <c r="A447" s="14" t="s">
        <v>458</v>
      </c>
      <c r="B447" s="18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31" t="s">
        <v>119</v>
      </c>
      <c r="I447" s="31" t="s">
        <v>119</v>
      </c>
      <c r="J447" s="31" t="s">
        <v>119</v>
      </c>
      <c r="K447" s="28" t="s">
        <v>119</v>
      </c>
      <c r="L447" s="28" t="s">
        <v>119</v>
      </c>
      <c r="M447" s="28">
        <v>20</v>
      </c>
      <c r="N447" s="1" t="s">
        <v>119</v>
      </c>
      <c r="O447" s="43" t="s">
        <v>119</v>
      </c>
      <c r="P447" s="106" t="s">
        <v>119</v>
      </c>
      <c r="Q447" s="106" t="s">
        <v>119</v>
      </c>
      <c r="R447" s="106" t="s">
        <v>119</v>
      </c>
      <c r="S447" s="106" t="s">
        <v>119</v>
      </c>
      <c r="T447" s="106" t="s">
        <v>119</v>
      </c>
      <c r="U447" s="106" t="s">
        <v>119</v>
      </c>
      <c r="V447" t="s">
        <v>119</v>
      </c>
      <c r="W447" s="11" t="s">
        <v>134</v>
      </c>
      <c r="X447" s="11" t="s">
        <v>134</v>
      </c>
    </row>
    <row r="448" spans="1:24" x14ac:dyDescent="0.3">
      <c r="A448" s="14" t="s">
        <v>459</v>
      </c>
      <c r="B448" s="18" t="s">
        <v>119</v>
      </c>
      <c r="C448" s="12" t="s">
        <v>119</v>
      </c>
      <c r="D448" s="12" t="s">
        <v>119</v>
      </c>
      <c r="E448" s="90" t="s">
        <v>119</v>
      </c>
      <c r="F448" s="37" t="s">
        <v>119</v>
      </c>
      <c r="G448" s="37" t="s">
        <v>119</v>
      </c>
      <c r="H448" s="31" t="s">
        <v>119</v>
      </c>
      <c r="I448" s="31" t="s">
        <v>119</v>
      </c>
      <c r="J448" s="31" t="s">
        <v>119</v>
      </c>
      <c r="K448" s="28" t="s">
        <v>119</v>
      </c>
      <c r="L448" s="28" t="s">
        <v>119</v>
      </c>
      <c r="M448" s="28">
        <f>24+115+8+18+13</f>
        <v>178</v>
      </c>
      <c r="N448" s="1" t="s">
        <v>119</v>
      </c>
      <c r="O448" s="43" t="s">
        <v>119</v>
      </c>
      <c r="P448" s="106" t="s">
        <v>119</v>
      </c>
      <c r="Q448" s="106" t="s">
        <v>119</v>
      </c>
      <c r="R448" s="106" t="s">
        <v>119</v>
      </c>
      <c r="S448" s="106" t="s">
        <v>119</v>
      </c>
      <c r="T448" s="106" t="s">
        <v>119</v>
      </c>
      <c r="U448" s="106" t="s">
        <v>119</v>
      </c>
      <c r="V448" t="s">
        <v>119</v>
      </c>
      <c r="W448" s="11" t="s">
        <v>119</v>
      </c>
      <c r="X448" s="11" t="s">
        <v>119</v>
      </c>
    </row>
    <row r="449" spans="1:24" x14ac:dyDescent="0.3">
      <c r="A449" s="14" t="s">
        <v>460</v>
      </c>
      <c r="B449" s="18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31" t="s">
        <v>119</v>
      </c>
      <c r="I449" s="31" t="s">
        <v>119</v>
      </c>
      <c r="J449" s="31" t="s">
        <v>119</v>
      </c>
      <c r="K449" s="28" t="s">
        <v>119</v>
      </c>
      <c r="L449" s="28" t="s">
        <v>119</v>
      </c>
      <c r="M449" s="28">
        <v>14</v>
      </c>
      <c r="N449" s="1" t="s">
        <v>119</v>
      </c>
      <c r="O449" s="43" t="s">
        <v>119</v>
      </c>
      <c r="P449" s="106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t="s">
        <v>119</v>
      </c>
      <c r="W449" s="11" t="s">
        <v>134</v>
      </c>
      <c r="X449" s="11" t="s">
        <v>119</v>
      </c>
    </row>
    <row r="450" spans="1:24" s="5" customFormat="1" x14ac:dyDescent="0.3">
      <c r="A450" s="10" t="s">
        <v>810</v>
      </c>
      <c r="B450" s="6" t="s">
        <v>119</v>
      </c>
      <c r="C450" s="7" t="s">
        <v>119</v>
      </c>
      <c r="D450" s="7" t="s">
        <v>119</v>
      </c>
      <c r="E450" s="135" t="s">
        <v>119</v>
      </c>
      <c r="F450" s="29" t="s">
        <v>119</v>
      </c>
      <c r="G450" s="29" t="s">
        <v>119</v>
      </c>
      <c r="H450" s="29" t="s">
        <v>119</v>
      </c>
      <c r="I450" s="29" t="s">
        <v>119</v>
      </c>
      <c r="J450" s="29" t="s">
        <v>119</v>
      </c>
      <c r="K450" s="29" t="s">
        <v>119</v>
      </c>
      <c r="L450" s="29" t="s">
        <v>119</v>
      </c>
      <c r="M450" s="29" t="s">
        <v>119</v>
      </c>
      <c r="N450" s="10" t="s">
        <v>119</v>
      </c>
      <c r="O450" s="30" t="s">
        <v>119</v>
      </c>
      <c r="P450" s="107" t="s">
        <v>119</v>
      </c>
      <c r="Q450" s="107">
        <v>1</v>
      </c>
      <c r="R450" s="107" t="s">
        <v>119</v>
      </c>
      <c r="S450" s="107" t="s">
        <v>119</v>
      </c>
      <c r="T450" s="107" t="s">
        <v>119</v>
      </c>
      <c r="U450" s="107" t="s">
        <v>119</v>
      </c>
      <c r="V450" s="5" t="s">
        <v>119</v>
      </c>
      <c r="W450" s="5" t="str">
        <f t="shared" si="6"/>
        <v>X</v>
      </c>
      <c r="X450" s="5" t="s">
        <v>119</v>
      </c>
    </row>
    <row r="451" spans="1:24" x14ac:dyDescent="0.3">
      <c r="A451" s="14" t="s">
        <v>461</v>
      </c>
      <c r="B451" s="18" t="s">
        <v>119</v>
      </c>
      <c r="C451" s="12" t="s">
        <v>119</v>
      </c>
      <c r="D451" s="12" t="s">
        <v>119</v>
      </c>
      <c r="E451" s="90" t="s">
        <v>119</v>
      </c>
      <c r="F451" s="37" t="s">
        <v>119</v>
      </c>
      <c r="G451" s="37" t="s">
        <v>119</v>
      </c>
      <c r="H451" s="31" t="s">
        <v>119</v>
      </c>
      <c r="I451" s="31">
        <v>5</v>
      </c>
      <c r="J451" s="31" t="s">
        <v>119</v>
      </c>
      <c r="K451" s="28" t="s">
        <v>119</v>
      </c>
      <c r="L451" s="28" t="s">
        <v>119</v>
      </c>
      <c r="M451" s="28" t="s">
        <v>134</v>
      </c>
      <c r="N451" s="1" t="s">
        <v>119</v>
      </c>
      <c r="O451" s="43" t="s">
        <v>119</v>
      </c>
      <c r="P451" s="106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t="s">
        <v>119</v>
      </c>
      <c r="W451" s="11" t="s">
        <v>134</v>
      </c>
      <c r="X451" s="11" t="s">
        <v>134</v>
      </c>
    </row>
    <row r="452" spans="1:24" s="5" customFormat="1" x14ac:dyDescent="0.3">
      <c r="A452" s="10" t="s">
        <v>462</v>
      </c>
      <c r="B452" s="6">
        <v>0</v>
      </c>
      <c r="C452" s="10">
        <v>0</v>
      </c>
      <c r="D452" s="10">
        <v>0</v>
      </c>
      <c r="E452" s="10">
        <v>1</v>
      </c>
      <c r="F452" s="37" t="s">
        <v>119</v>
      </c>
      <c r="G452" s="37" t="s">
        <v>119</v>
      </c>
      <c r="H452" s="29" t="s">
        <v>119</v>
      </c>
      <c r="I452" s="29" t="s">
        <v>119</v>
      </c>
      <c r="J452" s="29" t="s">
        <v>119</v>
      </c>
      <c r="K452" s="29" t="s">
        <v>119</v>
      </c>
      <c r="L452" s="29" t="s">
        <v>119</v>
      </c>
      <c r="M452" s="29" t="s">
        <v>119</v>
      </c>
      <c r="N452" s="10" t="s">
        <v>119</v>
      </c>
      <c r="O452" s="43" t="s">
        <v>119</v>
      </c>
      <c r="P452" s="106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t="s">
        <v>119</v>
      </c>
      <c r="W452" s="11" t="s">
        <v>119</v>
      </c>
      <c r="X452" s="11" t="s">
        <v>119</v>
      </c>
    </row>
    <row r="453" spans="1:24" s="11" customFormat="1" x14ac:dyDescent="0.3">
      <c r="A453" s="14" t="s">
        <v>463</v>
      </c>
      <c r="B453" s="18" t="s">
        <v>119</v>
      </c>
      <c r="C453" s="14" t="s">
        <v>119</v>
      </c>
      <c r="D453" s="14" t="s">
        <v>119</v>
      </c>
      <c r="E453" s="14" t="s">
        <v>119</v>
      </c>
      <c r="F453" s="37" t="s">
        <v>119</v>
      </c>
      <c r="G453" s="37" t="s">
        <v>119</v>
      </c>
      <c r="H453" s="31" t="s">
        <v>119</v>
      </c>
      <c r="I453" s="31">
        <v>3</v>
      </c>
      <c r="J453" s="31" t="s">
        <v>119</v>
      </c>
      <c r="K453" s="31" t="s">
        <v>119</v>
      </c>
      <c r="L453" s="31" t="s">
        <v>119</v>
      </c>
      <c r="M453" s="31" t="s">
        <v>134</v>
      </c>
      <c r="N453" s="14" t="s">
        <v>119</v>
      </c>
      <c r="O453" s="43" t="s">
        <v>119</v>
      </c>
      <c r="P453" s="106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t="s">
        <v>119</v>
      </c>
      <c r="W453" s="11" t="s">
        <v>134</v>
      </c>
      <c r="X453" s="11" t="s">
        <v>119</v>
      </c>
    </row>
    <row r="454" spans="1:24" x14ac:dyDescent="0.3">
      <c r="A454" s="14" t="s">
        <v>310</v>
      </c>
      <c r="B454" s="2" t="s">
        <v>119</v>
      </c>
      <c r="C454" s="14" t="s">
        <v>119</v>
      </c>
      <c r="D454" s="14" t="s">
        <v>119</v>
      </c>
      <c r="E454" s="1" t="s">
        <v>119</v>
      </c>
      <c r="F454" s="37" t="s">
        <v>119</v>
      </c>
      <c r="G454" s="37" t="s">
        <v>119</v>
      </c>
      <c r="H454" s="28" t="s">
        <v>119</v>
      </c>
      <c r="I454" s="28">
        <v>1</v>
      </c>
      <c r="J454" s="28" t="s">
        <v>119</v>
      </c>
      <c r="K454" s="28" t="s">
        <v>119</v>
      </c>
      <c r="L454" s="28" t="s">
        <v>119</v>
      </c>
      <c r="M454" s="28">
        <v>1</v>
      </c>
      <c r="N454" s="1" t="s">
        <v>119</v>
      </c>
      <c r="O454" s="43" t="s">
        <v>119</v>
      </c>
      <c r="P454" s="106" t="s">
        <v>119</v>
      </c>
      <c r="Q454" s="106">
        <v>1</v>
      </c>
      <c r="R454" s="106" t="s">
        <v>119</v>
      </c>
      <c r="S454" s="106" t="s">
        <v>119</v>
      </c>
      <c r="T454" s="106" t="s">
        <v>119</v>
      </c>
      <c r="U454" s="106" t="s">
        <v>119</v>
      </c>
      <c r="V454" t="s">
        <v>119</v>
      </c>
      <c r="W454" s="11" t="str">
        <f t="shared" si="6"/>
        <v>X</v>
      </c>
      <c r="X454" s="11" t="s">
        <v>119</v>
      </c>
    </row>
    <row r="455" spans="1:24" x14ac:dyDescent="0.3">
      <c r="A455" s="1" t="s">
        <v>84</v>
      </c>
      <c r="B455" s="2">
        <v>0</v>
      </c>
      <c r="C455" s="4">
        <v>0</v>
      </c>
      <c r="D455" s="4">
        <v>0</v>
      </c>
      <c r="E455" s="1">
        <v>6</v>
      </c>
      <c r="F455" s="37" t="s">
        <v>119</v>
      </c>
      <c r="G455" s="37" t="s">
        <v>119</v>
      </c>
      <c r="H455" s="28" t="s">
        <v>119</v>
      </c>
      <c r="I455" s="28" t="s">
        <v>119</v>
      </c>
      <c r="J455" s="28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106" t="s">
        <v>119</v>
      </c>
      <c r="Q455" s="106" t="s">
        <v>119</v>
      </c>
      <c r="R455" s="106" t="s">
        <v>119</v>
      </c>
      <c r="S455" s="106" t="s">
        <v>119</v>
      </c>
      <c r="T455" s="106" t="s">
        <v>119</v>
      </c>
      <c r="U455" s="106" t="s">
        <v>119</v>
      </c>
      <c r="V455" t="s">
        <v>119</v>
      </c>
      <c r="W455" s="11" t="s">
        <v>119</v>
      </c>
      <c r="X455" s="11" t="s">
        <v>119</v>
      </c>
    </row>
    <row r="456" spans="1:24" x14ac:dyDescent="0.3">
      <c r="A456" s="12" t="s">
        <v>464</v>
      </c>
      <c r="B456" s="2" t="s">
        <v>119</v>
      </c>
      <c r="C456" s="4" t="s">
        <v>119</v>
      </c>
      <c r="D456" s="4" t="s">
        <v>119</v>
      </c>
      <c r="E456" s="1" t="s">
        <v>119</v>
      </c>
      <c r="F456" s="37" t="s">
        <v>119</v>
      </c>
      <c r="G456" s="37" t="s">
        <v>119</v>
      </c>
      <c r="H456" s="28" t="s">
        <v>119</v>
      </c>
      <c r="I456" s="28" t="s">
        <v>119</v>
      </c>
      <c r="J456" s="28" t="s">
        <v>119</v>
      </c>
      <c r="K456" s="28" t="s">
        <v>119</v>
      </c>
      <c r="L456" s="28" t="s">
        <v>119</v>
      </c>
      <c r="M456" s="28">
        <v>2</v>
      </c>
      <c r="N456" s="1" t="s">
        <v>119</v>
      </c>
      <c r="O456" s="43" t="s">
        <v>119</v>
      </c>
      <c r="P456" s="106" t="s">
        <v>119</v>
      </c>
      <c r="Q456" s="106" t="s">
        <v>119</v>
      </c>
      <c r="R456" s="106">
        <v>1</v>
      </c>
      <c r="S456" s="106" t="s">
        <v>119</v>
      </c>
      <c r="T456" s="106" t="s">
        <v>119</v>
      </c>
      <c r="U456" s="106">
        <v>1</v>
      </c>
      <c r="V456" t="s">
        <v>119</v>
      </c>
      <c r="W456" s="11" t="str">
        <f t="shared" ref="W456:W520" si="7">IF(SUM(P456:U456)&gt;=1,"X","")</f>
        <v>X</v>
      </c>
      <c r="X456" s="11" t="s">
        <v>119</v>
      </c>
    </row>
    <row r="457" spans="1:24" x14ac:dyDescent="0.3">
      <c r="A457" s="12" t="s">
        <v>866</v>
      </c>
      <c r="B457" s="2" t="s">
        <v>119</v>
      </c>
      <c r="C457" s="4" t="s">
        <v>119</v>
      </c>
      <c r="D457" s="4" t="s">
        <v>119</v>
      </c>
      <c r="E457" s="1" t="s">
        <v>119</v>
      </c>
      <c r="F457" s="37" t="s">
        <v>119</v>
      </c>
      <c r="G457" s="37" t="s">
        <v>119</v>
      </c>
      <c r="H457" s="28" t="s">
        <v>119</v>
      </c>
      <c r="I457" s="28" t="s">
        <v>119</v>
      </c>
      <c r="J457" s="28" t="s">
        <v>119</v>
      </c>
      <c r="K457" s="28" t="s">
        <v>119</v>
      </c>
      <c r="L457" s="28" t="s">
        <v>119</v>
      </c>
      <c r="M457" s="28" t="s">
        <v>119</v>
      </c>
      <c r="N457" s="1" t="s">
        <v>119</v>
      </c>
      <c r="O457" s="43" t="s">
        <v>119</v>
      </c>
      <c r="P457" s="106" t="s">
        <v>119</v>
      </c>
      <c r="Q457" s="106">
        <v>1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t="s">
        <v>119</v>
      </c>
      <c r="W457" s="11" t="str">
        <f t="shared" si="7"/>
        <v>X</v>
      </c>
      <c r="X457" s="11" t="s">
        <v>119</v>
      </c>
    </row>
    <row r="458" spans="1:24" x14ac:dyDescent="0.3">
      <c r="A458" s="7" t="s">
        <v>465</v>
      </c>
      <c r="B458" s="6" t="s">
        <v>119</v>
      </c>
      <c r="C458" s="7" t="s">
        <v>119</v>
      </c>
      <c r="D458" s="7" t="s">
        <v>119</v>
      </c>
      <c r="E458" s="10" t="s">
        <v>119</v>
      </c>
      <c r="F458" s="37" t="s">
        <v>119</v>
      </c>
      <c r="G458" s="37">
        <v>2</v>
      </c>
      <c r="H458" s="29" t="s">
        <v>119</v>
      </c>
      <c r="I458" s="29" t="s">
        <v>119</v>
      </c>
      <c r="J458" s="29" t="s">
        <v>119</v>
      </c>
      <c r="K458" s="29" t="s">
        <v>119</v>
      </c>
      <c r="L458" s="29" t="s">
        <v>119</v>
      </c>
      <c r="M458" s="29">
        <v>4</v>
      </c>
      <c r="N458" s="1" t="s">
        <v>119</v>
      </c>
      <c r="O458" s="43" t="s">
        <v>119</v>
      </c>
      <c r="P458" s="106" t="s">
        <v>119</v>
      </c>
      <c r="Q458" s="106" t="s">
        <v>119</v>
      </c>
      <c r="R458" s="106" t="s">
        <v>119</v>
      </c>
      <c r="S458" s="106" t="s">
        <v>119</v>
      </c>
      <c r="T458" s="106">
        <v>1</v>
      </c>
      <c r="U458" s="106" t="s">
        <v>119</v>
      </c>
      <c r="V458" t="s">
        <v>119</v>
      </c>
      <c r="W458" s="11" t="str">
        <f t="shared" si="7"/>
        <v>X</v>
      </c>
      <c r="X458" s="11" t="s">
        <v>119</v>
      </c>
    </row>
    <row r="459" spans="1:24" s="11" customFormat="1" x14ac:dyDescent="0.3">
      <c r="A459" s="12" t="s">
        <v>466</v>
      </c>
      <c r="B459" s="18" t="s">
        <v>119</v>
      </c>
      <c r="C459" s="12" t="s">
        <v>119</v>
      </c>
      <c r="D459" s="12" t="s">
        <v>119</v>
      </c>
      <c r="E459" s="14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31" t="s">
        <v>119</v>
      </c>
      <c r="L459" s="31" t="s">
        <v>119</v>
      </c>
      <c r="M459" s="31">
        <v>4</v>
      </c>
      <c r="N459" s="14" t="s">
        <v>119</v>
      </c>
      <c r="O459" s="43" t="s">
        <v>119</v>
      </c>
      <c r="P459" s="106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t="s">
        <v>119</v>
      </c>
      <c r="W459" s="11" t="s">
        <v>119</v>
      </c>
      <c r="X459" s="11" t="s">
        <v>119</v>
      </c>
    </row>
    <row r="460" spans="1:24" s="5" customFormat="1" x14ac:dyDescent="0.3">
      <c r="A460" s="7" t="s">
        <v>685</v>
      </c>
      <c r="B460" s="6" t="s">
        <v>119</v>
      </c>
      <c r="C460" s="7" t="s">
        <v>119</v>
      </c>
      <c r="D460" s="7" t="s">
        <v>119</v>
      </c>
      <c r="E460" s="10" t="s">
        <v>119</v>
      </c>
      <c r="F460" s="37" t="s">
        <v>119</v>
      </c>
      <c r="G460" s="29">
        <v>2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43" t="s">
        <v>119</v>
      </c>
      <c r="P460" s="106" t="s">
        <v>119</v>
      </c>
      <c r="Q460" s="106" t="s">
        <v>119</v>
      </c>
      <c r="R460" s="106">
        <v>21</v>
      </c>
      <c r="S460" s="106" t="s">
        <v>119</v>
      </c>
      <c r="T460" s="106" t="s">
        <v>119</v>
      </c>
      <c r="U460" s="106" t="s">
        <v>119</v>
      </c>
      <c r="V460" t="s">
        <v>119</v>
      </c>
      <c r="W460" s="11" t="str">
        <f t="shared" si="7"/>
        <v>X</v>
      </c>
      <c r="X460" s="11" t="s">
        <v>119</v>
      </c>
    </row>
    <row r="461" spans="1:24" s="5" customFormat="1" x14ac:dyDescent="0.3">
      <c r="A461" s="7" t="s">
        <v>720</v>
      </c>
      <c r="B461" s="6" t="s">
        <v>119</v>
      </c>
      <c r="C461" s="7" t="s">
        <v>119</v>
      </c>
      <c r="D461" s="7" t="s">
        <v>119</v>
      </c>
      <c r="E461" s="10" t="s">
        <v>119</v>
      </c>
      <c r="F461" s="37" t="s">
        <v>119</v>
      </c>
      <c r="G461" s="29" t="s">
        <v>119</v>
      </c>
      <c r="H461" s="29" t="s">
        <v>119</v>
      </c>
      <c r="I461" s="29">
        <v>3</v>
      </c>
      <c r="J461" s="29">
        <v>32</v>
      </c>
      <c r="K461" s="29" t="s">
        <v>119</v>
      </c>
      <c r="L461" s="29" t="s">
        <v>119</v>
      </c>
      <c r="M461" s="29" t="s">
        <v>119</v>
      </c>
      <c r="N461" s="10" t="s">
        <v>119</v>
      </c>
      <c r="O461" s="43" t="s">
        <v>119</v>
      </c>
      <c r="P461" s="106" t="s">
        <v>119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t="s">
        <v>119</v>
      </c>
      <c r="W461" s="11" t="s">
        <v>119</v>
      </c>
      <c r="X461" s="11" t="s">
        <v>119</v>
      </c>
    </row>
    <row r="462" spans="1:24" s="5" customFormat="1" x14ac:dyDescent="0.3">
      <c r="A462" s="7" t="s">
        <v>721</v>
      </c>
      <c r="B462" s="6" t="s">
        <v>119</v>
      </c>
      <c r="C462" s="7" t="s">
        <v>119</v>
      </c>
      <c r="D462" s="7" t="s">
        <v>119</v>
      </c>
      <c r="E462" s="10" t="s">
        <v>119</v>
      </c>
      <c r="F462" s="37" t="s">
        <v>119</v>
      </c>
      <c r="G462" s="29" t="s">
        <v>119</v>
      </c>
      <c r="H462" s="29" t="s">
        <v>119</v>
      </c>
      <c r="I462" s="29">
        <v>2</v>
      </c>
      <c r="J462" s="29">
        <v>23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106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t="s">
        <v>119</v>
      </c>
      <c r="W462" s="11" t="s">
        <v>119</v>
      </c>
      <c r="X462" s="11" t="s">
        <v>119</v>
      </c>
    </row>
    <row r="463" spans="1:24" s="5" customFormat="1" x14ac:dyDescent="0.3">
      <c r="A463" s="7" t="s">
        <v>722</v>
      </c>
      <c r="B463" s="6" t="s">
        <v>119</v>
      </c>
      <c r="C463" s="7" t="s">
        <v>119</v>
      </c>
      <c r="D463" s="7" t="s">
        <v>119</v>
      </c>
      <c r="E463" s="10" t="s">
        <v>119</v>
      </c>
      <c r="F463" s="37" t="s">
        <v>119</v>
      </c>
      <c r="G463" s="29" t="s">
        <v>119</v>
      </c>
      <c r="H463" s="29" t="s">
        <v>119</v>
      </c>
      <c r="I463" s="29">
        <v>1</v>
      </c>
      <c r="J463" s="29">
        <v>7</v>
      </c>
      <c r="K463" s="29" t="s">
        <v>119</v>
      </c>
      <c r="L463" s="29" t="s">
        <v>119</v>
      </c>
      <c r="M463" s="29" t="s">
        <v>119</v>
      </c>
      <c r="N463" s="10" t="s">
        <v>119</v>
      </c>
      <c r="O463" s="43" t="s">
        <v>119</v>
      </c>
      <c r="P463" s="106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t="s">
        <v>119</v>
      </c>
      <c r="W463" s="11" t="s">
        <v>119</v>
      </c>
      <c r="X463" s="11" t="s">
        <v>119</v>
      </c>
    </row>
    <row r="464" spans="1:24" s="38" customFormat="1" x14ac:dyDescent="0.3">
      <c r="A464" s="44" t="s">
        <v>855</v>
      </c>
      <c r="B464" s="9" t="s">
        <v>119</v>
      </c>
      <c r="C464" s="44" t="s">
        <v>119</v>
      </c>
      <c r="D464" s="44" t="s">
        <v>119</v>
      </c>
      <c r="E464" s="39" t="s">
        <v>119</v>
      </c>
      <c r="F464" s="37" t="s">
        <v>119</v>
      </c>
      <c r="G464" s="37" t="s">
        <v>119</v>
      </c>
      <c r="H464" s="37" t="s">
        <v>119</v>
      </c>
      <c r="I464" s="37" t="s">
        <v>119</v>
      </c>
      <c r="J464" s="37" t="s">
        <v>119</v>
      </c>
      <c r="K464" s="37" t="s">
        <v>119</v>
      </c>
      <c r="L464" s="37" t="s">
        <v>119</v>
      </c>
      <c r="M464" s="37" t="s">
        <v>119</v>
      </c>
      <c r="N464" s="39" t="s">
        <v>119</v>
      </c>
      <c r="O464" s="43" t="s">
        <v>119</v>
      </c>
      <c r="P464" s="109" t="s">
        <v>119</v>
      </c>
      <c r="Q464" s="109">
        <v>1</v>
      </c>
      <c r="R464" s="109" t="s">
        <v>119</v>
      </c>
      <c r="S464" s="109" t="s">
        <v>119</v>
      </c>
      <c r="T464" s="106" t="s">
        <v>119</v>
      </c>
      <c r="U464" s="106" t="s">
        <v>119</v>
      </c>
      <c r="V464" t="s">
        <v>119</v>
      </c>
      <c r="W464" s="11" t="str">
        <f t="shared" si="7"/>
        <v>X</v>
      </c>
      <c r="X464" s="11" t="s">
        <v>134</v>
      </c>
    </row>
    <row r="465" spans="1:24" x14ac:dyDescent="0.3">
      <c r="A465" s="14" t="s">
        <v>113</v>
      </c>
      <c r="B465" s="2">
        <v>0</v>
      </c>
      <c r="C465" s="14">
        <v>0</v>
      </c>
      <c r="D465" s="14">
        <v>0</v>
      </c>
      <c r="E465" s="1">
        <v>1</v>
      </c>
      <c r="F465" s="37" t="s">
        <v>119</v>
      </c>
      <c r="G465" s="37" t="s">
        <v>119</v>
      </c>
      <c r="H465" s="28">
        <v>8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106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t="s">
        <v>119</v>
      </c>
      <c r="W465" s="11" t="s">
        <v>119</v>
      </c>
      <c r="X465" s="11" t="s">
        <v>134</v>
      </c>
    </row>
    <row r="466" spans="1:24" x14ac:dyDescent="0.3">
      <c r="A466" s="14" t="s">
        <v>821</v>
      </c>
      <c r="B466" s="2" t="s">
        <v>119</v>
      </c>
      <c r="C466" s="14" t="s">
        <v>119</v>
      </c>
      <c r="D466" s="14" t="s">
        <v>119</v>
      </c>
      <c r="E466" s="1" t="s">
        <v>119</v>
      </c>
      <c r="F466" s="37" t="s">
        <v>119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 t="s">
        <v>119</v>
      </c>
      <c r="N466" s="1" t="s">
        <v>119</v>
      </c>
      <c r="O466" s="43" t="s">
        <v>119</v>
      </c>
      <c r="P466" s="106" t="s">
        <v>119</v>
      </c>
      <c r="Q466" s="106">
        <v>1</v>
      </c>
      <c r="R466" s="106" t="s">
        <v>119</v>
      </c>
      <c r="S466" s="106" t="s">
        <v>119</v>
      </c>
      <c r="T466" s="106" t="s">
        <v>119</v>
      </c>
      <c r="U466" s="106" t="s">
        <v>119</v>
      </c>
      <c r="V466" t="s">
        <v>119</v>
      </c>
      <c r="W466" s="11" t="str">
        <f t="shared" si="7"/>
        <v>X</v>
      </c>
      <c r="X466" s="11" t="s">
        <v>119</v>
      </c>
    </row>
    <row r="467" spans="1:24" x14ac:dyDescent="0.3">
      <c r="A467" s="14" t="s">
        <v>811</v>
      </c>
      <c r="B467" s="2" t="s">
        <v>119</v>
      </c>
      <c r="C467" s="14" t="s">
        <v>119</v>
      </c>
      <c r="D467" s="1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106">
        <v>2</v>
      </c>
      <c r="Q467" s="106">
        <v>3</v>
      </c>
      <c r="R467" s="106">
        <v>20</v>
      </c>
      <c r="S467" s="106">
        <v>8</v>
      </c>
      <c r="T467" s="106">
        <v>2</v>
      </c>
      <c r="U467" s="106">
        <v>3</v>
      </c>
      <c r="V467" t="s">
        <v>119</v>
      </c>
      <c r="W467" s="11" t="str">
        <f t="shared" si="7"/>
        <v>X</v>
      </c>
      <c r="X467" s="11" t="s">
        <v>119</v>
      </c>
    </row>
    <row r="468" spans="1:24" x14ac:dyDescent="0.3">
      <c r="A468" s="25" t="s">
        <v>1251</v>
      </c>
      <c r="B468" s="22">
        <v>679</v>
      </c>
      <c r="C468" s="23">
        <v>51</v>
      </c>
      <c r="D468" s="23">
        <v>0</v>
      </c>
      <c r="E468" s="24">
        <v>1</v>
      </c>
      <c r="F468" s="37" t="s">
        <v>119</v>
      </c>
      <c r="G468" s="37" t="s">
        <v>119</v>
      </c>
      <c r="H468" s="28" t="s">
        <v>119</v>
      </c>
      <c r="I468" s="28" t="s">
        <v>119</v>
      </c>
      <c r="J468" s="28" t="s">
        <v>119</v>
      </c>
      <c r="K468" s="28" t="s">
        <v>119</v>
      </c>
      <c r="L468" s="28" t="s">
        <v>119</v>
      </c>
      <c r="M468" s="28" t="s">
        <v>119</v>
      </c>
      <c r="N468" s="1" t="s">
        <v>119</v>
      </c>
      <c r="O468" s="43" t="s">
        <v>119</v>
      </c>
      <c r="P468" s="106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 t="s">
        <v>119</v>
      </c>
      <c r="V468" t="s">
        <v>134</v>
      </c>
      <c r="W468" s="11" t="s">
        <v>119</v>
      </c>
      <c r="X468" s="11" t="s">
        <v>119</v>
      </c>
    </row>
    <row r="469" spans="1:24" x14ac:dyDescent="0.3">
      <c r="A469" s="25" t="s">
        <v>1252</v>
      </c>
      <c r="B469" s="22">
        <v>6</v>
      </c>
      <c r="C469" s="23">
        <v>0</v>
      </c>
      <c r="D469" s="23">
        <v>0</v>
      </c>
      <c r="E469" s="24">
        <v>0</v>
      </c>
      <c r="F469" s="37" t="s">
        <v>119</v>
      </c>
      <c r="G469" s="37" t="s">
        <v>119</v>
      </c>
      <c r="H469" s="28" t="s">
        <v>119</v>
      </c>
      <c r="I469" s="28" t="s">
        <v>119</v>
      </c>
      <c r="J469" s="28" t="s">
        <v>119</v>
      </c>
      <c r="K469" s="28" t="s">
        <v>119</v>
      </c>
      <c r="L469" s="28" t="s">
        <v>119</v>
      </c>
      <c r="M469" s="28" t="s">
        <v>119</v>
      </c>
      <c r="N469" s="1" t="s">
        <v>119</v>
      </c>
      <c r="O469" s="43" t="s">
        <v>119</v>
      </c>
      <c r="P469" s="106" t="s">
        <v>119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t="s">
        <v>134</v>
      </c>
      <c r="W469" s="11" t="s">
        <v>119</v>
      </c>
      <c r="X469" s="11" t="s">
        <v>119</v>
      </c>
    </row>
    <row r="470" spans="1:24" s="11" customFormat="1" x14ac:dyDescent="0.3">
      <c r="A470" s="14" t="s">
        <v>812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1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 t="s">
        <v>119</v>
      </c>
      <c r="N470" s="14" t="s">
        <v>119</v>
      </c>
      <c r="O470" s="43" t="s">
        <v>119</v>
      </c>
      <c r="P470" s="108" t="s">
        <v>119</v>
      </c>
      <c r="Q470" s="108" t="s">
        <v>119</v>
      </c>
      <c r="R470" s="108" t="s">
        <v>119</v>
      </c>
      <c r="S470" s="108">
        <v>136</v>
      </c>
      <c r="T470" s="106" t="s">
        <v>119</v>
      </c>
      <c r="U470" s="106">
        <v>16</v>
      </c>
      <c r="V470" t="s">
        <v>119</v>
      </c>
      <c r="W470" s="11" t="str">
        <f t="shared" si="7"/>
        <v>X</v>
      </c>
      <c r="X470" s="11" t="s">
        <v>119</v>
      </c>
    </row>
    <row r="471" spans="1:24" s="11" customFormat="1" x14ac:dyDescent="0.3">
      <c r="A471" s="14" t="s">
        <v>1020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1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108" t="s">
        <v>119</v>
      </c>
      <c r="Q471" s="108" t="s">
        <v>119</v>
      </c>
      <c r="R471" s="108" t="s">
        <v>119</v>
      </c>
      <c r="S471" s="108">
        <v>9</v>
      </c>
      <c r="T471" s="106" t="s">
        <v>119</v>
      </c>
      <c r="U471" s="106" t="s">
        <v>119</v>
      </c>
      <c r="V471" t="s">
        <v>119</v>
      </c>
      <c r="W471" s="11" t="str">
        <f t="shared" si="7"/>
        <v>X</v>
      </c>
      <c r="X471" s="11" t="s">
        <v>119</v>
      </c>
    </row>
    <row r="472" spans="1:24" s="11" customFormat="1" x14ac:dyDescent="0.3">
      <c r="A472" s="14" t="s">
        <v>813</v>
      </c>
      <c r="B472" s="18" t="s">
        <v>119</v>
      </c>
      <c r="C472" s="12" t="s">
        <v>119</v>
      </c>
      <c r="D472" s="12" t="s">
        <v>119</v>
      </c>
      <c r="E472" s="14" t="s">
        <v>119</v>
      </c>
      <c r="F472" s="37" t="s">
        <v>119</v>
      </c>
      <c r="G472" s="31" t="s">
        <v>119</v>
      </c>
      <c r="H472" s="31" t="s">
        <v>119</v>
      </c>
      <c r="I472" s="31" t="s">
        <v>119</v>
      </c>
      <c r="J472" s="31" t="s">
        <v>119</v>
      </c>
      <c r="K472" s="31" t="s">
        <v>119</v>
      </c>
      <c r="L472" s="31" t="s">
        <v>119</v>
      </c>
      <c r="M472" s="31" t="s">
        <v>119</v>
      </c>
      <c r="N472" s="14" t="s">
        <v>119</v>
      </c>
      <c r="O472" s="43" t="s">
        <v>119</v>
      </c>
      <c r="P472" s="108" t="s">
        <v>119</v>
      </c>
      <c r="Q472" s="108" t="s">
        <v>119</v>
      </c>
      <c r="R472" s="108" t="s">
        <v>119</v>
      </c>
      <c r="S472" s="108">
        <f>48+41</f>
        <v>89</v>
      </c>
      <c r="T472" s="106" t="s">
        <v>119</v>
      </c>
      <c r="U472" s="106" t="s">
        <v>119</v>
      </c>
      <c r="V472" t="s">
        <v>119</v>
      </c>
      <c r="W472" s="11" t="str">
        <f t="shared" si="7"/>
        <v>X</v>
      </c>
      <c r="X472" s="11" t="s">
        <v>119</v>
      </c>
    </row>
    <row r="473" spans="1:24" s="11" customFormat="1" x14ac:dyDescent="0.3">
      <c r="A473" s="14" t="s">
        <v>467</v>
      </c>
      <c r="B473" s="18" t="s">
        <v>119</v>
      </c>
      <c r="C473" s="12" t="s">
        <v>119</v>
      </c>
      <c r="D473" s="12" t="s">
        <v>119</v>
      </c>
      <c r="E473" s="14" t="s">
        <v>119</v>
      </c>
      <c r="F473" s="37" t="s">
        <v>119</v>
      </c>
      <c r="G473" s="37" t="s">
        <v>119</v>
      </c>
      <c r="H473" s="31" t="s">
        <v>119</v>
      </c>
      <c r="I473" s="31" t="s">
        <v>119</v>
      </c>
      <c r="J473" s="31" t="s">
        <v>119</v>
      </c>
      <c r="K473" s="31" t="s">
        <v>119</v>
      </c>
      <c r="L473" s="31" t="s">
        <v>119</v>
      </c>
      <c r="M473" s="31" t="s">
        <v>134</v>
      </c>
      <c r="N473" s="14" t="s">
        <v>119</v>
      </c>
      <c r="O473" s="43" t="s">
        <v>119</v>
      </c>
      <c r="P473" s="106" t="s">
        <v>119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t="s">
        <v>119</v>
      </c>
      <c r="W473" s="11" t="s">
        <v>134</v>
      </c>
      <c r="X473" s="11" t="s">
        <v>119</v>
      </c>
    </row>
    <row r="474" spans="1:24" s="11" customFormat="1" x14ac:dyDescent="0.3">
      <c r="A474" s="14" t="s">
        <v>468</v>
      </c>
      <c r="B474" s="18" t="s">
        <v>119</v>
      </c>
      <c r="C474" s="12" t="s">
        <v>119</v>
      </c>
      <c r="D474" s="12" t="s">
        <v>119</v>
      </c>
      <c r="E474" s="14" t="s">
        <v>119</v>
      </c>
      <c r="F474" s="37" t="s">
        <v>119</v>
      </c>
      <c r="G474" s="37" t="s">
        <v>119</v>
      </c>
      <c r="H474" s="31" t="s">
        <v>119</v>
      </c>
      <c r="I474" s="31" t="s">
        <v>119</v>
      </c>
      <c r="J474" s="31" t="s">
        <v>119</v>
      </c>
      <c r="K474" s="31" t="s">
        <v>119</v>
      </c>
      <c r="L474" s="31" t="s">
        <v>119</v>
      </c>
      <c r="M474" s="31">
        <v>2</v>
      </c>
      <c r="N474" s="14" t="s">
        <v>119</v>
      </c>
      <c r="O474" s="43" t="s">
        <v>119</v>
      </c>
      <c r="P474" s="106" t="s">
        <v>119</v>
      </c>
      <c r="Q474" s="106">
        <v>1</v>
      </c>
      <c r="R474" s="106" t="s">
        <v>119</v>
      </c>
      <c r="S474" s="106" t="s">
        <v>119</v>
      </c>
      <c r="T474" s="106">
        <v>2</v>
      </c>
      <c r="U474" s="106">
        <v>7</v>
      </c>
      <c r="V474" t="s">
        <v>119</v>
      </c>
      <c r="W474" s="11" t="str">
        <f t="shared" si="7"/>
        <v>X</v>
      </c>
      <c r="X474" s="11" t="s">
        <v>119</v>
      </c>
    </row>
    <row r="475" spans="1:24" x14ac:dyDescent="0.3">
      <c r="A475" s="14" t="s">
        <v>135</v>
      </c>
      <c r="B475" s="2" t="s">
        <v>119</v>
      </c>
      <c r="C475" s="4" t="s">
        <v>119</v>
      </c>
      <c r="D475" s="4" t="s">
        <v>119</v>
      </c>
      <c r="E475" s="1" t="s">
        <v>119</v>
      </c>
      <c r="F475" s="37" t="s">
        <v>119</v>
      </c>
      <c r="G475" s="37" t="s">
        <v>119</v>
      </c>
      <c r="H475" s="28">
        <v>3</v>
      </c>
      <c r="I475" s="28">
        <v>1</v>
      </c>
      <c r="J475" s="28" t="s">
        <v>119</v>
      </c>
      <c r="K475" s="29" t="s">
        <v>119</v>
      </c>
      <c r="L475" s="28" t="s">
        <v>119</v>
      </c>
      <c r="M475" s="28" t="s">
        <v>119</v>
      </c>
      <c r="N475" s="1" t="s">
        <v>119</v>
      </c>
      <c r="O475" s="43" t="s">
        <v>119</v>
      </c>
      <c r="P475" s="106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t="s">
        <v>119</v>
      </c>
      <c r="W475" s="11" t="s">
        <v>1274</v>
      </c>
      <c r="X475" s="11" t="s">
        <v>1274</v>
      </c>
    </row>
    <row r="476" spans="1:24" x14ac:dyDescent="0.3">
      <c r="A476" s="14" t="s">
        <v>815</v>
      </c>
      <c r="B476" s="2" t="s">
        <v>119</v>
      </c>
      <c r="C476" s="4" t="s">
        <v>119</v>
      </c>
      <c r="D476" s="4" t="s">
        <v>119</v>
      </c>
      <c r="E476" s="1" t="s">
        <v>119</v>
      </c>
      <c r="F476" s="37" t="s">
        <v>119</v>
      </c>
      <c r="G476" s="37" t="s">
        <v>119</v>
      </c>
      <c r="H476" s="28" t="s">
        <v>119</v>
      </c>
      <c r="I476" s="28" t="s">
        <v>119</v>
      </c>
      <c r="J476" s="28" t="s">
        <v>119</v>
      </c>
      <c r="K476" s="29" t="s">
        <v>119</v>
      </c>
      <c r="L476" s="28" t="s">
        <v>119</v>
      </c>
      <c r="M476" s="28" t="s">
        <v>119</v>
      </c>
      <c r="N476" s="1" t="s">
        <v>119</v>
      </c>
      <c r="O476" s="43" t="s">
        <v>119</v>
      </c>
      <c r="P476" s="106" t="s">
        <v>119</v>
      </c>
      <c r="Q476" s="106" t="s">
        <v>119</v>
      </c>
      <c r="R476" s="106" t="s">
        <v>119</v>
      </c>
      <c r="S476" s="106">
        <v>47</v>
      </c>
      <c r="T476" s="106" t="s">
        <v>119</v>
      </c>
      <c r="U476" s="106" t="s">
        <v>119</v>
      </c>
      <c r="V476" t="s">
        <v>119</v>
      </c>
      <c r="W476" s="11" t="str">
        <f t="shared" si="7"/>
        <v>X</v>
      </c>
      <c r="X476" s="11" t="s">
        <v>119</v>
      </c>
    </row>
    <row r="477" spans="1:24" s="5" customFormat="1" x14ac:dyDescent="0.3">
      <c r="A477" s="10" t="s">
        <v>1304</v>
      </c>
      <c r="B477" s="6" t="s">
        <v>119</v>
      </c>
      <c r="C477" s="7" t="s">
        <v>119</v>
      </c>
      <c r="D477" s="7" t="s">
        <v>119</v>
      </c>
      <c r="E477" s="10" t="s">
        <v>119</v>
      </c>
      <c r="F477" s="29">
        <v>3</v>
      </c>
      <c r="G477" s="29" t="s">
        <v>119</v>
      </c>
      <c r="H477" s="29" t="s">
        <v>119</v>
      </c>
      <c r="I477" s="29" t="s">
        <v>119</v>
      </c>
      <c r="J477" s="29" t="s">
        <v>119</v>
      </c>
      <c r="K477" s="29" t="s">
        <v>119</v>
      </c>
      <c r="L477" s="29" t="s">
        <v>119</v>
      </c>
      <c r="M477" s="29" t="s">
        <v>119</v>
      </c>
      <c r="N477" s="10" t="s">
        <v>119</v>
      </c>
      <c r="O477" s="30" t="s">
        <v>119</v>
      </c>
      <c r="P477" s="107" t="s">
        <v>119</v>
      </c>
      <c r="Q477" s="107" t="s">
        <v>119</v>
      </c>
      <c r="R477" s="107" t="s">
        <v>119</v>
      </c>
      <c r="S477" s="107" t="s">
        <v>119</v>
      </c>
      <c r="T477" s="107" t="s">
        <v>119</v>
      </c>
      <c r="U477" s="107" t="s">
        <v>119</v>
      </c>
      <c r="V477" s="5" t="s">
        <v>119</v>
      </c>
      <c r="W477" s="5" t="s">
        <v>119</v>
      </c>
      <c r="X477" s="5" t="s">
        <v>119</v>
      </c>
    </row>
    <row r="478" spans="1:24" x14ac:dyDescent="0.3">
      <c r="A478" s="14" t="s">
        <v>814</v>
      </c>
      <c r="B478" s="2" t="s">
        <v>119</v>
      </c>
      <c r="C478" s="4" t="s">
        <v>119</v>
      </c>
      <c r="D478" s="4" t="s">
        <v>119</v>
      </c>
      <c r="E478" s="1" t="s">
        <v>119</v>
      </c>
      <c r="F478" s="37" t="s">
        <v>119</v>
      </c>
      <c r="G478" s="37" t="s">
        <v>119</v>
      </c>
      <c r="H478" s="28" t="s">
        <v>119</v>
      </c>
      <c r="I478" s="28" t="s">
        <v>119</v>
      </c>
      <c r="J478" s="28" t="s">
        <v>119</v>
      </c>
      <c r="K478" s="29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106" t="s">
        <v>119</v>
      </c>
      <c r="Q478" s="106" t="s">
        <v>119</v>
      </c>
      <c r="R478" s="106" t="s">
        <v>119</v>
      </c>
      <c r="S478" s="106">
        <f>14+9+1</f>
        <v>24</v>
      </c>
      <c r="T478" s="106" t="s">
        <v>119</v>
      </c>
      <c r="U478" s="106" t="s">
        <v>119</v>
      </c>
      <c r="V478" t="s">
        <v>119</v>
      </c>
      <c r="W478" s="11" t="str">
        <f t="shared" si="7"/>
        <v>X</v>
      </c>
      <c r="X478" s="11" t="s">
        <v>119</v>
      </c>
    </row>
    <row r="479" spans="1:24" x14ac:dyDescent="0.3">
      <c r="A479" s="14" t="s">
        <v>832</v>
      </c>
      <c r="B479" s="2" t="s">
        <v>119</v>
      </c>
      <c r="C479" s="4" t="s">
        <v>119</v>
      </c>
      <c r="D479" s="4" t="s">
        <v>119</v>
      </c>
      <c r="E479" s="1" t="s">
        <v>119</v>
      </c>
      <c r="F479" s="37" t="s">
        <v>119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9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106" t="s">
        <v>119</v>
      </c>
      <c r="Q479" s="106" t="s">
        <v>119</v>
      </c>
      <c r="R479" s="106" t="s">
        <v>119</v>
      </c>
      <c r="S479" s="106">
        <f>3+14+1</f>
        <v>18</v>
      </c>
      <c r="T479" s="106" t="s">
        <v>119</v>
      </c>
      <c r="U479" s="106">
        <v>6</v>
      </c>
      <c r="V479" t="s">
        <v>119</v>
      </c>
      <c r="W479" s="11" t="str">
        <f t="shared" si="7"/>
        <v>X</v>
      </c>
      <c r="X479" s="11" t="s">
        <v>119</v>
      </c>
    </row>
    <row r="480" spans="1:24" x14ac:dyDescent="0.3">
      <c r="A480" s="14" t="s">
        <v>94</v>
      </c>
      <c r="B480" s="2">
        <f>233+5+38+112+36+9+15</f>
        <v>448</v>
      </c>
      <c r="C480" s="14">
        <f>159+8+2+9</f>
        <v>178</v>
      </c>
      <c r="D480" s="14">
        <v>0</v>
      </c>
      <c r="E480" s="1">
        <v>1</v>
      </c>
      <c r="F480" s="37" t="s">
        <v>119</v>
      </c>
      <c r="G480" s="37">
        <v>21</v>
      </c>
      <c r="H480" s="28">
        <v>29</v>
      </c>
      <c r="I480" s="28">
        <f>2+5+1+1+3+2+1+1+4+8+2+1+1+4</f>
        <v>36</v>
      </c>
      <c r="J480" s="28">
        <f>9+14+7+13+2+2+4+1+9+2+46+18+9+12+59+15+3+8+1+5+13+299+32+1+15+121+13+1+19+1+7+1</f>
        <v>762</v>
      </c>
      <c r="K480" s="28">
        <f>1+9+5+92</f>
        <v>107</v>
      </c>
      <c r="L480" s="28">
        <v>1</v>
      </c>
      <c r="M480" s="28" t="s">
        <v>134</v>
      </c>
      <c r="N480" s="1">
        <v>15</v>
      </c>
      <c r="O480" s="43" t="s">
        <v>119</v>
      </c>
      <c r="P480" s="106" t="s">
        <v>119</v>
      </c>
      <c r="Q480" s="106">
        <f>11+22+228+2+1</f>
        <v>264</v>
      </c>
      <c r="R480" s="106">
        <f>19+28+7</f>
        <v>54</v>
      </c>
      <c r="S480" s="106">
        <f>19+1+6+1+2+3</f>
        <v>32</v>
      </c>
      <c r="T480" s="106" t="s">
        <v>119</v>
      </c>
      <c r="U480" s="106">
        <v>1</v>
      </c>
      <c r="V480" t="s">
        <v>119</v>
      </c>
      <c r="W480" s="11" t="str">
        <f t="shared" si="7"/>
        <v>X</v>
      </c>
      <c r="X480" s="11" t="s">
        <v>134</v>
      </c>
    </row>
    <row r="481" spans="1:24" x14ac:dyDescent="0.3">
      <c r="A481" s="14" t="s">
        <v>1305</v>
      </c>
      <c r="B481" s="2" t="s">
        <v>119</v>
      </c>
      <c r="C481" s="14" t="s">
        <v>119</v>
      </c>
      <c r="D481" s="14" t="s">
        <v>119</v>
      </c>
      <c r="E481" s="1" t="s">
        <v>119</v>
      </c>
      <c r="F481" s="37">
        <v>1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106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t="s">
        <v>119</v>
      </c>
      <c r="W481" s="11" t="s">
        <v>119</v>
      </c>
      <c r="X481" s="11" t="s">
        <v>119</v>
      </c>
    </row>
    <row r="482" spans="1:24" x14ac:dyDescent="0.3">
      <c r="A482" s="14" t="s">
        <v>830</v>
      </c>
      <c r="B482" s="2" t="s">
        <v>119</v>
      </c>
      <c r="C482" s="14" t="s">
        <v>119</v>
      </c>
      <c r="D482" s="14" t="s">
        <v>119</v>
      </c>
      <c r="E482" s="1" t="s">
        <v>119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106" t="s">
        <v>119</v>
      </c>
      <c r="Q482" s="106" t="s">
        <v>119</v>
      </c>
      <c r="R482" s="106" t="s">
        <v>119</v>
      </c>
      <c r="S482" s="106">
        <v>16</v>
      </c>
      <c r="T482" s="106" t="s">
        <v>119</v>
      </c>
      <c r="U482" s="106" t="s">
        <v>119</v>
      </c>
      <c r="V482" t="s">
        <v>119</v>
      </c>
      <c r="W482" s="11" t="str">
        <f t="shared" si="7"/>
        <v>X</v>
      </c>
      <c r="X482" s="11" t="s">
        <v>119</v>
      </c>
    </row>
    <row r="483" spans="1:24" x14ac:dyDescent="0.3">
      <c r="A483" s="14" t="s">
        <v>686</v>
      </c>
      <c r="B483" s="2" t="s">
        <v>119</v>
      </c>
      <c r="C483" s="14" t="s">
        <v>119</v>
      </c>
      <c r="D483" s="14" t="s">
        <v>119</v>
      </c>
      <c r="E483" s="1" t="s">
        <v>119</v>
      </c>
      <c r="F483" s="37" t="s">
        <v>119</v>
      </c>
      <c r="G483" s="37" t="s">
        <v>119</v>
      </c>
      <c r="H483" s="28">
        <v>2</v>
      </c>
      <c r="I483" s="28" t="s">
        <v>119</v>
      </c>
      <c r="J483" s="28" t="s">
        <v>119</v>
      </c>
      <c r="K483" s="28" t="s">
        <v>119</v>
      </c>
      <c r="L483" s="28" t="s">
        <v>119</v>
      </c>
      <c r="M483" s="28" t="s">
        <v>119</v>
      </c>
      <c r="N483" s="1" t="s">
        <v>119</v>
      </c>
      <c r="O483" s="43" t="s">
        <v>119</v>
      </c>
      <c r="P483" s="106" t="s">
        <v>119</v>
      </c>
      <c r="Q483" s="106" t="s">
        <v>119</v>
      </c>
      <c r="R483" s="106" t="s">
        <v>119</v>
      </c>
      <c r="S483" s="106" t="s">
        <v>119</v>
      </c>
      <c r="T483" s="106" t="s">
        <v>119</v>
      </c>
      <c r="U483" s="106" t="s">
        <v>119</v>
      </c>
      <c r="V483" t="s">
        <v>119</v>
      </c>
      <c r="W483" s="11" t="s">
        <v>119</v>
      </c>
      <c r="X483" s="11" t="s">
        <v>119</v>
      </c>
    </row>
    <row r="484" spans="1:24" x14ac:dyDescent="0.3">
      <c r="A484" s="14" t="s">
        <v>469</v>
      </c>
      <c r="B484" s="2" t="s">
        <v>119</v>
      </c>
      <c r="C484" s="14" t="s">
        <v>119</v>
      </c>
      <c r="D484" s="14" t="s">
        <v>119</v>
      </c>
      <c r="E484" s="1" t="s">
        <v>119</v>
      </c>
      <c r="F484" s="37" t="s">
        <v>119</v>
      </c>
      <c r="G484" s="37" t="s">
        <v>119</v>
      </c>
      <c r="H484" s="28" t="s">
        <v>119</v>
      </c>
      <c r="I484" s="28" t="s">
        <v>119</v>
      </c>
      <c r="J484" s="28" t="s">
        <v>119</v>
      </c>
      <c r="K484" s="28" t="s">
        <v>119</v>
      </c>
      <c r="L484" s="28" t="s">
        <v>119</v>
      </c>
      <c r="M484" s="28">
        <v>17</v>
      </c>
      <c r="N484" s="1" t="s">
        <v>119</v>
      </c>
      <c r="O484" s="43" t="s">
        <v>119</v>
      </c>
      <c r="P484" s="106" t="s">
        <v>119</v>
      </c>
      <c r="Q484" s="106" t="s">
        <v>119</v>
      </c>
      <c r="R484" s="106" t="s">
        <v>119</v>
      </c>
      <c r="S484" s="106" t="s">
        <v>119</v>
      </c>
      <c r="T484" s="106" t="s">
        <v>119</v>
      </c>
      <c r="U484" s="106" t="s">
        <v>119</v>
      </c>
      <c r="V484" t="s">
        <v>119</v>
      </c>
      <c r="W484" s="11" t="s">
        <v>119</v>
      </c>
      <c r="X484" s="11" t="s">
        <v>119</v>
      </c>
    </row>
    <row r="485" spans="1:24" s="5" customFormat="1" x14ac:dyDescent="0.3">
      <c r="A485" s="10" t="s">
        <v>846</v>
      </c>
      <c r="B485" s="6" t="s">
        <v>119</v>
      </c>
      <c r="C485" s="10" t="s">
        <v>119</v>
      </c>
      <c r="D485" s="10" t="s">
        <v>119</v>
      </c>
      <c r="E485" s="10" t="s">
        <v>119</v>
      </c>
      <c r="F485" s="37" t="s">
        <v>119</v>
      </c>
      <c r="G485" s="29" t="s">
        <v>119</v>
      </c>
      <c r="H485" s="29" t="s">
        <v>119</v>
      </c>
      <c r="I485" s="29" t="s">
        <v>119</v>
      </c>
      <c r="J485" s="29" t="s">
        <v>119</v>
      </c>
      <c r="K485" s="29" t="s">
        <v>119</v>
      </c>
      <c r="L485" s="29" t="s">
        <v>119</v>
      </c>
      <c r="M485" s="29" t="s">
        <v>119</v>
      </c>
      <c r="N485" s="10" t="s">
        <v>119</v>
      </c>
      <c r="O485" s="43" t="s">
        <v>119</v>
      </c>
      <c r="P485" s="107">
        <v>1</v>
      </c>
      <c r="Q485" s="107" t="s">
        <v>119</v>
      </c>
      <c r="R485" s="107">
        <v>2</v>
      </c>
      <c r="S485" s="107" t="s">
        <v>119</v>
      </c>
      <c r="T485" s="106" t="s">
        <v>119</v>
      </c>
      <c r="U485" s="106" t="s">
        <v>119</v>
      </c>
      <c r="V485" t="s">
        <v>119</v>
      </c>
      <c r="W485" s="11" t="str">
        <f t="shared" si="7"/>
        <v>X</v>
      </c>
      <c r="X485" s="11" t="s">
        <v>119</v>
      </c>
    </row>
    <row r="486" spans="1:24" s="5" customFormat="1" x14ac:dyDescent="0.3">
      <c r="A486" s="10" t="s">
        <v>1284</v>
      </c>
      <c r="B486" s="6" t="s">
        <v>119</v>
      </c>
      <c r="C486" s="10" t="s">
        <v>119</v>
      </c>
      <c r="D486" s="10" t="s">
        <v>119</v>
      </c>
      <c r="E486" s="10" t="s">
        <v>119</v>
      </c>
      <c r="F486" s="37" t="s">
        <v>119</v>
      </c>
      <c r="G486" s="29" t="s">
        <v>119</v>
      </c>
      <c r="H486" s="29" t="s">
        <v>119</v>
      </c>
      <c r="I486" s="29" t="s">
        <v>119</v>
      </c>
      <c r="J486" s="29" t="s">
        <v>119</v>
      </c>
      <c r="K486" s="29" t="s">
        <v>119</v>
      </c>
      <c r="L486" s="29" t="s">
        <v>119</v>
      </c>
      <c r="M486" s="29" t="s">
        <v>119</v>
      </c>
      <c r="N486" s="10" t="s">
        <v>119</v>
      </c>
      <c r="O486" s="43" t="s">
        <v>119</v>
      </c>
      <c r="P486" s="107">
        <v>1</v>
      </c>
      <c r="Q486" s="107">
        <v>10</v>
      </c>
      <c r="R486" s="107" t="s">
        <v>119</v>
      </c>
      <c r="S486" s="107" t="s">
        <v>119</v>
      </c>
      <c r="T486" s="106" t="s">
        <v>119</v>
      </c>
      <c r="U486" s="106" t="s">
        <v>119</v>
      </c>
      <c r="V486" t="s">
        <v>119</v>
      </c>
      <c r="W486" s="11" t="str">
        <f t="shared" si="7"/>
        <v>X</v>
      </c>
      <c r="X486" s="11" t="s">
        <v>119</v>
      </c>
    </row>
    <row r="487" spans="1:24" x14ac:dyDescent="0.3">
      <c r="A487" s="10" t="s">
        <v>1285</v>
      </c>
      <c r="B487" s="6">
        <v>5</v>
      </c>
      <c r="C487" s="7">
        <v>0</v>
      </c>
      <c r="D487" s="7">
        <v>0</v>
      </c>
      <c r="E487" s="10">
        <v>12</v>
      </c>
      <c r="F487" s="37" t="s">
        <v>119</v>
      </c>
      <c r="G487" s="37" t="s">
        <v>119</v>
      </c>
      <c r="H487" s="28" t="s">
        <v>119</v>
      </c>
      <c r="I487" s="28" t="s">
        <v>119</v>
      </c>
      <c r="J487" s="28" t="s">
        <v>119</v>
      </c>
      <c r="K487" s="28" t="s">
        <v>119</v>
      </c>
      <c r="L487" s="28" t="s">
        <v>119</v>
      </c>
      <c r="M487" s="28" t="s">
        <v>119</v>
      </c>
      <c r="N487" s="1" t="s">
        <v>119</v>
      </c>
      <c r="O487" s="43" t="s">
        <v>119</v>
      </c>
      <c r="P487" s="106" t="s">
        <v>119</v>
      </c>
      <c r="Q487" s="106" t="s">
        <v>119</v>
      </c>
      <c r="R487" s="106" t="s">
        <v>119</v>
      </c>
      <c r="S487" s="106" t="s">
        <v>119</v>
      </c>
      <c r="T487" s="106" t="s">
        <v>119</v>
      </c>
      <c r="U487" s="106" t="s">
        <v>119</v>
      </c>
      <c r="V487" t="s">
        <v>119</v>
      </c>
      <c r="W487" s="11" t="s">
        <v>119</v>
      </c>
      <c r="X487" s="11" t="s">
        <v>119</v>
      </c>
    </row>
    <row r="488" spans="1:24" s="11" customFormat="1" x14ac:dyDescent="0.3">
      <c r="A488" s="14" t="s">
        <v>1276</v>
      </c>
      <c r="B488" s="18" t="s">
        <v>119</v>
      </c>
      <c r="C488" s="12" t="s">
        <v>119</v>
      </c>
      <c r="D488" s="12" t="s">
        <v>119</v>
      </c>
      <c r="E488" s="14" t="s">
        <v>119</v>
      </c>
      <c r="F488" s="37" t="s">
        <v>119</v>
      </c>
      <c r="G488" s="37" t="s">
        <v>119</v>
      </c>
      <c r="H488" s="31" t="s">
        <v>119</v>
      </c>
      <c r="I488" s="31" t="s">
        <v>119</v>
      </c>
      <c r="J488" s="31" t="s">
        <v>119</v>
      </c>
      <c r="K488" s="31" t="s">
        <v>119</v>
      </c>
      <c r="L488" s="31" t="s">
        <v>119</v>
      </c>
      <c r="M488" s="31" t="s">
        <v>134</v>
      </c>
      <c r="N488" s="14" t="s">
        <v>119</v>
      </c>
      <c r="O488" s="43" t="s">
        <v>119</v>
      </c>
      <c r="P488" s="106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t="s">
        <v>119</v>
      </c>
      <c r="W488" s="11" t="s">
        <v>134</v>
      </c>
      <c r="X488" s="11" t="s">
        <v>119</v>
      </c>
    </row>
    <row r="489" spans="1:24" s="11" customFormat="1" x14ac:dyDescent="0.3">
      <c r="A489" s="14" t="s">
        <v>1277</v>
      </c>
      <c r="B489" s="18" t="s">
        <v>119</v>
      </c>
      <c r="C489" s="12" t="s">
        <v>119</v>
      </c>
      <c r="D489" s="12" t="s">
        <v>119</v>
      </c>
      <c r="E489" s="14" t="s">
        <v>119</v>
      </c>
      <c r="F489" s="37" t="s">
        <v>119</v>
      </c>
      <c r="G489" s="37" t="s">
        <v>119</v>
      </c>
      <c r="H489" s="31" t="s">
        <v>119</v>
      </c>
      <c r="I489" s="31" t="s">
        <v>119</v>
      </c>
      <c r="J489" s="31" t="s">
        <v>119</v>
      </c>
      <c r="K489" s="31" t="s">
        <v>119</v>
      </c>
      <c r="L489" s="31" t="s">
        <v>119</v>
      </c>
      <c r="M489" s="31" t="s">
        <v>134</v>
      </c>
      <c r="N489" s="14" t="s">
        <v>119</v>
      </c>
      <c r="O489" s="43" t="s">
        <v>119</v>
      </c>
      <c r="P489" s="106" t="s">
        <v>119</v>
      </c>
      <c r="Q489" s="106" t="s">
        <v>119</v>
      </c>
      <c r="R489" s="106" t="s">
        <v>119</v>
      </c>
      <c r="S489" s="106" t="s">
        <v>119</v>
      </c>
      <c r="T489" s="106" t="s">
        <v>119</v>
      </c>
      <c r="U489" s="106" t="s">
        <v>119</v>
      </c>
      <c r="V489" t="s">
        <v>119</v>
      </c>
      <c r="W489" s="11" t="s">
        <v>134</v>
      </c>
      <c r="X489" s="11" t="s">
        <v>119</v>
      </c>
    </row>
    <row r="490" spans="1:24" s="11" customFormat="1" x14ac:dyDescent="0.3">
      <c r="A490" s="14" t="s">
        <v>1278</v>
      </c>
      <c r="B490" s="18" t="s">
        <v>119</v>
      </c>
      <c r="C490" s="12" t="s">
        <v>119</v>
      </c>
      <c r="D490" s="12" t="s">
        <v>119</v>
      </c>
      <c r="E490" s="14" t="s">
        <v>119</v>
      </c>
      <c r="F490" s="37" t="s">
        <v>119</v>
      </c>
      <c r="G490" s="37" t="s">
        <v>119</v>
      </c>
      <c r="H490" s="31">
        <v>2</v>
      </c>
      <c r="I490" s="31">
        <v>1</v>
      </c>
      <c r="J490" s="31" t="s">
        <v>119</v>
      </c>
      <c r="K490" s="31" t="s">
        <v>119</v>
      </c>
      <c r="L490" s="31" t="s">
        <v>119</v>
      </c>
      <c r="M490" s="31" t="s">
        <v>134</v>
      </c>
      <c r="N490" s="14" t="s">
        <v>119</v>
      </c>
      <c r="O490" s="43">
        <v>7</v>
      </c>
      <c r="P490" s="106" t="s">
        <v>119</v>
      </c>
      <c r="Q490" s="106" t="s">
        <v>119</v>
      </c>
      <c r="R490" s="106" t="s">
        <v>119</v>
      </c>
      <c r="S490" s="106" t="s">
        <v>119</v>
      </c>
      <c r="T490" s="106" t="s">
        <v>119</v>
      </c>
      <c r="U490" s="106" t="s">
        <v>119</v>
      </c>
      <c r="V490" t="s">
        <v>119</v>
      </c>
      <c r="W490" s="11" t="s">
        <v>134</v>
      </c>
      <c r="X490" s="11" t="s">
        <v>119</v>
      </c>
    </row>
    <row r="491" spans="1:24" s="11" customFormat="1" x14ac:dyDescent="0.3">
      <c r="A491" s="14" t="s">
        <v>1279</v>
      </c>
      <c r="B491" s="18" t="s">
        <v>119</v>
      </c>
      <c r="C491" s="12" t="s">
        <v>119</v>
      </c>
      <c r="D491" s="12" t="s">
        <v>119</v>
      </c>
      <c r="E491" s="14" t="s">
        <v>119</v>
      </c>
      <c r="F491" s="37" t="s">
        <v>119</v>
      </c>
      <c r="G491" s="37" t="s">
        <v>119</v>
      </c>
      <c r="H491" s="31" t="s">
        <v>119</v>
      </c>
      <c r="I491" s="31">
        <v>6</v>
      </c>
      <c r="J491" s="31" t="s">
        <v>119</v>
      </c>
      <c r="K491" s="31" t="s">
        <v>119</v>
      </c>
      <c r="L491" s="31" t="s">
        <v>119</v>
      </c>
      <c r="M491" s="31" t="s">
        <v>119</v>
      </c>
      <c r="N491" s="14" t="s">
        <v>119</v>
      </c>
      <c r="O491" s="43" t="s">
        <v>119</v>
      </c>
      <c r="P491" s="106" t="s">
        <v>119</v>
      </c>
      <c r="Q491" s="106" t="s">
        <v>119</v>
      </c>
      <c r="R491" s="106" t="s">
        <v>119</v>
      </c>
      <c r="S491" s="106" t="s">
        <v>119</v>
      </c>
      <c r="T491" s="106" t="s">
        <v>119</v>
      </c>
      <c r="U491" s="106" t="s">
        <v>119</v>
      </c>
      <c r="V491" t="s">
        <v>119</v>
      </c>
      <c r="W491" s="11" t="s">
        <v>119</v>
      </c>
      <c r="X491" s="11" t="s">
        <v>119</v>
      </c>
    </row>
    <row r="492" spans="1:24" s="11" customFormat="1" x14ac:dyDescent="0.3">
      <c r="A492" s="14" t="s">
        <v>1280</v>
      </c>
      <c r="B492" s="18" t="s">
        <v>119</v>
      </c>
      <c r="C492" s="12" t="s">
        <v>119</v>
      </c>
      <c r="D492" s="12" t="s">
        <v>119</v>
      </c>
      <c r="E492" s="14" t="s">
        <v>119</v>
      </c>
      <c r="F492" s="37" t="s">
        <v>119</v>
      </c>
      <c r="G492" s="37" t="s">
        <v>119</v>
      </c>
      <c r="H492" s="31" t="s">
        <v>119</v>
      </c>
      <c r="I492" s="31" t="s">
        <v>119</v>
      </c>
      <c r="J492" s="31" t="s">
        <v>119</v>
      </c>
      <c r="K492" s="31" t="s">
        <v>119</v>
      </c>
      <c r="L492" s="31" t="s">
        <v>119</v>
      </c>
      <c r="M492" s="31" t="s">
        <v>134</v>
      </c>
      <c r="N492" s="14" t="s">
        <v>119</v>
      </c>
      <c r="O492" s="43" t="s">
        <v>119</v>
      </c>
      <c r="P492" s="106" t="s">
        <v>119</v>
      </c>
      <c r="Q492" s="106">
        <v>1</v>
      </c>
      <c r="R492" s="106" t="s">
        <v>119</v>
      </c>
      <c r="S492" s="106" t="s">
        <v>119</v>
      </c>
      <c r="T492" s="106" t="s">
        <v>119</v>
      </c>
      <c r="U492" s="106" t="s">
        <v>119</v>
      </c>
      <c r="V492" t="s">
        <v>119</v>
      </c>
      <c r="W492" s="11" t="str">
        <f t="shared" si="7"/>
        <v>X</v>
      </c>
      <c r="X492" s="11" t="s">
        <v>119</v>
      </c>
    </row>
    <row r="493" spans="1:24" s="11" customFormat="1" x14ac:dyDescent="0.3">
      <c r="A493" s="14" t="s">
        <v>1281</v>
      </c>
      <c r="B493" s="18" t="s">
        <v>119</v>
      </c>
      <c r="C493" s="12" t="s">
        <v>119</v>
      </c>
      <c r="D493" s="12" t="s">
        <v>119</v>
      </c>
      <c r="E493" s="14" t="s">
        <v>119</v>
      </c>
      <c r="F493" s="37" t="s">
        <v>119</v>
      </c>
      <c r="G493" s="37" t="s">
        <v>119</v>
      </c>
      <c r="H493" s="31" t="s">
        <v>119</v>
      </c>
      <c r="I493" s="31" t="s">
        <v>119</v>
      </c>
      <c r="J493" s="31" t="s">
        <v>119</v>
      </c>
      <c r="K493" s="31" t="s">
        <v>119</v>
      </c>
      <c r="L493" s="31" t="s">
        <v>119</v>
      </c>
      <c r="M493" s="31" t="s">
        <v>134</v>
      </c>
      <c r="N493" s="14" t="s">
        <v>119</v>
      </c>
      <c r="O493" s="43" t="s">
        <v>119</v>
      </c>
      <c r="P493" s="106" t="s">
        <v>119</v>
      </c>
      <c r="Q493" s="106" t="s">
        <v>119</v>
      </c>
      <c r="R493" s="106" t="s">
        <v>119</v>
      </c>
      <c r="S493" s="106" t="s">
        <v>119</v>
      </c>
      <c r="T493" s="106" t="s">
        <v>119</v>
      </c>
      <c r="U493" s="106" t="s">
        <v>119</v>
      </c>
      <c r="V493" t="s">
        <v>119</v>
      </c>
      <c r="W493" s="11" t="s">
        <v>134</v>
      </c>
      <c r="X493" s="11" t="s">
        <v>119</v>
      </c>
    </row>
    <row r="494" spans="1:24" x14ac:dyDescent="0.3">
      <c r="A494" s="10" t="s">
        <v>1282</v>
      </c>
      <c r="B494" s="6" t="s">
        <v>119</v>
      </c>
      <c r="C494" s="10" t="s">
        <v>119</v>
      </c>
      <c r="D494" s="10" t="s">
        <v>119</v>
      </c>
      <c r="E494" s="10" t="s">
        <v>119</v>
      </c>
      <c r="F494" s="37" t="s">
        <v>119</v>
      </c>
      <c r="G494" s="37" t="s">
        <v>119</v>
      </c>
      <c r="H494" s="29" t="s">
        <v>119</v>
      </c>
      <c r="I494" s="29">
        <v>1</v>
      </c>
      <c r="J494" s="29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106" t="s">
        <v>119</v>
      </c>
      <c r="Q494" s="106">
        <v>1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t="s">
        <v>119</v>
      </c>
      <c r="W494" s="11" t="str">
        <f t="shared" si="7"/>
        <v>X</v>
      </c>
      <c r="X494" s="11" t="s">
        <v>119</v>
      </c>
    </row>
    <row r="495" spans="1:24" x14ac:dyDescent="0.3">
      <c r="A495" s="10" t="s">
        <v>1283</v>
      </c>
      <c r="B495" s="6" t="s">
        <v>119</v>
      </c>
      <c r="C495" s="10" t="s">
        <v>119</v>
      </c>
      <c r="D495" s="10" t="s">
        <v>119</v>
      </c>
      <c r="E495" s="10" t="s">
        <v>119</v>
      </c>
      <c r="F495" s="37" t="s">
        <v>119</v>
      </c>
      <c r="G495" s="37" t="s">
        <v>119</v>
      </c>
      <c r="H495" s="29" t="s">
        <v>119</v>
      </c>
      <c r="I495" s="29" t="s">
        <v>119</v>
      </c>
      <c r="J495" s="29" t="s">
        <v>119</v>
      </c>
      <c r="K495" s="28" t="s">
        <v>119</v>
      </c>
      <c r="L495" s="28" t="s">
        <v>119</v>
      </c>
      <c r="M495" s="28">
        <f>15+106+36+2+25</f>
        <v>184</v>
      </c>
      <c r="N495" s="1" t="s">
        <v>119</v>
      </c>
      <c r="O495" s="43" t="s">
        <v>119</v>
      </c>
      <c r="P495" s="106" t="s">
        <v>119</v>
      </c>
      <c r="Q495" s="106" t="s">
        <v>119</v>
      </c>
      <c r="R495" s="106" t="s">
        <v>119</v>
      </c>
      <c r="S495" s="106" t="s">
        <v>119</v>
      </c>
      <c r="T495" s="106" t="s">
        <v>119</v>
      </c>
      <c r="U495" s="106" t="s">
        <v>119</v>
      </c>
      <c r="V495" t="s">
        <v>119</v>
      </c>
      <c r="W495" s="11" t="s">
        <v>119</v>
      </c>
      <c r="X495" s="11" t="s">
        <v>119</v>
      </c>
    </row>
    <row r="496" spans="1:24" x14ac:dyDescent="0.3">
      <c r="A496" s="1" t="s">
        <v>88</v>
      </c>
      <c r="B496" s="2">
        <v>0</v>
      </c>
      <c r="C496" s="4">
        <v>0</v>
      </c>
      <c r="D496" s="4">
        <v>0</v>
      </c>
      <c r="E496" s="1">
        <v>6</v>
      </c>
      <c r="F496" s="37" t="s">
        <v>119</v>
      </c>
      <c r="G496" s="37" t="s">
        <v>119</v>
      </c>
      <c r="H496" s="28" t="s">
        <v>119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106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t="s">
        <v>119</v>
      </c>
      <c r="W496" s="11" t="s">
        <v>119</v>
      </c>
      <c r="X496" s="11" t="s">
        <v>134</v>
      </c>
    </row>
    <row r="497" spans="1:24" x14ac:dyDescent="0.3">
      <c r="A497" s="1" t="s">
        <v>87</v>
      </c>
      <c r="B497" s="2">
        <v>0</v>
      </c>
      <c r="C497" s="4">
        <v>0</v>
      </c>
      <c r="D497" s="4">
        <v>0</v>
      </c>
      <c r="E497" s="1">
        <v>12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 t="s">
        <v>119</v>
      </c>
      <c r="N497" s="1" t="s">
        <v>119</v>
      </c>
      <c r="O497" s="43" t="s">
        <v>119</v>
      </c>
      <c r="P497" s="106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t="s">
        <v>119</v>
      </c>
      <c r="W497" s="11" t="s">
        <v>134</v>
      </c>
      <c r="X497" s="11" t="s">
        <v>119</v>
      </c>
    </row>
    <row r="498" spans="1:24" x14ac:dyDescent="0.3">
      <c r="A498" s="1" t="s">
        <v>136</v>
      </c>
      <c r="B498" s="2" t="s">
        <v>119</v>
      </c>
      <c r="C498" s="4" t="s">
        <v>119</v>
      </c>
      <c r="D498" s="4" t="s">
        <v>119</v>
      </c>
      <c r="E498" s="1" t="s">
        <v>119</v>
      </c>
      <c r="F498" s="37" t="s">
        <v>119</v>
      </c>
      <c r="G498" s="37">
        <f>2+1+1</f>
        <v>4</v>
      </c>
      <c r="H498" s="28">
        <v>15</v>
      </c>
      <c r="I498" s="28">
        <f>14+3+8+1+7</f>
        <v>33</v>
      </c>
      <c r="J498" s="28" t="s">
        <v>119</v>
      </c>
      <c r="K498" s="28" t="s">
        <v>119</v>
      </c>
      <c r="L498" s="28">
        <f>12+10+26+2+3</f>
        <v>53</v>
      </c>
      <c r="M498" s="28" t="s">
        <v>119</v>
      </c>
      <c r="N498" s="1" t="s">
        <v>119</v>
      </c>
      <c r="O498" s="43" t="s">
        <v>119</v>
      </c>
      <c r="P498" s="106" t="s">
        <v>119</v>
      </c>
      <c r="Q498" s="106" t="s">
        <v>119</v>
      </c>
      <c r="R498" s="106" t="s">
        <v>119</v>
      </c>
      <c r="S498" s="106" t="s">
        <v>119</v>
      </c>
      <c r="T498" s="106" t="s">
        <v>119</v>
      </c>
      <c r="U498" s="106" t="s">
        <v>119</v>
      </c>
      <c r="V498" t="s">
        <v>119</v>
      </c>
      <c r="W498" s="11" t="s">
        <v>119</v>
      </c>
      <c r="X498" s="11" t="s">
        <v>134</v>
      </c>
    </row>
    <row r="499" spans="1:24" x14ac:dyDescent="0.3">
      <c r="A499" s="1" t="s">
        <v>1178</v>
      </c>
      <c r="B499" s="2" t="s">
        <v>119</v>
      </c>
      <c r="C499" s="4" t="s">
        <v>119</v>
      </c>
      <c r="D499" s="4" t="s">
        <v>119</v>
      </c>
      <c r="E499" s="1" t="s">
        <v>119</v>
      </c>
      <c r="F499" s="37" t="s">
        <v>119</v>
      </c>
      <c r="G499" s="37" t="s">
        <v>119</v>
      </c>
      <c r="H499" s="28" t="s">
        <v>119</v>
      </c>
      <c r="I499" s="28" t="s">
        <v>119</v>
      </c>
      <c r="J499" s="28">
        <v>9</v>
      </c>
      <c r="K499" s="28" t="s">
        <v>119</v>
      </c>
      <c r="L499" s="28" t="s">
        <v>119</v>
      </c>
      <c r="M499" s="28" t="s">
        <v>119</v>
      </c>
      <c r="N499" s="1" t="s">
        <v>119</v>
      </c>
      <c r="O499" s="43" t="s">
        <v>119</v>
      </c>
      <c r="P499" s="106" t="s">
        <v>119</v>
      </c>
      <c r="Q499" s="106" t="s">
        <v>119</v>
      </c>
      <c r="R499" s="106" t="s">
        <v>119</v>
      </c>
      <c r="S499" s="106" t="s">
        <v>119</v>
      </c>
      <c r="T499" s="106" t="s">
        <v>119</v>
      </c>
      <c r="U499" s="106" t="s">
        <v>119</v>
      </c>
      <c r="V499" t="s">
        <v>134</v>
      </c>
      <c r="W499" s="11" t="s">
        <v>119</v>
      </c>
      <c r="X499" s="11" t="s">
        <v>119</v>
      </c>
    </row>
    <row r="500" spans="1:24" x14ac:dyDescent="0.3">
      <c r="A500" s="4" t="s">
        <v>1179</v>
      </c>
      <c r="B500" s="2" t="s">
        <v>119</v>
      </c>
      <c r="C500" s="4" t="s">
        <v>119</v>
      </c>
      <c r="D500" s="4" t="s">
        <v>119</v>
      </c>
      <c r="E500" s="1" t="s">
        <v>119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>
        <f>54+5+5+8</f>
        <v>72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106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t="s">
        <v>134</v>
      </c>
      <c r="W500" s="11" t="s">
        <v>119</v>
      </c>
      <c r="X500" s="11" t="s">
        <v>119</v>
      </c>
    </row>
    <row r="501" spans="1:24" x14ac:dyDescent="0.3">
      <c r="A501" s="4" t="s">
        <v>470</v>
      </c>
      <c r="B501" s="2" t="s">
        <v>119</v>
      </c>
      <c r="C501" s="4" t="s">
        <v>119</v>
      </c>
      <c r="D501" s="4" t="s">
        <v>119</v>
      </c>
      <c r="E501" s="1" t="s">
        <v>119</v>
      </c>
      <c r="F501" s="37" t="s">
        <v>119</v>
      </c>
      <c r="G501" s="37" t="s">
        <v>119</v>
      </c>
      <c r="H501" s="28" t="s">
        <v>119</v>
      </c>
      <c r="I501" s="28" t="s">
        <v>119</v>
      </c>
      <c r="J501" s="28" t="s">
        <v>119</v>
      </c>
      <c r="K501" s="28">
        <v>6</v>
      </c>
      <c r="L501" s="28" t="s">
        <v>119</v>
      </c>
      <c r="M501" s="28">
        <f>2+82+20+3+5+5</f>
        <v>117</v>
      </c>
      <c r="N501" s="1" t="s">
        <v>119</v>
      </c>
      <c r="O501" s="43" t="s">
        <v>134</v>
      </c>
      <c r="P501" s="106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t="s">
        <v>119</v>
      </c>
      <c r="W501" s="11" t="s">
        <v>134</v>
      </c>
      <c r="X501" s="11" t="s">
        <v>134</v>
      </c>
    </row>
    <row r="502" spans="1:24" x14ac:dyDescent="0.3">
      <c r="A502" s="1" t="s">
        <v>1180</v>
      </c>
      <c r="B502" s="2" t="s">
        <v>119</v>
      </c>
      <c r="C502" s="4" t="s">
        <v>119</v>
      </c>
      <c r="D502" s="4" t="s">
        <v>119</v>
      </c>
      <c r="E502" s="1" t="s">
        <v>119</v>
      </c>
      <c r="F502" s="37" t="s">
        <v>119</v>
      </c>
      <c r="G502" s="37" t="s">
        <v>119</v>
      </c>
      <c r="H502" s="28" t="s">
        <v>119</v>
      </c>
      <c r="I502" s="28" t="s">
        <v>119</v>
      </c>
      <c r="J502" s="28">
        <f>1+19+30+6+29+59</f>
        <v>144</v>
      </c>
      <c r="K502" s="29" t="s">
        <v>119</v>
      </c>
      <c r="L502" s="28" t="s">
        <v>119</v>
      </c>
      <c r="M502" s="28" t="s">
        <v>119</v>
      </c>
      <c r="N502" s="1" t="s">
        <v>119</v>
      </c>
      <c r="O502" s="43" t="s">
        <v>119</v>
      </c>
      <c r="P502" s="106" t="s">
        <v>119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t="s">
        <v>134</v>
      </c>
      <c r="W502" s="11" t="s">
        <v>119</v>
      </c>
      <c r="X502" s="11" t="s">
        <v>119</v>
      </c>
    </row>
    <row r="503" spans="1:24" x14ac:dyDescent="0.3">
      <c r="A503" s="1" t="s">
        <v>86</v>
      </c>
      <c r="B503" s="2">
        <v>0</v>
      </c>
      <c r="C503" s="4">
        <v>0</v>
      </c>
      <c r="D503" s="4">
        <v>0</v>
      </c>
      <c r="E503" s="1">
        <v>10</v>
      </c>
      <c r="F503" s="37" t="s">
        <v>119</v>
      </c>
      <c r="G503" s="37" t="s">
        <v>119</v>
      </c>
      <c r="H503" s="28" t="s">
        <v>119</v>
      </c>
      <c r="I503" s="28" t="s">
        <v>119</v>
      </c>
      <c r="J503" s="28">
        <v>1</v>
      </c>
      <c r="K503" s="28">
        <v>1</v>
      </c>
      <c r="L503" s="28" t="s">
        <v>119</v>
      </c>
      <c r="M503" s="28" t="s">
        <v>134</v>
      </c>
      <c r="N503" s="1" t="s">
        <v>119</v>
      </c>
      <c r="O503" s="43" t="s">
        <v>119</v>
      </c>
      <c r="P503" s="106" t="s">
        <v>119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t="s">
        <v>119</v>
      </c>
      <c r="W503" s="11" t="s">
        <v>134</v>
      </c>
      <c r="X503" s="11" t="s">
        <v>119</v>
      </c>
    </row>
    <row r="504" spans="1:24" x14ac:dyDescent="0.3">
      <c r="A504" s="4" t="s">
        <v>1181</v>
      </c>
      <c r="B504" s="2" t="s">
        <v>119</v>
      </c>
      <c r="C504" s="4" t="s">
        <v>119</v>
      </c>
      <c r="D504" s="4" t="s">
        <v>119</v>
      </c>
      <c r="E504" s="1" t="s">
        <v>119</v>
      </c>
      <c r="F504" s="37" t="s">
        <v>119</v>
      </c>
      <c r="G504" s="37" t="s">
        <v>119</v>
      </c>
      <c r="H504" s="28" t="s">
        <v>119</v>
      </c>
      <c r="I504" s="28" t="s">
        <v>119</v>
      </c>
      <c r="J504" s="28">
        <v>24</v>
      </c>
      <c r="K504" s="28" t="s">
        <v>119</v>
      </c>
      <c r="L504" s="28" t="s">
        <v>119</v>
      </c>
      <c r="M504" s="28" t="s">
        <v>119</v>
      </c>
      <c r="N504" s="1" t="s">
        <v>119</v>
      </c>
      <c r="O504" s="43" t="s">
        <v>119</v>
      </c>
      <c r="P504" s="106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t="s">
        <v>134</v>
      </c>
      <c r="W504" s="11" t="s">
        <v>119</v>
      </c>
      <c r="X504" s="11" t="s">
        <v>119</v>
      </c>
    </row>
    <row r="505" spans="1:24" x14ac:dyDescent="0.3">
      <c r="A505" s="4" t="s">
        <v>471</v>
      </c>
      <c r="B505" s="2" t="s">
        <v>119</v>
      </c>
      <c r="C505" s="4" t="s">
        <v>119</v>
      </c>
      <c r="D505" s="4" t="s">
        <v>119</v>
      </c>
      <c r="E505" s="1" t="s">
        <v>119</v>
      </c>
      <c r="F505" s="37" t="s">
        <v>119</v>
      </c>
      <c r="G505" s="37" t="s">
        <v>119</v>
      </c>
      <c r="H505" s="28" t="s">
        <v>119</v>
      </c>
      <c r="I505" s="28" t="s">
        <v>119</v>
      </c>
      <c r="J505" s="28" t="s">
        <v>119</v>
      </c>
      <c r="K505" s="28" t="s">
        <v>119</v>
      </c>
      <c r="L505" s="28" t="s">
        <v>119</v>
      </c>
      <c r="M505" s="28" t="s">
        <v>134</v>
      </c>
      <c r="N505" s="1" t="s">
        <v>119</v>
      </c>
      <c r="O505" s="43" t="s">
        <v>119</v>
      </c>
      <c r="P505" s="106" t="s">
        <v>119</v>
      </c>
      <c r="Q505" s="106" t="s">
        <v>119</v>
      </c>
      <c r="R505" s="106" t="s">
        <v>119</v>
      </c>
      <c r="S505" s="106" t="s">
        <v>119</v>
      </c>
      <c r="T505" s="106" t="s">
        <v>119</v>
      </c>
      <c r="U505" s="106" t="s">
        <v>119</v>
      </c>
      <c r="V505" t="s">
        <v>119</v>
      </c>
      <c r="W505" s="11" t="s">
        <v>134</v>
      </c>
      <c r="X505" s="11" t="s">
        <v>119</v>
      </c>
    </row>
    <row r="506" spans="1:24" x14ac:dyDescent="0.3">
      <c r="A506" s="1" t="s">
        <v>1136</v>
      </c>
      <c r="B506" s="2" t="s">
        <v>119</v>
      </c>
      <c r="C506" s="4" t="s">
        <v>119</v>
      </c>
      <c r="D506" s="4" t="s">
        <v>119</v>
      </c>
      <c r="E506" s="1" t="s">
        <v>119</v>
      </c>
      <c r="F506" s="37" t="s">
        <v>119</v>
      </c>
      <c r="G506" s="37" t="s">
        <v>119</v>
      </c>
      <c r="H506" s="28" t="s">
        <v>119</v>
      </c>
      <c r="I506" s="28" t="s">
        <v>119</v>
      </c>
      <c r="J506" s="28" t="s">
        <v>119</v>
      </c>
      <c r="K506" s="28">
        <v>7</v>
      </c>
      <c r="L506" s="28" t="s">
        <v>119</v>
      </c>
      <c r="M506" s="28" t="s">
        <v>119</v>
      </c>
      <c r="N506" s="1" t="s">
        <v>119</v>
      </c>
      <c r="O506" s="43" t="s">
        <v>119</v>
      </c>
      <c r="P506" s="106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t="s">
        <v>134</v>
      </c>
      <c r="W506" s="11" t="s">
        <v>119</v>
      </c>
      <c r="X506" s="11" t="s">
        <v>119</v>
      </c>
    </row>
    <row r="507" spans="1:24" s="5" customFormat="1" x14ac:dyDescent="0.3">
      <c r="A507" s="10" t="s">
        <v>229</v>
      </c>
      <c r="B507" s="6" t="s">
        <v>119</v>
      </c>
      <c r="C507" s="7" t="s">
        <v>119</v>
      </c>
      <c r="D507" s="7" t="s">
        <v>119</v>
      </c>
      <c r="E507" s="10" t="s">
        <v>119</v>
      </c>
      <c r="F507" s="29" t="s">
        <v>119</v>
      </c>
      <c r="G507" s="29" t="s">
        <v>119</v>
      </c>
      <c r="H507" s="29" t="s">
        <v>119</v>
      </c>
      <c r="I507" s="29" t="s">
        <v>119</v>
      </c>
      <c r="J507" s="29">
        <v>1</v>
      </c>
      <c r="K507" s="29" t="s">
        <v>119</v>
      </c>
      <c r="L507" s="29" t="s">
        <v>119</v>
      </c>
      <c r="M507" s="29" t="s">
        <v>119</v>
      </c>
      <c r="N507" s="10" t="s">
        <v>119</v>
      </c>
      <c r="O507" s="43" t="s">
        <v>119</v>
      </c>
      <c r="P507" s="107" t="s">
        <v>119</v>
      </c>
      <c r="Q507" s="107" t="s">
        <v>119</v>
      </c>
      <c r="R507" s="107" t="s">
        <v>119</v>
      </c>
      <c r="S507" s="107" t="s">
        <v>119</v>
      </c>
      <c r="T507" s="107" t="s">
        <v>119</v>
      </c>
      <c r="U507" s="107" t="s">
        <v>119</v>
      </c>
      <c r="V507" t="s">
        <v>119</v>
      </c>
      <c r="W507" s="11" t="s">
        <v>119</v>
      </c>
      <c r="X507" s="11" t="s">
        <v>119</v>
      </c>
    </row>
    <row r="508" spans="1:24" s="11" customFormat="1" x14ac:dyDescent="0.3">
      <c r="A508" s="14" t="s">
        <v>472</v>
      </c>
      <c r="B508" s="18" t="s">
        <v>119</v>
      </c>
      <c r="C508" s="12" t="s">
        <v>119</v>
      </c>
      <c r="D508" s="12" t="s">
        <v>119</v>
      </c>
      <c r="E508" s="14" t="s">
        <v>119</v>
      </c>
      <c r="F508" s="37" t="s">
        <v>119</v>
      </c>
      <c r="G508" s="37" t="s">
        <v>119</v>
      </c>
      <c r="H508" s="31" t="s">
        <v>119</v>
      </c>
      <c r="I508" s="31">
        <v>5</v>
      </c>
      <c r="J508" s="31" t="s">
        <v>119</v>
      </c>
      <c r="K508" s="31" t="s">
        <v>119</v>
      </c>
      <c r="L508" s="31" t="s">
        <v>119</v>
      </c>
      <c r="M508" s="31" t="s">
        <v>134</v>
      </c>
      <c r="N508" s="14" t="s">
        <v>119</v>
      </c>
      <c r="O508" s="43" t="s">
        <v>119</v>
      </c>
      <c r="P508" s="106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t="s">
        <v>119</v>
      </c>
      <c r="W508" s="11" t="s">
        <v>134</v>
      </c>
      <c r="X508" s="11" t="s">
        <v>134</v>
      </c>
    </row>
    <row r="509" spans="1:24" s="11" customFormat="1" x14ac:dyDescent="0.3">
      <c r="A509" s="14" t="s">
        <v>1230</v>
      </c>
      <c r="B509" s="18" t="s">
        <v>119</v>
      </c>
      <c r="C509" s="12" t="s">
        <v>119</v>
      </c>
      <c r="D509" s="12" t="s">
        <v>119</v>
      </c>
      <c r="E509" s="14" t="s">
        <v>119</v>
      </c>
      <c r="F509" s="37" t="s">
        <v>119</v>
      </c>
      <c r="G509" s="37" t="s">
        <v>119</v>
      </c>
      <c r="H509" s="31" t="s">
        <v>119</v>
      </c>
      <c r="I509" s="31" t="s">
        <v>119</v>
      </c>
      <c r="J509" s="31">
        <v>10</v>
      </c>
      <c r="K509" s="31" t="s">
        <v>119</v>
      </c>
      <c r="L509" s="31" t="s">
        <v>119</v>
      </c>
      <c r="M509" s="31" t="s">
        <v>119</v>
      </c>
      <c r="N509" s="14" t="s">
        <v>119</v>
      </c>
      <c r="O509" s="43" t="s">
        <v>119</v>
      </c>
      <c r="P509" s="106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t="s">
        <v>134</v>
      </c>
      <c r="W509" s="11" t="s">
        <v>119</v>
      </c>
      <c r="X509" s="11" t="s">
        <v>119</v>
      </c>
    </row>
    <row r="510" spans="1:24" s="11" customFormat="1" x14ac:dyDescent="0.3">
      <c r="A510" s="14" t="s">
        <v>473</v>
      </c>
      <c r="B510" s="18" t="s">
        <v>119</v>
      </c>
      <c r="C510" s="12" t="s">
        <v>119</v>
      </c>
      <c r="D510" s="12" t="s">
        <v>119</v>
      </c>
      <c r="E510" s="14" t="s">
        <v>119</v>
      </c>
      <c r="F510" s="37" t="s">
        <v>119</v>
      </c>
      <c r="G510" s="37" t="s">
        <v>119</v>
      </c>
      <c r="H510" s="31" t="s">
        <v>119</v>
      </c>
      <c r="I510" s="31">
        <v>2</v>
      </c>
      <c r="J510" s="31" t="s">
        <v>119</v>
      </c>
      <c r="K510" s="31" t="s">
        <v>119</v>
      </c>
      <c r="L510" s="31" t="s">
        <v>119</v>
      </c>
      <c r="M510" s="31" t="s">
        <v>134</v>
      </c>
      <c r="N510" s="14" t="s">
        <v>119</v>
      </c>
      <c r="O510" s="43" t="s">
        <v>119</v>
      </c>
      <c r="P510" s="106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t="s">
        <v>119</v>
      </c>
      <c r="W510" s="11" t="s">
        <v>134</v>
      </c>
      <c r="X510" s="11" t="s">
        <v>134</v>
      </c>
    </row>
    <row r="511" spans="1:24" s="11" customFormat="1" x14ac:dyDescent="0.3">
      <c r="A511" s="14" t="s">
        <v>723</v>
      </c>
      <c r="B511" s="18" t="s">
        <v>119</v>
      </c>
      <c r="C511" s="12" t="s">
        <v>119</v>
      </c>
      <c r="D511" s="12" t="s">
        <v>119</v>
      </c>
      <c r="E511" s="14" t="s">
        <v>119</v>
      </c>
      <c r="F511" s="37" t="s">
        <v>119</v>
      </c>
      <c r="G511" s="37" t="s">
        <v>119</v>
      </c>
      <c r="H511" s="31" t="s">
        <v>119</v>
      </c>
      <c r="I511" s="31">
        <v>1</v>
      </c>
      <c r="J511" s="31" t="s">
        <v>119</v>
      </c>
      <c r="K511" s="31" t="s">
        <v>119</v>
      </c>
      <c r="L511" s="31" t="s">
        <v>119</v>
      </c>
      <c r="M511" s="31" t="s">
        <v>119</v>
      </c>
      <c r="N511" s="14" t="s">
        <v>119</v>
      </c>
      <c r="O511" s="43" t="s">
        <v>119</v>
      </c>
      <c r="P511" s="106" t="s">
        <v>119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t="s">
        <v>119</v>
      </c>
      <c r="W511" s="11" t="s">
        <v>134</v>
      </c>
      <c r="X511" s="11" t="s">
        <v>119</v>
      </c>
    </row>
    <row r="512" spans="1:24" s="11" customFormat="1" x14ac:dyDescent="0.3">
      <c r="A512" s="14" t="s">
        <v>474</v>
      </c>
      <c r="B512" s="18" t="s">
        <v>119</v>
      </c>
      <c r="C512" s="12" t="s">
        <v>119</v>
      </c>
      <c r="D512" s="12" t="s">
        <v>119</v>
      </c>
      <c r="E512" s="14" t="s">
        <v>119</v>
      </c>
      <c r="F512" s="37" t="s">
        <v>119</v>
      </c>
      <c r="G512" s="37" t="s">
        <v>119</v>
      </c>
      <c r="H512" s="31" t="s">
        <v>119</v>
      </c>
      <c r="I512" s="31" t="s">
        <v>119</v>
      </c>
      <c r="J512" s="31" t="s">
        <v>119</v>
      </c>
      <c r="K512" s="31">
        <v>1</v>
      </c>
      <c r="L512" s="31" t="s">
        <v>119</v>
      </c>
      <c r="M512" s="31">
        <f>6+1+4+6+10</f>
        <v>27</v>
      </c>
      <c r="N512" s="14" t="s">
        <v>119</v>
      </c>
      <c r="O512" s="43" t="s">
        <v>119</v>
      </c>
      <c r="P512" s="106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t="s">
        <v>119</v>
      </c>
      <c r="W512" s="11" t="s">
        <v>134</v>
      </c>
      <c r="X512" s="11" t="s">
        <v>134</v>
      </c>
    </row>
    <row r="513" spans="1:24" s="11" customFormat="1" x14ac:dyDescent="0.3">
      <c r="A513" s="14" t="s">
        <v>831</v>
      </c>
      <c r="B513" s="18" t="s">
        <v>119</v>
      </c>
      <c r="C513" s="12" t="s">
        <v>119</v>
      </c>
      <c r="D513" s="12" t="s">
        <v>119</v>
      </c>
      <c r="E513" s="14" t="s">
        <v>119</v>
      </c>
      <c r="F513" s="37" t="s">
        <v>119</v>
      </c>
      <c r="G513" s="37" t="s">
        <v>119</v>
      </c>
      <c r="H513" s="31" t="s">
        <v>119</v>
      </c>
      <c r="I513" s="31" t="s">
        <v>119</v>
      </c>
      <c r="J513" s="31" t="s">
        <v>119</v>
      </c>
      <c r="K513" s="31" t="s">
        <v>119</v>
      </c>
      <c r="L513" s="31" t="s">
        <v>119</v>
      </c>
      <c r="M513" s="31" t="s">
        <v>119</v>
      </c>
      <c r="N513" s="14" t="s">
        <v>119</v>
      </c>
      <c r="O513" s="43" t="s">
        <v>119</v>
      </c>
      <c r="P513" s="106" t="s">
        <v>119</v>
      </c>
      <c r="Q513" s="106" t="s">
        <v>119</v>
      </c>
      <c r="R513" s="106" t="s">
        <v>119</v>
      </c>
      <c r="S513" s="106">
        <v>14</v>
      </c>
      <c r="T513" s="106" t="s">
        <v>119</v>
      </c>
      <c r="U513" s="106" t="s">
        <v>119</v>
      </c>
      <c r="V513" t="s">
        <v>119</v>
      </c>
      <c r="W513" s="11" t="str">
        <f t="shared" si="7"/>
        <v>X</v>
      </c>
      <c r="X513" s="11" t="s">
        <v>119</v>
      </c>
    </row>
    <row r="514" spans="1:24" s="11" customFormat="1" x14ac:dyDescent="0.3">
      <c r="A514" s="14" t="s">
        <v>724</v>
      </c>
      <c r="B514" s="18" t="s">
        <v>119</v>
      </c>
      <c r="C514" s="12" t="s">
        <v>119</v>
      </c>
      <c r="D514" s="12" t="s">
        <v>119</v>
      </c>
      <c r="E514" s="14" t="s">
        <v>119</v>
      </c>
      <c r="F514" s="37" t="s">
        <v>119</v>
      </c>
      <c r="G514" s="37" t="s">
        <v>119</v>
      </c>
      <c r="H514" s="31" t="s">
        <v>119</v>
      </c>
      <c r="I514" s="31">
        <v>1</v>
      </c>
      <c r="J514" s="31" t="s">
        <v>119</v>
      </c>
      <c r="K514" s="31" t="s">
        <v>119</v>
      </c>
      <c r="L514" s="31" t="s">
        <v>119</v>
      </c>
      <c r="M514" s="31" t="s">
        <v>119</v>
      </c>
      <c r="N514" s="14" t="s">
        <v>119</v>
      </c>
      <c r="O514" s="43" t="s">
        <v>119</v>
      </c>
      <c r="P514" s="106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t="s">
        <v>119</v>
      </c>
      <c r="W514" s="11" t="s">
        <v>119</v>
      </c>
      <c r="X514" s="11" t="s">
        <v>119</v>
      </c>
    </row>
    <row r="515" spans="1:24" x14ac:dyDescent="0.3">
      <c r="A515" s="14" t="s">
        <v>230</v>
      </c>
      <c r="B515" s="2" t="s">
        <v>119</v>
      </c>
      <c r="C515" s="14" t="s">
        <v>119</v>
      </c>
      <c r="D515" s="14" t="s">
        <v>119</v>
      </c>
      <c r="E515" s="1" t="s">
        <v>119</v>
      </c>
      <c r="F515" s="37">
        <v>4</v>
      </c>
      <c r="G515" s="37" t="s">
        <v>119</v>
      </c>
      <c r="H515" s="28" t="s">
        <v>119</v>
      </c>
      <c r="I515" s="28" t="s">
        <v>119</v>
      </c>
      <c r="J515" s="28">
        <v>7</v>
      </c>
      <c r="K515" s="31" t="s">
        <v>119</v>
      </c>
      <c r="L515" s="28" t="s">
        <v>119</v>
      </c>
      <c r="M515" s="28" t="s">
        <v>134</v>
      </c>
      <c r="N515" s="1" t="s">
        <v>119</v>
      </c>
      <c r="O515" s="43" t="s">
        <v>119</v>
      </c>
      <c r="P515" s="106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t="s">
        <v>119</v>
      </c>
      <c r="W515" s="11" t="s">
        <v>134</v>
      </c>
      <c r="X515" s="11" t="s">
        <v>134</v>
      </c>
    </row>
    <row r="516" spans="1:24" x14ac:dyDescent="0.3">
      <c r="A516" s="14" t="s">
        <v>687</v>
      </c>
      <c r="B516" s="2" t="s">
        <v>119</v>
      </c>
      <c r="C516" s="14" t="s">
        <v>119</v>
      </c>
      <c r="D516" s="14" t="s">
        <v>119</v>
      </c>
      <c r="E516" s="1" t="s">
        <v>119</v>
      </c>
      <c r="F516" s="37" t="s">
        <v>119</v>
      </c>
      <c r="G516" s="37" t="s">
        <v>119</v>
      </c>
      <c r="H516" s="28">
        <v>1</v>
      </c>
      <c r="I516" s="28" t="s">
        <v>119</v>
      </c>
      <c r="J516" s="28" t="s">
        <v>119</v>
      </c>
      <c r="K516" s="31" t="s">
        <v>119</v>
      </c>
      <c r="L516" s="28">
        <v>2</v>
      </c>
      <c r="M516" s="28" t="s">
        <v>119</v>
      </c>
      <c r="N516" s="1" t="s">
        <v>119</v>
      </c>
      <c r="O516" s="43" t="s">
        <v>119</v>
      </c>
      <c r="P516" s="106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t="s">
        <v>119</v>
      </c>
      <c r="W516" s="11" t="s">
        <v>119</v>
      </c>
      <c r="X516" s="11" t="s">
        <v>134</v>
      </c>
    </row>
    <row r="517" spans="1:24" s="5" customFormat="1" x14ac:dyDescent="0.3">
      <c r="A517" s="10" t="s">
        <v>854</v>
      </c>
      <c r="B517" s="6" t="s">
        <v>119</v>
      </c>
      <c r="C517" s="10" t="s">
        <v>119</v>
      </c>
      <c r="D517" s="10" t="s">
        <v>119</v>
      </c>
      <c r="E517" s="10" t="s">
        <v>119</v>
      </c>
      <c r="F517" s="29" t="s">
        <v>119</v>
      </c>
      <c r="G517" s="29" t="s">
        <v>119</v>
      </c>
      <c r="H517" s="29" t="s">
        <v>119</v>
      </c>
      <c r="I517" s="29" t="s">
        <v>119</v>
      </c>
      <c r="J517" s="29" t="s">
        <v>119</v>
      </c>
      <c r="K517" s="29" t="s">
        <v>119</v>
      </c>
      <c r="L517" s="29" t="s">
        <v>119</v>
      </c>
      <c r="M517" s="29" t="s">
        <v>119</v>
      </c>
      <c r="N517" s="10" t="s">
        <v>119</v>
      </c>
      <c r="O517" s="43" t="s">
        <v>119</v>
      </c>
      <c r="P517" s="107" t="s">
        <v>119</v>
      </c>
      <c r="Q517" s="107">
        <v>1</v>
      </c>
      <c r="R517" s="107" t="s">
        <v>119</v>
      </c>
      <c r="S517" s="107">
        <v>1</v>
      </c>
      <c r="T517" s="107" t="s">
        <v>119</v>
      </c>
      <c r="U517" s="107" t="s">
        <v>119</v>
      </c>
      <c r="V517" t="s">
        <v>119</v>
      </c>
      <c r="W517" s="11" t="str">
        <f t="shared" si="7"/>
        <v>X</v>
      </c>
      <c r="X517" s="11" t="s">
        <v>119</v>
      </c>
    </row>
    <row r="518" spans="1:24" s="5" customFormat="1" x14ac:dyDescent="0.3">
      <c r="A518" s="10" t="s">
        <v>725</v>
      </c>
      <c r="B518" s="6" t="s">
        <v>119</v>
      </c>
      <c r="C518" s="10" t="s">
        <v>119</v>
      </c>
      <c r="D518" s="10" t="s">
        <v>119</v>
      </c>
      <c r="E518" s="10" t="s">
        <v>119</v>
      </c>
      <c r="F518" s="29" t="s">
        <v>119</v>
      </c>
      <c r="G518" s="29" t="s">
        <v>119</v>
      </c>
      <c r="H518" s="29" t="s">
        <v>119</v>
      </c>
      <c r="I518" s="29">
        <v>1</v>
      </c>
      <c r="J518" s="29" t="s">
        <v>119</v>
      </c>
      <c r="K518" s="29" t="s">
        <v>119</v>
      </c>
      <c r="L518" s="29" t="s">
        <v>119</v>
      </c>
      <c r="M518" s="29" t="s">
        <v>119</v>
      </c>
      <c r="N518" s="10" t="s">
        <v>119</v>
      </c>
      <c r="O518" s="43" t="s">
        <v>119</v>
      </c>
      <c r="P518" s="107" t="s">
        <v>119</v>
      </c>
      <c r="Q518" s="107" t="s">
        <v>119</v>
      </c>
      <c r="R518" s="107" t="s">
        <v>119</v>
      </c>
      <c r="S518" s="107" t="s">
        <v>119</v>
      </c>
      <c r="T518" s="107" t="s">
        <v>119</v>
      </c>
      <c r="U518" s="107" t="s">
        <v>119</v>
      </c>
      <c r="V518" t="s">
        <v>119</v>
      </c>
      <c r="W518" s="11" t="s">
        <v>119</v>
      </c>
      <c r="X518" s="11" t="s">
        <v>119</v>
      </c>
    </row>
    <row r="519" spans="1:24" s="5" customFormat="1" x14ac:dyDescent="0.3">
      <c r="A519" s="10" t="s">
        <v>726</v>
      </c>
      <c r="B519" s="6" t="s">
        <v>119</v>
      </c>
      <c r="C519" s="10" t="s">
        <v>119</v>
      </c>
      <c r="D519" s="10" t="s">
        <v>119</v>
      </c>
      <c r="E519" s="10" t="s">
        <v>119</v>
      </c>
      <c r="F519" s="29" t="s">
        <v>119</v>
      </c>
      <c r="G519" s="29" t="s">
        <v>119</v>
      </c>
      <c r="H519" s="29" t="s">
        <v>119</v>
      </c>
      <c r="I519" s="29">
        <v>1</v>
      </c>
      <c r="J519" s="29" t="s">
        <v>119</v>
      </c>
      <c r="K519" s="29" t="s">
        <v>119</v>
      </c>
      <c r="L519" s="29" t="s">
        <v>119</v>
      </c>
      <c r="M519" s="29" t="s">
        <v>119</v>
      </c>
      <c r="N519" s="10" t="s">
        <v>119</v>
      </c>
      <c r="O519" s="43" t="s">
        <v>119</v>
      </c>
      <c r="P519" s="107" t="s">
        <v>119</v>
      </c>
      <c r="Q519" s="107" t="s">
        <v>119</v>
      </c>
      <c r="R519" s="107" t="s">
        <v>119</v>
      </c>
      <c r="S519" s="107" t="s">
        <v>119</v>
      </c>
      <c r="T519" s="107" t="s">
        <v>119</v>
      </c>
      <c r="U519" s="107" t="s">
        <v>119</v>
      </c>
      <c r="V519" t="s">
        <v>119</v>
      </c>
      <c r="W519" s="11" t="s">
        <v>119</v>
      </c>
      <c r="X519" s="11" t="s">
        <v>119</v>
      </c>
    </row>
    <row r="520" spans="1:24" s="11" customFormat="1" x14ac:dyDescent="0.3">
      <c r="A520" s="14" t="s">
        <v>853</v>
      </c>
      <c r="B520" s="18" t="s">
        <v>119</v>
      </c>
      <c r="C520" s="14" t="s">
        <v>119</v>
      </c>
      <c r="D520" s="14" t="s">
        <v>119</v>
      </c>
      <c r="E520" s="14" t="s">
        <v>119</v>
      </c>
      <c r="F520" s="37" t="s">
        <v>119</v>
      </c>
      <c r="G520" s="31" t="s">
        <v>119</v>
      </c>
      <c r="H520" s="31" t="s">
        <v>119</v>
      </c>
      <c r="I520" s="31" t="s">
        <v>119</v>
      </c>
      <c r="J520" s="31" t="s">
        <v>119</v>
      </c>
      <c r="K520" s="31" t="s">
        <v>119</v>
      </c>
      <c r="L520" s="31" t="s">
        <v>119</v>
      </c>
      <c r="M520" s="31" t="s">
        <v>119</v>
      </c>
      <c r="N520" s="14" t="s">
        <v>119</v>
      </c>
      <c r="O520" s="43" t="s">
        <v>119</v>
      </c>
      <c r="P520" s="108" t="s">
        <v>119</v>
      </c>
      <c r="Q520" s="108">
        <v>1</v>
      </c>
      <c r="R520" s="108" t="s">
        <v>119</v>
      </c>
      <c r="S520" s="108" t="s">
        <v>119</v>
      </c>
      <c r="T520" s="106" t="s">
        <v>119</v>
      </c>
      <c r="U520" s="106" t="s">
        <v>119</v>
      </c>
      <c r="V520" t="s">
        <v>119</v>
      </c>
      <c r="W520" s="11" t="str">
        <f t="shared" si="7"/>
        <v>X</v>
      </c>
      <c r="X520" s="11" t="s">
        <v>119</v>
      </c>
    </row>
    <row r="521" spans="1:24" s="11" customFormat="1" x14ac:dyDescent="0.3">
      <c r="A521" s="14" t="s">
        <v>1182</v>
      </c>
      <c r="B521" s="18" t="s">
        <v>119</v>
      </c>
      <c r="C521" s="14" t="s">
        <v>119</v>
      </c>
      <c r="D521" s="14" t="s">
        <v>119</v>
      </c>
      <c r="E521" s="14" t="s">
        <v>119</v>
      </c>
      <c r="F521" s="37" t="s">
        <v>119</v>
      </c>
      <c r="G521" s="31" t="s">
        <v>119</v>
      </c>
      <c r="H521" s="31" t="s">
        <v>119</v>
      </c>
      <c r="I521" s="31" t="s">
        <v>119</v>
      </c>
      <c r="J521" s="31">
        <v>2</v>
      </c>
      <c r="K521" s="31" t="s">
        <v>119</v>
      </c>
      <c r="L521" s="31" t="s">
        <v>119</v>
      </c>
      <c r="M521" s="31" t="s">
        <v>119</v>
      </c>
      <c r="N521" s="14" t="s">
        <v>119</v>
      </c>
      <c r="O521" s="43" t="s">
        <v>119</v>
      </c>
      <c r="P521" s="108" t="s">
        <v>119</v>
      </c>
      <c r="Q521" s="108" t="s">
        <v>119</v>
      </c>
      <c r="R521" s="108" t="s">
        <v>119</v>
      </c>
      <c r="S521" s="108" t="s">
        <v>119</v>
      </c>
      <c r="T521" s="106" t="s">
        <v>119</v>
      </c>
      <c r="U521" s="106" t="s">
        <v>119</v>
      </c>
      <c r="V521" t="s">
        <v>134</v>
      </c>
      <c r="W521" s="11" t="s">
        <v>119</v>
      </c>
      <c r="X521" s="11" t="s">
        <v>119</v>
      </c>
    </row>
    <row r="522" spans="1:24" x14ac:dyDescent="0.3">
      <c r="A522" s="14" t="s">
        <v>102</v>
      </c>
      <c r="B522" s="2">
        <v>192</v>
      </c>
      <c r="C522" s="14">
        <v>9</v>
      </c>
      <c r="D522" s="14">
        <v>0</v>
      </c>
      <c r="E522" s="1">
        <v>3</v>
      </c>
      <c r="F522" s="37" t="s">
        <v>119</v>
      </c>
      <c r="G522" s="37" t="s">
        <v>119</v>
      </c>
      <c r="H522" s="28" t="s">
        <v>119</v>
      </c>
      <c r="I522" s="28" t="s">
        <v>119</v>
      </c>
      <c r="J522" s="28" t="s">
        <v>119</v>
      </c>
      <c r="K522" s="28" t="s">
        <v>119</v>
      </c>
      <c r="L522" s="28" t="s">
        <v>119</v>
      </c>
      <c r="M522" s="28" t="s">
        <v>119</v>
      </c>
      <c r="N522" s="1" t="s">
        <v>119</v>
      </c>
      <c r="O522" s="43" t="s">
        <v>119</v>
      </c>
      <c r="P522" s="106" t="s">
        <v>119</v>
      </c>
      <c r="Q522" s="106" t="s">
        <v>119</v>
      </c>
      <c r="R522" s="106" t="s">
        <v>119</v>
      </c>
      <c r="S522" s="106">
        <f>9+12+12</f>
        <v>33</v>
      </c>
      <c r="T522" s="106" t="s">
        <v>119</v>
      </c>
      <c r="U522" s="106" t="s">
        <v>119</v>
      </c>
      <c r="V522" t="s">
        <v>119</v>
      </c>
      <c r="W522" s="11" t="str">
        <f t="shared" ref="W522:W590" si="8">IF(SUM(P522:U522)&gt;=1,"X","")</f>
        <v>X</v>
      </c>
      <c r="X522" s="11" t="s">
        <v>119</v>
      </c>
    </row>
    <row r="523" spans="1:24" x14ac:dyDescent="0.3">
      <c r="A523" s="14" t="s">
        <v>475</v>
      </c>
      <c r="B523" s="2" t="s">
        <v>119</v>
      </c>
      <c r="C523" s="14" t="s">
        <v>119</v>
      </c>
      <c r="D523" s="14" t="s">
        <v>119</v>
      </c>
      <c r="E523" s="1" t="s">
        <v>119</v>
      </c>
      <c r="F523" s="37" t="s">
        <v>119</v>
      </c>
      <c r="G523" s="37" t="s">
        <v>119</v>
      </c>
      <c r="H523" s="28" t="s">
        <v>119</v>
      </c>
      <c r="I523" s="28" t="s">
        <v>119</v>
      </c>
      <c r="J523" s="28" t="s">
        <v>119</v>
      </c>
      <c r="K523" s="28" t="s">
        <v>119</v>
      </c>
      <c r="L523" s="28" t="s">
        <v>119</v>
      </c>
      <c r="M523" s="28">
        <f>1+2+5+3+1+6+56+3+4+1+1+10+3</f>
        <v>96</v>
      </c>
      <c r="N523" s="1" t="s">
        <v>119</v>
      </c>
      <c r="O523" s="43" t="s">
        <v>119</v>
      </c>
      <c r="P523" s="106" t="s">
        <v>119</v>
      </c>
      <c r="Q523" s="106">
        <v>1</v>
      </c>
      <c r="R523" s="106" t="s">
        <v>119</v>
      </c>
      <c r="S523" s="106">
        <v>1</v>
      </c>
      <c r="T523" s="106" t="s">
        <v>119</v>
      </c>
      <c r="U523" s="106" t="s">
        <v>119</v>
      </c>
      <c r="V523" t="s">
        <v>119</v>
      </c>
      <c r="W523" s="11" t="str">
        <f t="shared" si="8"/>
        <v>X</v>
      </c>
      <c r="X523" s="11" t="s">
        <v>119</v>
      </c>
    </row>
    <row r="524" spans="1:24" x14ac:dyDescent="0.3">
      <c r="A524" s="14" t="s">
        <v>476</v>
      </c>
      <c r="B524" s="2" t="s">
        <v>119</v>
      </c>
      <c r="C524" s="14" t="s">
        <v>119</v>
      </c>
      <c r="D524" s="14" t="s">
        <v>119</v>
      </c>
      <c r="E524" s="1" t="s">
        <v>119</v>
      </c>
      <c r="F524" s="37" t="s">
        <v>119</v>
      </c>
      <c r="G524" s="37" t="s">
        <v>119</v>
      </c>
      <c r="H524" s="28" t="s">
        <v>119</v>
      </c>
      <c r="I524" s="28" t="s">
        <v>119</v>
      </c>
      <c r="J524" s="28" t="s">
        <v>119</v>
      </c>
      <c r="K524" s="28" t="s">
        <v>119</v>
      </c>
      <c r="L524" s="28" t="s">
        <v>119</v>
      </c>
      <c r="M524" s="28">
        <v>2</v>
      </c>
      <c r="N524" s="1" t="s">
        <v>119</v>
      </c>
      <c r="O524" s="43" t="s">
        <v>119</v>
      </c>
      <c r="P524" s="106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t="s">
        <v>119</v>
      </c>
      <c r="W524" s="11" t="s">
        <v>134</v>
      </c>
      <c r="X524" s="11" t="s">
        <v>134</v>
      </c>
    </row>
    <row r="525" spans="1:24" s="5" customFormat="1" x14ac:dyDescent="0.3">
      <c r="A525" s="10" t="s">
        <v>330</v>
      </c>
      <c r="B525" s="6" t="s">
        <v>119</v>
      </c>
      <c r="C525" s="10" t="s">
        <v>119</v>
      </c>
      <c r="D525" s="10" t="s">
        <v>119</v>
      </c>
      <c r="E525" s="10" t="s">
        <v>119</v>
      </c>
      <c r="F525" s="29" t="s">
        <v>119</v>
      </c>
      <c r="G525" s="29">
        <v>3</v>
      </c>
      <c r="H525" s="29" t="s">
        <v>119</v>
      </c>
      <c r="I525" s="29" t="s">
        <v>119</v>
      </c>
      <c r="J525" s="29" t="s">
        <v>119</v>
      </c>
      <c r="K525" s="29" t="s">
        <v>119</v>
      </c>
      <c r="L525" s="29" t="s">
        <v>119</v>
      </c>
      <c r="M525" s="29">
        <v>2</v>
      </c>
      <c r="N525" s="10" t="s">
        <v>119</v>
      </c>
      <c r="O525" s="43" t="s">
        <v>119</v>
      </c>
      <c r="P525" s="107" t="s">
        <v>119</v>
      </c>
      <c r="Q525" s="107" t="s">
        <v>119</v>
      </c>
      <c r="R525" s="107" t="s">
        <v>119</v>
      </c>
      <c r="S525" s="107" t="s">
        <v>119</v>
      </c>
      <c r="T525" s="107" t="s">
        <v>119</v>
      </c>
      <c r="U525" s="107" t="s">
        <v>119</v>
      </c>
      <c r="V525" t="s">
        <v>119</v>
      </c>
      <c r="W525" s="11" t="s">
        <v>119</v>
      </c>
      <c r="X525" s="11" t="s">
        <v>119</v>
      </c>
    </row>
    <row r="526" spans="1:24" s="5" customFormat="1" x14ac:dyDescent="0.3">
      <c r="A526" s="10" t="s">
        <v>1033</v>
      </c>
      <c r="B526" s="6" t="s">
        <v>119</v>
      </c>
      <c r="C526" s="10" t="s">
        <v>119</v>
      </c>
      <c r="D526" s="10" t="s">
        <v>119</v>
      </c>
      <c r="E526" s="10" t="s">
        <v>119</v>
      </c>
      <c r="F526" s="29" t="s">
        <v>119</v>
      </c>
      <c r="G526" s="29" t="s">
        <v>119</v>
      </c>
      <c r="H526" s="29" t="s">
        <v>119</v>
      </c>
      <c r="I526" s="29" t="s">
        <v>119</v>
      </c>
      <c r="J526" s="29" t="s">
        <v>119</v>
      </c>
      <c r="K526" s="29" t="s">
        <v>119</v>
      </c>
      <c r="L526" s="29" t="s">
        <v>119</v>
      </c>
      <c r="M526" s="29" t="s">
        <v>119</v>
      </c>
      <c r="N526" s="10" t="s">
        <v>119</v>
      </c>
      <c r="O526" s="43" t="s">
        <v>119</v>
      </c>
      <c r="P526" s="107" t="s">
        <v>119</v>
      </c>
      <c r="Q526" s="107" t="s">
        <v>119</v>
      </c>
      <c r="R526" s="107" t="s">
        <v>119</v>
      </c>
      <c r="S526" s="107">
        <v>57</v>
      </c>
      <c r="T526" s="107">
        <v>1</v>
      </c>
      <c r="U526" s="107">
        <v>2</v>
      </c>
      <c r="V526" t="s">
        <v>119</v>
      </c>
      <c r="W526" s="11" t="s">
        <v>119</v>
      </c>
      <c r="X526" s="11" t="s">
        <v>119</v>
      </c>
    </row>
    <row r="527" spans="1:24" s="82" customFormat="1" x14ac:dyDescent="0.3">
      <c r="A527" s="79" t="s">
        <v>477</v>
      </c>
      <c r="B527" s="80" t="s">
        <v>119</v>
      </c>
      <c r="C527" s="79" t="s">
        <v>119</v>
      </c>
      <c r="D527" s="79" t="s">
        <v>119</v>
      </c>
      <c r="E527" s="79" t="s">
        <v>119</v>
      </c>
      <c r="F527" s="37" t="s">
        <v>119</v>
      </c>
      <c r="G527" s="37" t="s">
        <v>119</v>
      </c>
      <c r="H527" s="81" t="s">
        <v>119</v>
      </c>
      <c r="I527" s="81" t="s">
        <v>119</v>
      </c>
      <c r="J527" s="81" t="s">
        <v>119</v>
      </c>
      <c r="K527" s="81" t="s">
        <v>119</v>
      </c>
      <c r="L527" s="81" t="s">
        <v>119</v>
      </c>
      <c r="M527" s="81" t="s">
        <v>134</v>
      </c>
      <c r="N527" s="79" t="s">
        <v>119</v>
      </c>
      <c r="O527" s="43" t="s">
        <v>119</v>
      </c>
      <c r="P527" s="106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t="s">
        <v>119</v>
      </c>
      <c r="W527" s="11" t="s">
        <v>119</v>
      </c>
      <c r="X527" s="11" t="s">
        <v>119</v>
      </c>
    </row>
    <row r="528" spans="1:24" s="11" customFormat="1" x14ac:dyDescent="0.3">
      <c r="A528" s="14" t="s">
        <v>666</v>
      </c>
      <c r="B528" s="18" t="s">
        <v>119</v>
      </c>
      <c r="C528" s="14" t="s">
        <v>119</v>
      </c>
      <c r="D528" s="14" t="s">
        <v>119</v>
      </c>
      <c r="E528" s="14" t="s">
        <v>119</v>
      </c>
      <c r="F528" s="37" t="s">
        <v>119</v>
      </c>
      <c r="G528" s="37" t="s">
        <v>119</v>
      </c>
      <c r="H528" s="31" t="s">
        <v>119</v>
      </c>
      <c r="I528" s="31" t="s">
        <v>119</v>
      </c>
      <c r="J528" s="31" t="s">
        <v>119</v>
      </c>
      <c r="K528" s="31" t="s">
        <v>119</v>
      </c>
      <c r="L528" s="31" t="s">
        <v>119</v>
      </c>
      <c r="M528" s="31" t="s">
        <v>119</v>
      </c>
      <c r="N528" s="14">
        <v>4</v>
      </c>
      <c r="O528" s="43" t="s">
        <v>119</v>
      </c>
      <c r="P528" s="106" t="s">
        <v>119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t="s">
        <v>119</v>
      </c>
      <c r="W528" s="11" t="s">
        <v>119</v>
      </c>
      <c r="X528" s="11" t="s">
        <v>134</v>
      </c>
    </row>
    <row r="529" spans="1:24" s="11" customFormat="1" x14ac:dyDescent="0.3">
      <c r="A529" s="14" t="s">
        <v>478</v>
      </c>
      <c r="B529" s="18" t="s">
        <v>119</v>
      </c>
      <c r="C529" s="14" t="s">
        <v>119</v>
      </c>
      <c r="D529" s="14" t="s">
        <v>119</v>
      </c>
      <c r="E529" s="14" t="s">
        <v>119</v>
      </c>
      <c r="F529" s="37" t="s">
        <v>119</v>
      </c>
      <c r="G529" s="37" t="s">
        <v>119</v>
      </c>
      <c r="H529" s="31" t="s">
        <v>119</v>
      </c>
      <c r="I529" s="31" t="s">
        <v>119</v>
      </c>
      <c r="J529" s="31" t="s">
        <v>119</v>
      </c>
      <c r="K529" s="31" t="s">
        <v>119</v>
      </c>
      <c r="L529" s="31" t="s">
        <v>119</v>
      </c>
      <c r="M529" s="31">
        <v>2</v>
      </c>
      <c r="N529" s="14" t="s">
        <v>119</v>
      </c>
      <c r="O529" s="43" t="s">
        <v>119</v>
      </c>
      <c r="P529" s="106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t="s">
        <v>119</v>
      </c>
      <c r="W529" s="11" t="s">
        <v>119</v>
      </c>
      <c r="X529" s="11" t="s">
        <v>119</v>
      </c>
    </row>
    <row r="530" spans="1:24" s="11" customFormat="1" x14ac:dyDescent="0.3">
      <c r="A530" s="14" t="s">
        <v>479</v>
      </c>
      <c r="B530" s="18" t="s">
        <v>119</v>
      </c>
      <c r="C530" s="14" t="s">
        <v>119</v>
      </c>
      <c r="D530" s="14" t="s">
        <v>119</v>
      </c>
      <c r="E530" s="14" t="s">
        <v>119</v>
      </c>
      <c r="F530" s="37" t="s">
        <v>119</v>
      </c>
      <c r="G530" s="37" t="s">
        <v>119</v>
      </c>
      <c r="H530" s="31" t="s">
        <v>119</v>
      </c>
      <c r="I530" s="31" t="s">
        <v>119</v>
      </c>
      <c r="J530" s="31" t="s">
        <v>119</v>
      </c>
      <c r="K530" s="31" t="s">
        <v>119</v>
      </c>
      <c r="L530" s="31" t="s">
        <v>119</v>
      </c>
      <c r="M530" s="31">
        <v>11</v>
      </c>
      <c r="N530" s="14" t="s">
        <v>119</v>
      </c>
      <c r="O530" s="43" t="s">
        <v>119</v>
      </c>
      <c r="P530" s="106" t="s">
        <v>119</v>
      </c>
      <c r="Q530" s="106" t="s">
        <v>119</v>
      </c>
      <c r="R530" s="106" t="s">
        <v>119</v>
      </c>
      <c r="S530" s="106" t="s">
        <v>119</v>
      </c>
      <c r="T530" s="106" t="s">
        <v>119</v>
      </c>
      <c r="U530" s="106" t="s">
        <v>119</v>
      </c>
      <c r="V530" t="s">
        <v>119</v>
      </c>
      <c r="W530" s="11" t="s">
        <v>134</v>
      </c>
      <c r="X530" s="11" t="s">
        <v>119</v>
      </c>
    </row>
    <row r="531" spans="1:24" s="11" customFormat="1" x14ac:dyDescent="0.3">
      <c r="A531" s="14" t="s">
        <v>480</v>
      </c>
      <c r="B531" s="18" t="s">
        <v>119</v>
      </c>
      <c r="C531" s="14" t="s">
        <v>119</v>
      </c>
      <c r="D531" s="14" t="s">
        <v>119</v>
      </c>
      <c r="E531" s="14" t="s">
        <v>119</v>
      </c>
      <c r="F531" s="37" t="s">
        <v>119</v>
      </c>
      <c r="G531" s="37" t="s">
        <v>119</v>
      </c>
      <c r="H531" s="31" t="s">
        <v>119</v>
      </c>
      <c r="I531" s="31" t="s">
        <v>119</v>
      </c>
      <c r="J531" s="31" t="s">
        <v>119</v>
      </c>
      <c r="K531" s="31" t="s">
        <v>119</v>
      </c>
      <c r="L531" s="31" t="s">
        <v>119</v>
      </c>
      <c r="M531" s="31">
        <v>5</v>
      </c>
      <c r="N531" s="14" t="s">
        <v>119</v>
      </c>
      <c r="O531" s="43" t="s">
        <v>119</v>
      </c>
      <c r="P531" s="106" t="s">
        <v>119</v>
      </c>
      <c r="Q531" s="106" t="s">
        <v>119</v>
      </c>
      <c r="R531" s="106" t="s">
        <v>119</v>
      </c>
      <c r="S531" s="106" t="s">
        <v>119</v>
      </c>
      <c r="T531" s="106" t="s">
        <v>119</v>
      </c>
      <c r="U531" s="106" t="s">
        <v>119</v>
      </c>
      <c r="V531" t="s">
        <v>119</v>
      </c>
      <c r="W531" s="11" t="s">
        <v>134</v>
      </c>
      <c r="X531" s="11" t="s">
        <v>119</v>
      </c>
    </row>
    <row r="532" spans="1:24" s="11" customFormat="1" x14ac:dyDescent="0.3">
      <c r="A532" s="14" t="s">
        <v>481</v>
      </c>
      <c r="B532" s="18" t="s">
        <v>119</v>
      </c>
      <c r="C532" s="14" t="s">
        <v>119</v>
      </c>
      <c r="D532" s="14" t="s">
        <v>119</v>
      </c>
      <c r="E532" s="14" t="s">
        <v>119</v>
      </c>
      <c r="F532" s="37" t="s">
        <v>119</v>
      </c>
      <c r="G532" s="37" t="s">
        <v>119</v>
      </c>
      <c r="H532" s="31" t="s">
        <v>119</v>
      </c>
      <c r="I532" s="31" t="s">
        <v>119</v>
      </c>
      <c r="J532" s="31" t="s">
        <v>119</v>
      </c>
      <c r="K532" s="31" t="s">
        <v>119</v>
      </c>
      <c r="L532" s="31" t="s">
        <v>119</v>
      </c>
      <c r="M532" s="31">
        <v>1</v>
      </c>
      <c r="N532" s="14" t="s">
        <v>119</v>
      </c>
      <c r="O532" s="43" t="s">
        <v>119</v>
      </c>
      <c r="P532" s="106" t="s">
        <v>119</v>
      </c>
      <c r="Q532" s="106" t="s">
        <v>119</v>
      </c>
      <c r="R532" s="106" t="s">
        <v>119</v>
      </c>
      <c r="S532" s="106" t="s">
        <v>119</v>
      </c>
      <c r="T532" s="106" t="s">
        <v>119</v>
      </c>
      <c r="U532" s="106" t="s">
        <v>119</v>
      </c>
      <c r="V532" t="s">
        <v>119</v>
      </c>
      <c r="W532" s="11" t="s">
        <v>119</v>
      </c>
      <c r="X532" s="11" t="s">
        <v>119</v>
      </c>
    </row>
    <row r="533" spans="1:24" x14ac:dyDescent="0.3">
      <c r="A533" s="14" t="s">
        <v>286</v>
      </c>
      <c r="B533" s="2" t="s">
        <v>119</v>
      </c>
      <c r="C533" s="14" t="s">
        <v>119</v>
      </c>
      <c r="D533" s="14" t="s">
        <v>119</v>
      </c>
      <c r="E533" s="1" t="s">
        <v>119</v>
      </c>
      <c r="F533" s="37" t="s">
        <v>119</v>
      </c>
      <c r="G533" s="37" t="s">
        <v>119</v>
      </c>
      <c r="H533" s="28" t="s">
        <v>119</v>
      </c>
      <c r="I533" s="28" t="s">
        <v>119</v>
      </c>
      <c r="J533" s="28" t="s">
        <v>119</v>
      </c>
      <c r="K533" s="29">
        <v>1</v>
      </c>
      <c r="L533" s="28" t="s">
        <v>119</v>
      </c>
      <c r="M533" s="28" t="s">
        <v>119</v>
      </c>
      <c r="N533" s="1" t="s">
        <v>119</v>
      </c>
      <c r="O533" s="43" t="s">
        <v>119</v>
      </c>
      <c r="P533" s="106" t="s">
        <v>119</v>
      </c>
      <c r="Q533" s="106" t="s">
        <v>119</v>
      </c>
      <c r="R533" s="106" t="s">
        <v>119</v>
      </c>
      <c r="S533" s="106" t="s">
        <v>119</v>
      </c>
      <c r="T533" s="106" t="s">
        <v>119</v>
      </c>
      <c r="U533" s="106" t="s">
        <v>119</v>
      </c>
      <c r="V533" t="s">
        <v>119</v>
      </c>
      <c r="W533" s="11" t="s">
        <v>134</v>
      </c>
      <c r="X533" s="11" t="s">
        <v>119</v>
      </c>
    </row>
    <row r="534" spans="1:24" x14ac:dyDescent="0.3">
      <c r="A534" s="14" t="s">
        <v>197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7" t="s">
        <v>119</v>
      </c>
      <c r="H534" s="31">
        <v>1</v>
      </c>
      <c r="I534" s="31">
        <v>3</v>
      </c>
      <c r="J534" s="31" t="s">
        <v>119</v>
      </c>
      <c r="K534" s="29" t="s">
        <v>119</v>
      </c>
      <c r="L534" s="28" t="s">
        <v>119</v>
      </c>
      <c r="M534" s="28" t="s">
        <v>119</v>
      </c>
      <c r="N534" s="1" t="s">
        <v>119</v>
      </c>
      <c r="O534" s="43" t="s">
        <v>119</v>
      </c>
      <c r="P534" s="106" t="s">
        <v>119</v>
      </c>
      <c r="Q534" s="106" t="s">
        <v>119</v>
      </c>
      <c r="R534" s="106" t="s">
        <v>119</v>
      </c>
      <c r="S534" s="106" t="s">
        <v>119</v>
      </c>
      <c r="T534" s="106" t="s">
        <v>119</v>
      </c>
      <c r="U534" s="106" t="s">
        <v>119</v>
      </c>
      <c r="V534" t="s">
        <v>119</v>
      </c>
      <c r="W534" s="11" t="s">
        <v>134</v>
      </c>
      <c r="X534" s="11" t="s">
        <v>119</v>
      </c>
    </row>
    <row r="535" spans="1:24" s="5" customFormat="1" x14ac:dyDescent="0.3">
      <c r="A535" s="10" t="s">
        <v>1043</v>
      </c>
      <c r="B535" s="6" t="s">
        <v>119</v>
      </c>
      <c r="C535" s="10" t="s">
        <v>119</v>
      </c>
      <c r="D535" s="10" t="s">
        <v>119</v>
      </c>
      <c r="E535" s="10" t="s">
        <v>119</v>
      </c>
      <c r="F535" s="29" t="s">
        <v>119</v>
      </c>
      <c r="G535" s="29" t="s">
        <v>119</v>
      </c>
      <c r="H535" s="29" t="s">
        <v>119</v>
      </c>
      <c r="I535" s="29" t="s">
        <v>119</v>
      </c>
      <c r="J535" s="29">
        <v>1</v>
      </c>
      <c r="K535" s="29" t="s">
        <v>119</v>
      </c>
      <c r="L535" s="29" t="s">
        <v>119</v>
      </c>
      <c r="M535" s="29" t="s">
        <v>119</v>
      </c>
      <c r="N535" s="10" t="s">
        <v>119</v>
      </c>
      <c r="O535" s="43" t="s">
        <v>119</v>
      </c>
      <c r="P535" s="107" t="s">
        <v>119</v>
      </c>
      <c r="Q535" s="107" t="s">
        <v>119</v>
      </c>
      <c r="R535" s="107" t="s">
        <v>119</v>
      </c>
      <c r="S535" s="107" t="s">
        <v>119</v>
      </c>
      <c r="T535" s="107" t="s">
        <v>119</v>
      </c>
      <c r="U535" s="107" t="s">
        <v>119</v>
      </c>
      <c r="V535" t="s">
        <v>119</v>
      </c>
      <c r="W535" s="11" t="s">
        <v>119</v>
      </c>
      <c r="X535" s="11" t="s">
        <v>119</v>
      </c>
    </row>
    <row r="536" spans="1:24" x14ac:dyDescent="0.3">
      <c r="A536" s="14" t="s">
        <v>93</v>
      </c>
      <c r="B536" s="2">
        <v>0</v>
      </c>
      <c r="C536" s="12">
        <v>0</v>
      </c>
      <c r="D536" s="12">
        <v>0</v>
      </c>
      <c r="E536" s="1">
        <v>4</v>
      </c>
      <c r="F536" s="37" t="s">
        <v>119</v>
      </c>
      <c r="G536" s="37" t="s">
        <v>119</v>
      </c>
      <c r="H536" s="28" t="s">
        <v>119</v>
      </c>
      <c r="I536" s="28">
        <v>1</v>
      </c>
      <c r="J536" s="28" t="s">
        <v>119</v>
      </c>
      <c r="K536" s="31" t="s">
        <v>119</v>
      </c>
      <c r="L536" s="28" t="s">
        <v>119</v>
      </c>
      <c r="M536" s="28" t="s">
        <v>119</v>
      </c>
      <c r="N536" s="1" t="s">
        <v>119</v>
      </c>
      <c r="O536" s="43" t="s">
        <v>119</v>
      </c>
      <c r="P536" s="106" t="s">
        <v>119</v>
      </c>
      <c r="Q536" s="106" t="s">
        <v>119</v>
      </c>
      <c r="R536" s="106" t="s">
        <v>119</v>
      </c>
      <c r="S536" s="106" t="s">
        <v>119</v>
      </c>
      <c r="T536" s="106" t="s">
        <v>119</v>
      </c>
      <c r="U536" s="106" t="s">
        <v>119</v>
      </c>
      <c r="V536" t="s">
        <v>119</v>
      </c>
      <c r="W536" s="11" t="s">
        <v>134</v>
      </c>
      <c r="X536" s="11" t="s">
        <v>119</v>
      </c>
    </row>
    <row r="537" spans="1:24" x14ac:dyDescent="0.3">
      <c r="A537" s="10" t="s">
        <v>107</v>
      </c>
      <c r="B537" s="6">
        <v>5</v>
      </c>
      <c r="C537" s="10">
        <v>0</v>
      </c>
      <c r="D537" s="10">
        <v>0</v>
      </c>
      <c r="E537" s="10">
        <v>3</v>
      </c>
      <c r="F537" s="37" t="s">
        <v>119</v>
      </c>
      <c r="G537" s="37" t="s">
        <v>119</v>
      </c>
      <c r="H537" s="29" t="s">
        <v>119</v>
      </c>
      <c r="I537" s="29" t="s">
        <v>119</v>
      </c>
      <c r="J537" s="29">
        <v>3</v>
      </c>
      <c r="K537" s="28">
        <v>1</v>
      </c>
      <c r="L537" s="28" t="s">
        <v>119</v>
      </c>
      <c r="M537" s="28" t="s">
        <v>119</v>
      </c>
      <c r="N537" s="1" t="s">
        <v>119</v>
      </c>
      <c r="O537" s="43" t="s">
        <v>119</v>
      </c>
      <c r="P537" s="106" t="s">
        <v>119</v>
      </c>
      <c r="Q537" s="106" t="s">
        <v>119</v>
      </c>
      <c r="R537" s="106">
        <v>2</v>
      </c>
      <c r="S537" s="106">
        <v>24</v>
      </c>
      <c r="T537" s="106">
        <v>8</v>
      </c>
      <c r="U537" s="106">
        <f>31+101</f>
        <v>132</v>
      </c>
      <c r="V537" t="s">
        <v>119</v>
      </c>
      <c r="W537" s="11" t="str">
        <f t="shared" si="8"/>
        <v>X</v>
      </c>
      <c r="X537" s="11" t="s">
        <v>119</v>
      </c>
    </row>
    <row r="538" spans="1:24" x14ac:dyDescent="0.3">
      <c r="A538" s="10" t="s">
        <v>233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37" t="s">
        <v>119</v>
      </c>
      <c r="G538" s="37" t="s">
        <v>119</v>
      </c>
      <c r="H538" s="29" t="s">
        <v>119</v>
      </c>
      <c r="I538" s="29" t="s">
        <v>119</v>
      </c>
      <c r="J538" s="29">
        <v>4</v>
      </c>
      <c r="K538" s="29" t="s">
        <v>119</v>
      </c>
      <c r="L538" s="28" t="s">
        <v>119</v>
      </c>
      <c r="M538" s="28" t="s">
        <v>119</v>
      </c>
      <c r="N538" s="1" t="s">
        <v>119</v>
      </c>
      <c r="O538" s="43" t="s">
        <v>119</v>
      </c>
      <c r="P538" s="106" t="s">
        <v>119</v>
      </c>
      <c r="Q538" s="106" t="s">
        <v>119</v>
      </c>
      <c r="R538" s="106" t="s">
        <v>119</v>
      </c>
      <c r="S538" s="106" t="s">
        <v>119</v>
      </c>
      <c r="T538" s="106" t="s">
        <v>119</v>
      </c>
      <c r="U538" s="106" t="s">
        <v>119</v>
      </c>
      <c r="V538" t="s">
        <v>119</v>
      </c>
      <c r="W538" s="11" t="s">
        <v>119</v>
      </c>
      <c r="X538" s="11" t="s">
        <v>119</v>
      </c>
    </row>
    <row r="539" spans="1:24" s="11" customFormat="1" x14ac:dyDescent="0.3">
      <c r="A539" s="14" t="s">
        <v>1306</v>
      </c>
      <c r="B539" s="18" t="s">
        <v>119</v>
      </c>
      <c r="C539" s="14" t="s">
        <v>119</v>
      </c>
      <c r="D539" s="14" t="s">
        <v>119</v>
      </c>
      <c r="E539" s="14" t="s">
        <v>119</v>
      </c>
      <c r="F539" s="31">
        <v>5</v>
      </c>
      <c r="G539" s="31" t="s">
        <v>119</v>
      </c>
      <c r="H539" s="31" t="s">
        <v>119</v>
      </c>
      <c r="I539" s="31" t="s">
        <v>119</v>
      </c>
      <c r="J539" s="31" t="s">
        <v>119</v>
      </c>
      <c r="K539" s="31" t="s">
        <v>119</v>
      </c>
      <c r="L539" s="31" t="s">
        <v>119</v>
      </c>
      <c r="M539" s="31" t="s">
        <v>119</v>
      </c>
      <c r="N539" s="14" t="s">
        <v>119</v>
      </c>
      <c r="O539" s="34" t="s">
        <v>119</v>
      </c>
      <c r="P539" s="108" t="s">
        <v>119</v>
      </c>
      <c r="Q539" s="108" t="s">
        <v>119</v>
      </c>
      <c r="R539" s="108" t="s">
        <v>119</v>
      </c>
      <c r="S539" s="108" t="s">
        <v>119</v>
      </c>
      <c r="T539" s="108" t="s">
        <v>119</v>
      </c>
      <c r="U539" s="108" t="s">
        <v>119</v>
      </c>
      <c r="V539" s="11" t="s">
        <v>119</v>
      </c>
      <c r="W539" s="11" t="s">
        <v>119</v>
      </c>
      <c r="X539" s="11" t="s">
        <v>119</v>
      </c>
    </row>
    <row r="540" spans="1:24" x14ac:dyDescent="0.3">
      <c r="A540" s="14" t="s">
        <v>137</v>
      </c>
      <c r="B540" s="18" t="s">
        <v>119</v>
      </c>
      <c r="C540" s="14" t="s">
        <v>119</v>
      </c>
      <c r="D540" s="14" t="s">
        <v>119</v>
      </c>
      <c r="E540" s="14" t="s">
        <v>119</v>
      </c>
      <c r="F540" s="37" t="s">
        <v>119</v>
      </c>
      <c r="G540" s="37" t="s">
        <v>119</v>
      </c>
      <c r="H540" s="31">
        <v>4</v>
      </c>
      <c r="I540" s="31" t="s">
        <v>119</v>
      </c>
      <c r="J540" s="31" t="s">
        <v>119</v>
      </c>
      <c r="K540" s="29" t="s">
        <v>119</v>
      </c>
      <c r="L540" s="28">
        <v>4</v>
      </c>
      <c r="M540" s="28" t="s">
        <v>119</v>
      </c>
      <c r="N540" s="1" t="s">
        <v>119</v>
      </c>
      <c r="O540" s="43" t="s">
        <v>119</v>
      </c>
      <c r="P540" s="106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t="s">
        <v>119</v>
      </c>
      <c r="W540" s="11" t="s">
        <v>119</v>
      </c>
      <c r="X540" s="11" t="s">
        <v>134</v>
      </c>
    </row>
    <row r="541" spans="1:24" x14ac:dyDescent="0.3">
      <c r="A541" s="14" t="s">
        <v>1307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>
        <v>3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29" t="s">
        <v>119</v>
      </c>
      <c r="L541" s="28" t="s">
        <v>119</v>
      </c>
      <c r="M541" s="28" t="s">
        <v>119</v>
      </c>
      <c r="N541" s="1" t="s">
        <v>119</v>
      </c>
      <c r="O541" s="43" t="s">
        <v>119</v>
      </c>
      <c r="P541" s="106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t="s">
        <v>119</v>
      </c>
      <c r="W541" s="11" t="s">
        <v>119</v>
      </c>
      <c r="X541" s="11" t="s">
        <v>119</v>
      </c>
    </row>
    <row r="542" spans="1:24" x14ac:dyDescent="0.3">
      <c r="A542" s="14" t="s">
        <v>861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29" t="s">
        <v>119</v>
      </c>
      <c r="L542" s="28" t="s">
        <v>119</v>
      </c>
      <c r="M542" s="28" t="s">
        <v>119</v>
      </c>
      <c r="N542" s="1" t="s">
        <v>119</v>
      </c>
      <c r="O542" s="43" t="s">
        <v>119</v>
      </c>
      <c r="P542" s="106" t="s">
        <v>119</v>
      </c>
      <c r="Q542" s="106" t="s">
        <v>119</v>
      </c>
      <c r="R542" s="106" t="s">
        <v>119</v>
      </c>
      <c r="S542" s="106">
        <f>69+20+14+2+2+1+8</f>
        <v>116</v>
      </c>
      <c r="T542" s="106" t="s">
        <v>119</v>
      </c>
      <c r="U542" s="106" t="s">
        <v>119</v>
      </c>
      <c r="V542" t="s">
        <v>119</v>
      </c>
      <c r="W542" s="11" t="str">
        <f t="shared" si="8"/>
        <v>X</v>
      </c>
      <c r="X542" s="11" t="s">
        <v>119</v>
      </c>
    </row>
    <row r="543" spans="1:24" s="5" customFormat="1" x14ac:dyDescent="0.3">
      <c r="A543" s="10" t="s">
        <v>860</v>
      </c>
      <c r="B543" s="6" t="s">
        <v>119</v>
      </c>
      <c r="C543" s="10" t="s">
        <v>119</v>
      </c>
      <c r="D543" s="10" t="s">
        <v>119</v>
      </c>
      <c r="E543" s="10" t="s">
        <v>119</v>
      </c>
      <c r="F543" s="37" t="s">
        <v>119</v>
      </c>
      <c r="G543" s="29" t="s">
        <v>119</v>
      </c>
      <c r="H543" s="29" t="s">
        <v>119</v>
      </c>
      <c r="I543" s="29" t="s">
        <v>119</v>
      </c>
      <c r="J543" s="29" t="s">
        <v>119</v>
      </c>
      <c r="K543" s="29" t="s">
        <v>119</v>
      </c>
      <c r="L543" s="29" t="s">
        <v>119</v>
      </c>
      <c r="M543" s="29" t="s">
        <v>119</v>
      </c>
      <c r="N543" s="10" t="s">
        <v>119</v>
      </c>
      <c r="O543" s="43" t="s">
        <v>119</v>
      </c>
      <c r="P543" s="107">
        <v>2</v>
      </c>
      <c r="Q543" s="107" t="s">
        <v>119</v>
      </c>
      <c r="R543" s="107">
        <v>2</v>
      </c>
      <c r="S543" s="107" t="s">
        <v>119</v>
      </c>
      <c r="T543" s="106" t="s">
        <v>119</v>
      </c>
      <c r="U543" s="106" t="s">
        <v>119</v>
      </c>
      <c r="V543" t="s">
        <v>119</v>
      </c>
      <c r="W543" s="11" t="str">
        <f t="shared" si="8"/>
        <v>X</v>
      </c>
      <c r="X543" s="11" t="s">
        <v>119</v>
      </c>
    </row>
    <row r="544" spans="1:24" x14ac:dyDescent="0.3">
      <c r="A544" s="14" t="s">
        <v>688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>
        <f>1+3+19+1+41+3+3+3</f>
        <v>74</v>
      </c>
      <c r="H544" s="31" t="s">
        <v>119</v>
      </c>
      <c r="I544" s="31">
        <v>1</v>
      </c>
      <c r="J544" s="31" t="s">
        <v>119</v>
      </c>
      <c r="K544" s="29" t="s">
        <v>119</v>
      </c>
      <c r="L544" s="28" t="s">
        <v>119</v>
      </c>
      <c r="M544" s="28" t="s">
        <v>119</v>
      </c>
      <c r="N544" s="1" t="s">
        <v>119</v>
      </c>
      <c r="O544" s="43" t="s">
        <v>119</v>
      </c>
      <c r="P544" s="106" t="s">
        <v>119</v>
      </c>
      <c r="Q544" s="106">
        <v>1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t="s">
        <v>119</v>
      </c>
      <c r="W544" s="11" t="str">
        <f t="shared" si="8"/>
        <v>X</v>
      </c>
      <c r="X544" s="11" t="s">
        <v>119</v>
      </c>
    </row>
    <row r="545" spans="1:24" x14ac:dyDescent="0.3">
      <c r="A545" s="14" t="s">
        <v>1146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29" t="s">
        <v>119</v>
      </c>
      <c r="L545" s="28" t="s">
        <v>119</v>
      </c>
      <c r="M545" s="28" t="s">
        <v>119</v>
      </c>
      <c r="N545" s="1" t="s">
        <v>119</v>
      </c>
      <c r="O545" s="43">
        <v>22</v>
      </c>
      <c r="P545" s="106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t="s">
        <v>134</v>
      </c>
      <c r="W545" s="11" t="s">
        <v>119</v>
      </c>
      <c r="X545" s="11" t="s">
        <v>119</v>
      </c>
    </row>
    <row r="546" spans="1:24" x14ac:dyDescent="0.3">
      <c r="A546" s="14" t="s">
        <v>106</v>
      </c>
      <c r="B546" s="2">
        <v>2</v>
      </c>
      <c r="C546" s="14" t="s">
        <v>119</v>
      </c>
      <c r="D546" s="14">
        <v>1</v>
      </c>
      <c r="E546" s="1">
        <v>0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>
        <v>4</v>
      </c>
      <c r="K546" s="29">
        <v>1</v>
      </c>
      <c r="L546" s="28" t="s">
        <v>119</v>
      </c>
      <c r="M546" s="28" t="s">
        <v>134</v>
      </c>
      <c r="N546" s="1" t="s">
        <v>119</v>
      </c>
      <c r="O546" s="43" t="s">
        <v>119</v>
      </c>
      <c r="P546" s="106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t="s">
        <v>119</v>
      </c>
      <c r="W546" s="11" t="s">
        <v>134</v>
      </c>
      <c r="X546" s="11" t="s">
        <v>134</v>
      </c>
    </row>
    <row r="547" spans="1:24" x14ac:dyDescent="0.3">
      <c r="A547" s="14" t="s">
        <v>482</v>
      </c>
      <c r="B547" s="2" t="s">
        <v>119</v>
      </c>
      <c r="C547" s="14" t="s">
        <v>119</v>
      </c>
      <c r="D547" s="14" t="s">
        <v>119</v>
      </c>
      <c r="E547" s="1" t="s">
        <v>119</v>
      </c>
      <c r="F547" s="37" t="s">
        <v>119</v>
      </c>
      <c r="G547" s="37" t="s">
        <v>119</v>
      </c>
      <c r="H547" s="28" t="s">
        <v>119</v>
      </c>
      <c r="I547" s="28" t="s">
        <v>119</v>
      </c>
      <c r="J547" s="28" t="s">
        <v>119</v>
      </c>
      <c r="K547" s="29" t="s">
        <v>119</v>
      </c>
      <c r="L547" s="28" t="s">
        <v>119</v>
      </c>
      <c r="M547" s="28">
        <v>2</v>
      </c>
      <c r="N547" s="1" t="s">
        <v>119</v>
      </c>
      <c r="O547" s="43" t="s">
        <v>119</v>
      </c>
      <c r="P547" s="106" t="s">
        <v>119</v>
      </c>
      <c r="Q547" s="106" t="s">
        <v>119</v>
      </c>
      <c r="R547" s="106" t="s">
        <v>119</v>
      </c>
      <c r="S547" s="106">
        <v>9</v>
      </c>
      <c r="T547" s="106" t="s">
        <v>119</v>
      </c>
      <c r="U547" s="106" t="s">
        <v>119</v>
      </c>
      <c r="V547" t="s">
        <v>119</v>
      </c>
      <c r="W547" s="11" t="str">
        <f t="shared" si="8"/>
        <v>X</v>
      </c>
      <c r="X547" s="11" t="s">
        <v>119</v>
      </c>
    </row>
    <row r="548" spans="1:24" x14ac:dyDescent="0.3">
      <c r="A548" s="14" t="s">
        <v>483</v>
      </c>
      <c r="B548" s="2" t="s">
        <v>119</v>
      </c>
      <c r="C548" s="14" t="s">
        <v>119</v>
      </c>
      <c r="D548" s="14" t="s">
        <v>119</v>
      </c>
      <c r="E548" s="1" t="s">
        <v>119</v>
      </c>
      <c r="F548" s="37" t="s">
        <v>119</v>
      </c>
      <c r="G548" s="37" t="s">
        <v>119</v>
      </c>
      <c r="H548" s="28" t="s">
        <v>119</v>
      </c>
      <c r="I548" s="28">
        <v>1</v>
      </c>
      <c r="J548" s="28" t="s">
        <v>119</v>
      </c>
      <c r="K548" s="29" t="s">
        <v>119</v>
      </c>
      <c r="L548" s="28" t="s">
        <v>119</v>
      </c>
      <c r="M548" s="28" t="s">
        <v>134</v>
      </c>
      <c r="N548" s="1" t="s">
        <v>119</v>
      </c>
      <c r="O548" s="43">
        <v>1</v>
      </c>
      <c r="P548" s="106" t="s">
        <v>119</v>
      </c>
      <c r="Q548" s="106" t="s">
        <v>119</v>
      </c>
      <c r="R548" s="106" t="s">
        <v>119</v>
      </c>
      <c r="S548" s="106" t="s">
        <v>119</v>
      </c>
      <c r="T548" s="106" t="s">
        <v>119</v>
      </c>
      <c r="U548" s="106" t="s">
        <v>119</v>
      </c>
      <c r="V548" t="s">
        <v>119</v>
      </c>
      <c r="W548" s="11" t="s">
        <v>134</v>
      </c>
      <c r="X548" s="11" t="s">
        <v>134</v>
      </c>
    </row>
    <row r="549" spans="1:24" x14ac:dyDescent="0.3">
      <c r="A549" s="10" t="s">
        <v>139</v>
      </c>
      <c r="B549" s="6" t="s">
        <v>119</v>
      </c>
      <c r="C549" s="10" t="s">
        <v>119</v>
      </c>
      <c r="D549" s="10" t="s">
        <v>119</v>
      </c>
      <c r="E549" s="10" t="s">
        <v>119</v>
      </c>
      <c r="F549" s="37" t="s">
        <v>119</v>
      </c>
      <c r="G549" s="37">
        <f>1+5+3+10+2+12+1</f>
        <v>34</v>
      </c>
      <c r="H549" s="29">
        <f>77+1+13+5+7+1+1</f>
        <v>105</v>
      </c>
      <c r="I549" s="29" t="s">
        <v>119</v>
      </c>
      <c r="J549" s="29" t="s">
        <v>119</v>
      </c>
      <c r="K549" s="28" t="s">
        <v>119</v>
      </c>
      <c r="L549" s="28" t="s">
        <v>119</v>
      </c>
      <c r="M549" s="28" t="s">
        <v>119</v>
      </c>
      <c r="N549" s="1" t="s">
        <v>119</v>
      </c>
      <c r="O549" s="43">
        <f>1+1+2+1+1+13+2</f>
        <v>21</v>
      </c>
      <c r="P549" s="106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t="s">
        <v>119</v>
      </c>
      <c r="W549" s="11" t="s">
        <v>119</v>
      </c>
      <c r="X549" s="11" t="s">
        <v>119</v>
      </c>
    </row>
    <row r="550" spans="1:24" x14ac:dyDescent="0.3">
      <c r="A550" s="10" t="s">
        <v>111</v>
      </c>
      <c r="B550" s="6">
        <v>4</v>
      </c>
      <c r="C550" s="10">
        <v>2</v>
      </c>
      <c r="D550" s="10">
        <v>1</v>
      </c>
      <c r="E550" s="10">
        <v>0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 t="s">
        <v>119</v>
      </c>
      <c r="K550" s="28" t="s">
        <v>119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106" t="s">
        <v>119</v>
      </c>
      <c r="Q550" s="106" t="s">
        <v>119</v>
      </c>
      <c r="R550" s="106" t="s">
        <v>119</v>
      </c>
      <c r="S550" s="106" t="s">
        <v>119</v>
      </c>
      <c r="T550" s="106" t="s">
        <v>119</v>
      </c>
      <c r="U550" s="106" t="s">
        <v>119</v>
      </c>
      <c r="V550" t="s">
        <v>119</v>
      </c>
      <c r="W550" s="11" t="s">
        <v>119</v>
      </c>
      <c r="X550" s="11" t="s">
        <v>119</v>
      </c>
    </row>
    <row r="551" spans="1:24" x14ac:dyDescent="0.3">
      <c r="A551" s="10" t="s">
        <v>141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 t="s">
        <v>119</v>
      </c>
      <c r="K551" s="28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106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t="s">
        <v>119</v>
      </c>
      <c r="W551" s="11" t="s">
        <v>119</v>
      </c>
      <c r="X551" s="11" t="s">
        <v>119</v>
      </c>
    </row>
    <row r="552" spans="1:24" x14ac:dyDescent="0.3">
      <c r="A552" s="14" t="s">
        <v>1183</v>
      </c>
      <c r="B552" s="2" t="s">
        <v>119</v>
      </c>
      <c r="C552" s="14" t="s">
        <v>119</v>
      </c>
      <c r="D552" s="14" t="s">
        <v>119</v>
      </c>
      <c r="E552" s="1" t="s">
        <v>119</v>
      </c>
      <c r="F552" s="37" t="s">
        <v>119</v>
      </c>
      <c r="G552" s="37" t="s">
        <v>119</v>
      </c>
      <c r="H552" s="28" t="s">
        <v>119</v>
      </c>
      <c r="I552" s="28" t="s">
        <v>119</v>
      </c>
      <c r="J552" s="28">
        <v>23</v>
      </c>
      <c r="K552" s="28" t="s">
        <v>119</v>
      </c>
      <c r="L552" s="28" t="s">
        <v>119</v>
      </c>
      <c r="M552" s="28" t="s">
        <v>119</v>
      </c>
      <c r="N552" s="1" t="s">
        <v>119</v>
      </c>
      <c r="O552" s="43" t="s">
        <v>119</v>
      </c>
      <c r="P552" s="106" t="s">
        <v>119</v>
      </c>
      <c r="Q552" s="106" t="s">
        <v>119</v>
      </c>
      <c r="R552" s="106" t="s">
        <v>119</v>
      </c>
      <c r="S552" s="106" t="s">
        <v>119</v>
      </c>
      <c r="T552" s="106" t="s">
        <v>119</v>
      </c>
      <c r="U552" s="106" t="s">
        <v>119</v>
      </c>
      <c r="V552" t="s">
        <v>134</v>
      </c>
      <c r="W552" s="11" t="s">
        <v>119</v>
      </c>
      <c r="X552" s="11" t="s">
        <v>119</v>
      </c>
    </row>
    <row r="553" spans="1:24" x14ac:dyDescent="0.3">
      <c r="A553" s="14" t="s">
        <v>287</v>
      </c>
      <c r="B553" s="2" t="s">
        <v>119</v>
      </c>
      <c r="C553" s="14" t="s">
        <v>119</v>
      </c>
      <c r="D553" s="14" t="s">
        <v>119</v>
      </c>
      <c r="E553" s="1" t="s">
        <v>119</v>
      </c>
      <c r="F553" s="37" t="s">
        <v>119</v>
      </c>
      <c r="G553" s="37" t="s">
        <v>119</v>
      </c>
      <c r="H553" s="28" t="s">
        <v>119</v>
      </c>
      <c r="I553" s="28" t="s">
        <v>119</v>
      </c>
      <c r="J553" s="28" t="s">
        <v>119</v>
      </c>
      <c r="K553" s="28">
        <v>1</v>
      </c>
      <c r="L553" s="28" t="s">
        <v>119</v>
      </c>
      <c r="M553" s="28" t="s">
        <v>119</v>
      </c>
      <c r="N553" s="1" t="s">
        <v>119</v>
      </c>
      <c r="O553" s="43" t="s">
        <v>119</v>
      </c>
      <c r="P553" s="106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t="s">
        <v>119</v>
      </c>
      <c r="W553" s="11" t="s">
        <v>119</v>
      </c>
      <c r="X553" s="11" t="s">
        <v>119</v>
      </c>
    </row>
    <row r="554" spans="1:24" x14ac:dyDescent="0.3">
      <c r="A554" s="14" t="s">
        <v>484</v>
      </c>
      <c r="B554" s="2" t="s">
        <v>119</v>
      </c>
      <c r="C554" s="14" t="s">
        <v>119</v>
      </c>
      <c r="D554" s="14" t="s">
        <v>119</v>
      </c>
      <c r="E554" s="1" t="s">
        <v>119</v>
      </c>
      <c r="F554" s="37" t="s">
        <v>119</v>
      </c>
      <c r="G554" s="37" t="s">
        <v>119</v>
      </c>
      <c r="H554" s="28" t="s">
        <v>119</v>
      </c>
      <c r="I554" s="28">
        <v>2</v>
      </c>
      <c r="J554" s="28" t="s">
        <v>119</v>
      </c>
      <c r="K554" s="28" t="s">
        <v>119</v>
      </c>
      <c r="L554" s="28" t="s">
        <v>119</v>
      </c>
      <c r="M554" s="28">
        <v>1</v>
      </c>
      <c r="N554" s="1" t="s">
        <v>119</v>
      </c>
      <c r="O554" s="43" t="s">
        <v>119</v>
      </c>
      <c r="P554" s="106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t="s">
        <v>119</v>
      </c>
      <c r="W554" s="11" t="s">
        <v>119</v>
      </c>
      <c r="X554" s="11" t="s">
        <v>119</v>
      </c>
    </row>
    <row r="555" spans="1:24" x14ac:dyDescent="0.3">
      <c r="A555" s="14" t="s">
        <v>138</v>
      </c>
      <c r="B555" s="2" t="s">
        <v>119</v>
      </c>
      <c r="C555" s="14" t="s">
        <v>119</v>
      </c>
      <c r="D555" s="14" t="s">
        <v>119</v>
      </c>
      <c r="E555" s="1" t="s">
        <v>119</v>
      </c>
      <c r="F555" s="37" t="s">
        <v>119</v>
      </c>
      <c r="G555" s="37" t="s">
        <v>119</v>
      </c>
      <c r="H555" s="28">
        <v>1</v>
      </c>
      <c r="I555" s="28" t="s">
        <v>119</v>
      </c>
      <c r="J555" s="28" t="s">
        <v>119</v>
      </c>
      <c r="K555" s="31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106" t="s">
        <v>119</v>
      </c>
      <c r="Q555" s="106" t="s">
        <v>119</v>
      </c>
      <c r="R555" s="106" t="s">
        <v>119</v>
      </c>
      <c r="S555" s="106">
        <v>3</v>
      </c>
      <c r="T555" s="106" t="s">
        <v>119</v>
      </c>
      <c r="U555" s="106" t="s">
        <v>119</v>
      </c>
      <c r="V555" t="s">
        <v>119</v>
      </c>
      <c r="W555" s="11" t="str">
        <f t="shared" si="8"/>
        <v>X</v>
      </c>
      <c r="X555" s="11" t="s">
        <v>134</v>
      </c>
    </row>
    <row r="556" spans="1:24" x14ac:dyDescent="0.3">
      <c r="A556" s="14" t="s">
        <v>231</v>
      </c>
      <c r="B556" s="2" t="s">
        <v>119</v>
      </c>
      <c r="C556" s="14" t="s">
        <v>119</v>
      </c>
      <c r="D556" s="14" t="s">
        <v>119</v>
      </c>
      <c r="E556" s="1" t="s">
        <v>119</v>
      </c>
      <c r="F556" s="37" t="s">
        <v>119</v>
      </c>
      <c r="G556" s="37">
        <v>2</v>
      </c>
      <c r="H556" s="28" t="s">
        <v>119</v>
      </c>
      <c r="I556" s="28" t="s">
        <v>119</v>
      </c>
      <c r="J556" s="28">
        <v>6</v>
      </c>
      <c r="K556" s="37" t="s">
        <v>119</v>
      </c>
      <c r="L556" s="28" t="s">
        <v>119</v>
      </c>
      <c r="M556" s="28" t="s">
        <v>119</v>
      </c>
      <c r="N556" s="1" t="s">
        <v>119</v>
      </c>
      <c r="O556" s="43" t="s">
        <v>119</v>
      </c>
      <c r="P556" s="106" t="s">
        <v>119</v>
      </c>
      <c r="Q556" s="106" t="s">
        <v>119</v>
      </c>
      <c r="R556" s="106" t="s">
        <v>119</v>
      </c>
      <c r="S556" s="106" t="s">
        <v>119</v>
      </c>
      <c r="T556" s="106" t="s">
        <v>119</v>
      </c>
      <c r="U556" s="106" t="s">
        <v>119</v>
      </c>
      <c r="V556" t="s">
        <v>119</v>
      </c>
      <c r="W556" s="11" t="s">
        <v>134</v>
      </c>
      <c r="X556" s="11" t="s">
        <v>119</v>
      </c>
    </row>
    <row r="557" spans="1:24" x14ac:dyDescent="0.3">
      <c r="A557" s="14" t="s">
        <v>485</v>
      </c>
      <c r="B557" s="2" t="s">
        <v>119</v>
      </c>
      <c r="C557" s="14" t="s">
        <v>119</v>
      </c>
      <c r="D557" s="14" t="s">
        <v>119</v>
      </c>
      <c r="E557" s="1" t="s">
        <v>119</v>
      </c>
      <c r="F557" s="37" t="s">
        <v>119</v>
      </c>
      <c r="G557" s="37">
        <v>2</v>
      </c>
      <c r="H557" s="28" t="s">
        <v>119</v>
      </c>
      <c r="I557" s="28">
        <v>2</v>
      </c>
      <c r="J557" s="28">
        <v>1</v>
      </c>
      <c r="K557" s="37" t="s">
        <v>119</v>
      </c>
      <c r="L557" s="28" t="s">
        <v>119</v>
      </c>
      <c r="M557" s="28">
        <v>2</v>
      </c>
      <c r="N557" s="1" t="s">
        <v>119</v>
      </c>
      <c r="O557" s="43" t="s">
        <v>119</v>
      </c>
      <c r="P557" s="106" t="s">
        <v>119</v>
      </c>
      <c r="Q557" s="106" t="s">
        <v>119</v>
      </c>
      <c r="R557" s="106" t="s">
        <v>119</v>
      </c>
      <c r="S557" s="106" t="s">
        <v>119</v>
      </c>
      <c r="T557" s="106" t="s">
        <v>119</v>
      </c>
      <c r="U557" s="106" t="s">
        <v>119</v>
      </c>
      <c r="V557" t="s">
        <v>119</v>
      </c>
      <c r="W557" s="11" t="s">
        <v>134</v>
      </c>
      <c r="X557" s="11" t="s">
        <v>134</v>
      </c>
    </row>
    <row r="558" spans="1:24" x14ac:dyDescent="0.3">
      <c r="A558" s="14" t="s">
        <v>1184</v>
      </c>
      <c r="B558" s="2" t="s">
        <v>119</v>
      </c>
      <c r="C558" s="14" t="s">
        <v>119</v>
      </c>
      <c r="D558" s="14" t="s">
        <v>119</v>
      </c>
      <c r="E558" s="1" t="s">
        <v>119</v>
      </c>
      <c r="F558" s="37" t="s">
        <v>119</v>
      </c>
      <c r="G558" s="37" t="s">
        <v>119</v>
      </c>
      <c r="H558" s="28" t="s">
        <v>119</v>
      </c>
      <c r="I558" s="28" t="s">
        <v>119</v>
      </c>
      <c r="J558" s="28">
        <v>3</v>
      </c>
      <c r="K558" s="28" t="s">
        <v>119</v>
      </c>
      <c r="L558" s="28" t="s">
        <v>119</v>
      </c>
      <c r="M558" s="28" t="s">
        <v>119</v>
      </c>
      <c r="N558" s="1" t="s">
        <v>119</v>
      </c>
      <c r="O558" s="43" t="s">
        <v>119</v>
      </c>
      <c r="P558" s="106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t="s">
        <v>134</v>
      </c>
      <c r="W558" s="11" t="s">
        <v>119</v>
      </c>
      <c r="X558" s="11" t="s">
        <v>119</v>
      </c>
    </row>
    <row r="559" spans="1:24" x14ac:dyDescent="0.3">
      <c r="A559" s="14" t="s">
        <v>857</v>
      </c>
      <c r="B559" s="2" t="s">
        <v>119</v>
      </c>
      <c r="C559" s="14" t="s">
        <v>119</v>
      </c>
      <c r="D559" s="14" t="s">
        <v>119</v>
      </c>
      <c r="E559" s="1" t="s">
        <v>119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 t="s">
        <v>119</v>
      </c>
      <c r="K559" s="28" t="s">
        <v>119</v>
      </c>
      <c r="L559" s="28" t="s">
        <v>119</v>
      </c>
      <c r="M559" s="28" t="s">
        <v>119</v>
      </c>
      <c r="N559" s="1" t="s">
        <v>119</v>
      </c>
      <c r="O559" s="43" t="s">
        <v>119</v>
      </c>
      <c r="P559" s="106" t="s">
        <v>119</v>
      </c>
      <c r="Q559" s="106" t="s">
        <v>119</v>
      </c>
      <c r="R559" s="106" t="s">
        <v>119</v>
      </c>
      <c r="S559" s="106">
        <v>2</v>
      </c>
      <c r="T559" s="106" t="s">
        <v>119</v>
      </c>
      <c r="U559" s="106" t="s">
        <v>119</v>
      </c>
      <c r="V559" t="s">
        <v>119</v>
      </c>
      <c r="W559" s="11" t="str">
        <f t="shared" si="8"/>
        <v>X</v>
      </c>
      <c r="X559" s="11" t="s">
        <v>119</v>
      </c>
    </row>
    <row r="560" spans="1:24" x14ac:dyDescent="0.3">
      <c r="A560" s="14" t="s">
        <v>1308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>
        <v>13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8" t="s">
        <v>119</v>
      </c>
      <c r="L560" s="28" t="s">
        <v>119</v>
      </c>
      <c r="M560" s="28" t="s">
        <v>119</v>
      </c>
      <c r="N560" s="1" t="s">
        <v>119</v>
      </c>
      <c r="O560" s="43" t="s">
        <v>119</v>
      </c>
      <c r="P560" s="106" t="s">
        <v>119</v>
      </c>
      <c r="Q560" s="106" t="s">
        <v>119</v>
      </c>
      <c r="R560" s="106" t="s">
        <v>119</v>
      </c>
      <c r="S560" s="106" t="s">
        <v>119</v>
      </c>
      <c r="T560" s="106" t="s">
        <v>119</v>
      </c>
      <c r="U560" s="106" t="s">
        <v>119</v>
      </c>
      <c r="V560" t="s">
        <v>119</v>
      </c>
      <c r="W560" s="11" t="s">
        <v>119</v>
      </c>
      <c r="X560" s="11" t="s">
        <v>119</v>
      </c>
    </row>
    <row r="561" spans="1:24" x14ac:dyDescent="0.3">
      <c r="A561" s="25" t="s">
        <v>1227</v>
      </c>
      <c r="B561" s="19" t="s">
        <v>119</v>
      </c>
      <c r="C561" s="25" t="s">
        <v>119</v>
      </c>
      <c r="D561" s="25" t="s">
        <v>119</v>
      </c>
      <c r="E561" s="25" t="s">
        <v>119</v>
      </c>
      <c r="F561" s="37" t="s">
        <v>119</v>
      </c>
      <c r="G561" s="37" t="s">
        <v>119</v>
      </c>
      <c r="H561" s="33">
        <v>6</v>
      </c>
      <c r="I561" s="31" t="s">
        <v>119</v>
      </c>
      <c r="J561" s="31" t="s">
        <v>119</v>
      </c>
      <c r="K561" s="28" t="s">
        <v>119</v>
      </c>
      <c r="L561" s="28" t="s">
        <v>119</v>
      </c>
      <c r="M561" s="28" t="s">
        <v>119</v>
      </c>
      <c r="N561" s="1" t="s">
        <v>119</v>
      </c>
      <c r="O561" s="43" t="s">
        <v>119</v>
      </c>
      <c r="P561" s="106" t="s">
        <v>119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t="s">
        <v>134</v>
      </c>
      <c r="W561" s="11" t="s">
        <v>119</v>
      </c>
      <c r="X561" s="11" t="s">
        <v>119</v>
      </c>
    </row>
    <row r="562" spans="1:24" x14ac:dyDescent="0.3">
      <c r="A562" s="39" t="s">
        <v>204</v>
      </c>
      <c r="B562" s="9" t="s">
        <v>119</v>
      </c>
      <c r="C562" s="39" t="s">
        <v>119</v>
      </c>
      <c r="D562" s="39" t="s">
        <v>119</v>
      </c>
      <c r="E562" s="39" t="s">
        <v>119</v>
      </c>
      <c r="F562" s="37" t="s">
        <v>119</v>
      </c>
      <c r="G562" s="37" t="s">
        <v>119</v>
      </c>
      <c r="H562" s="40" t="s">
        <v>119</v>
      </c>
      <c r="I562" s="37">
        <v>3</v>
      </c>
      <c r="J562" s="37">
        <v>1</v>
      </c>
      <c r="K562" s="28">
        <v>1</v>
      </c>
      <c r="L562" s="28" t="s">
        <v>119</v>
      </c>
      <c r="M562" s="28" t="s">
        <v>119</v>
      </c>
      <c r="N562" s="1" t="s">
        <v>119</v>
      </c>
      <c r="O562" s="43" t="s">
        <v>119</v>
      </c>
      <c r="P562" s="106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t="s">
        <v>119</v>
      </c>
      <c r="W562" s="11" t="s">
        <v>119</v>
      </c>
      <c r="X562" s="11" t="s">
        <v>119</v>
      </c>
    </row>
    <row r="563" spans="1:24" x14ac:dyDescent="0.3">
      <c r="A563" s="12" t="s">
        <v>689</v>
      </c>
      <c r="B563" s="9" t="s">
        <v>119</v>
      </c>
      <c r="C563" s="39" t="s">
        <v>119</v>
      </c>
      <c r="D563" s="39" t="s">
        <v>119</v>
      </c>
      <c r="E563" s="39" t="s">
        <v>119</v>
      </c>
      <c r="F563" s="37" t="s">
        <v>119</v>
      </c>
      <c r="G563" s="37">
        <v>5</v>
      </c>
      <c r="H563" s="37">
        <v>8</v>
      </c>
      <c r="I563" s="37" t="s">
        <v>119</v>
      </c>
      <c r="J563" s="37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106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t="s">
        <v>119</v>
      </c>
      <c r="W563" s="11" t="s">
        <v>119</v>
      </c>
      <c r="X563" s="11" t="s">
        <v>119</v>
      </c>
    </row>
    <row r="564" spans="1:24" x14ac:dyDescent="0.3">
      <c r="A564" s="14" t="s">
        <v>108</v>
      </c>
      <c r="B564" s="2">
        <v>0</v>
      </c>
      <c r="C564" s="14">
        <v>3</v>
      </c>
      <c r="D564" s="14">
        <v>2</v>
      </c>
      <c r="E564" s="1">
        <v>4</v>
      </c>
      <c r="F564" s="37" t="s">
        <v>119</v>
      </c>
      <c r="G564" s="37">
        <f>1+5+1+1+1+1</f>
        <v>10</v>
      </c>
      <c r="H564" s="34">
        <v>7</v>
      </c>
      <c r="I564" s="28">
        <v>2</v>
      </c>
      <c r="J564" s="28">
        <v>8</v>
      </c>
      <c r="K564" s="29" t="s">
        <v>119</v>
      </c>
      <c r="L564" s="28">
        <v>18</v>
      </c>
      <c r="M564" s="28" t="s">
        <v>119</v>
      </c>
      <c r="N564" s="1">
        <v>4</v>
      </c>
      <c r="O564" s="43">
        <v>3</v>
      </c>
      <c r="P564" s="106" t="s">
        <v>119</v>
      </c>
      <c r="Q564" s="106">
        <v>5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t="s">
        <v>119</v>
      </c>
      <c r="W564" s="11" t="str">
        <f t="shared" si="8"/>
        <v>X</v>
      </c>
      <c r="X564" s="11" t="s">
        <v>119</v>
      </c>
    </row>
    <row r="565" spans="1:24" x14ac:dyDescent="0.3">
      <c r="A565" s="14" t="s">
        <v>486</v>
      </c>
      <c r="B565" s="17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34" t="s">
        <v>119</v>
      </c>
      <c r="I565" s="28" t="s">
        <v>119</v>
      </c>
      <c r="J565" s="28" t="s">
        <v>119</v>
      </c>
      <c r="K565" s="29" t="s">
        <v>119</v>
      </c>
      <c r="L565" s="28" t="s">
        <v>119</v>
      </c>
      <c r="M565" s="28" t="s">
        <v>134</v>
      </c>
      <c r="N565" s="1" t="s">
        <v>119</v>
      </c>
      <c r="O565" s="43" t="s">
        <v>119</v>
      </c>
      <c r="P565" s="106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t="s">
        <v>119</v>
      </c>
      <c r="W565" s="11" t="s">
        <v>134</v>
      </c>
      <c r="X565" s="11" t="s">
        <v>119</v>
      </c>
    </row>
    <row r="566" spans="1:24" x14ac:dyDescent="0.3">
      <c r="A566" s="14" t="s">
        <v>1035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34" t="s">
        <v>119</v>
      </c>
      <c r="I566" s="28" t="s">
        <v>119</v>
      </c>
      <c r="J566" s="28" t="s">
        <v>119</v>
      </c>
      <c r="K566" s="29" t="s">
        <v>119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106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>
        <v>4</v>
      </c>
      <c r="V566" t="s">
        <v>119</v>
      </c>
      <c r="W566" s="11" t="str">
        <f t="shared" si="8"/>
        <v>X</v>
      </c>
      <c r="X566" s="11" t="s">
        <v>119</v>
      </c>
    </row>
    <row r="567" spans="1:24" x14ac:dyDescent="0.3">
      <c r="A567" s="14" t="s">
        <v>859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34" t="s">
        <v>119</v>
      </c>
      <c r="I567" s="28" t="s">
        <v>119</v>
      </c>
      <c r="J567" s="28" t="s">
        <v>119</v>
      </c>
      <c r="K567" s="29" t="s">
        <v>119</v>
      </c>
      <c r="L567" s="28" t="s">
        <v>119</v>
      </c>
      <c r="M567" s="28" t="s">
        <v>119</v>
      </c>
      <c r="N567" s="1" t="s">
        <v>119</v>
      </c>
      <c r="O567" s="43" t="s">
        <v>119</v>
      </c>
      <c r="P567" s="106" t="s">
        <v>119</v>
      </c>
      <c r="Q567" s="106" t="s">
        <v>119</v>
      </c>
      <c r="R567" s="106">
        <v>1</v>
      </c>
      <c r="S567" s="106" t="s">
        <v>119</v>
      </c>
      <c r="T567" s="106" t="s">
        <v>119</v>
      </c>
      <c r="U567" s="106" t="s">
        <v>119</v>
      </c>
      <c r="V567" t="s">
        <v>119</v>
      </c>
      <c r="W567" s="11" t="str">
        <f t="shared" si="8"/>
        <v>X</v>
      </c>
      <c r="X567" s="11" t="s">
        <v>119</v>
      </c>
    </row>
    <row r="568" spans="1:24" x14ac:dyDescent="0.3">
      <c r="A568" s="14" t="s">
        <v>858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34" t="s">
        <v>119</v>
      </c>
      <c r="I568" s="28" t="s">
        <v>119</v>
      </c>
      <c r="J568" s="28" t="s">
        <v>119</v>
      </c>
      <c r="K568" s="29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106">
        <v>1</v>
      </c>
      <c r="Q568" s="106" t="s">
        <v>119</v>
      </c>
      <c r="R568" s="106" t="s">
        <v>119</v>
      </c>
      <c r="S568" s="106" t="s">
        <v>119</v>
      </c>
      <c r="T568" s="106" t="s">
        <v>119</v>
      </c>
      <c r="U568" s="106" t="s">
        <v>119</v>
      </c>
      <c r="V568" t="s">
        <v>119</v>
      </c>
      <c r="W568" s="11" t="str">
        <f t="shared" si="8"/>
        <v>X</v>
      </c>
      <c r="X568" s="11" t="s">
        <v>119</v>
      </c>
    </row>
    <row r="569" spans="1:24" x14ac:dyDescent="0.3">
      <c r="A569" s="14" t="s">
        <v>288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 t="s">
        <v>119</v>
      </c>
      <c r="H569" s="34" t="s">
        <v>119</v>
      </c>
      <c r="I569" s="28" t="s">
        <v>119</v>
      </c>
      <c r="J569" s="28" t="s">
        <v>119</v>
      </c>
      <c r="K569" s="29">
        <v>1</v>
      </c>
      <c r="L569" s="28">
        <v>6</v>
      </c>
      <c r="M569" s="28" t="s">
        <v>119</v>
      </c>
      <c r="N569" s="1" t="s">
        <v>119</v>
      </c>
      <c r="O569" s="43" t="s">
        <v>119</v>
      </c>
      <c r="P569" s="106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t="s">
        <v>119</v>
      </c>
      <c r="W569" s="11" t="s">
        <v>119</v>
      </c>
      <c r="X569" s="11" t="s">
        <v>134</v>
      </c>
    </row>
    <row r="570" spans="1:24" x14ac:dyDescent="0.3">
      <c r="A570" s="14" t="s">
        <v>856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>
        <v>5</v>
      </c>
      <c r="G570" s="37" t="s">
        <v>119</v>
      </c>
      <c r="H570" s="34" t="s">
        <v>119</v>
      </c>
      <c r="I570" s="28" t="s">
        <v>119</v>
      </c>
      <c r="J570" s="28" t="s">
        <v>119</v>
      </c>
      <c r="K570" s="29" t="s">
        <v>119</v>
      </c>
      <c r="L570" s="28" t="s">
        <v>119</v>
      </c>
      <c r="M570" s="28" t="s">
        <v>119</v>
      </c>
      <c r="N570" s="1" t="s">
        <v>119</v>
      </c>
      <c r="O570" s="43" t="s">
        <v>119</v>
      </c>
      <c r="P570" s="106" t="s">
        <v>119</v>
      </c>
      <c r="Q570" s="106" t="s">
        <v>119</v>
      </c>
      <c r="R570" s="106">
        <v>1</v>
      </c>
      <c r="S570" s="106" t="s">
        <v>119</v>
      </c>
      <c r="T570" s="106" t="s">
        <v>119</v>
      </c>
      <c r="U570" s="106" t="s">
        <v>119</v>
      </c>
      <c r="V570" t="s">
        <v>119</v>
      </c>
      <c r="W570" s="11" t="str">
        <f t="shared" si="8"/>
        <v>X</v>
      </c>
      <c r="X570" s="11" t="s">
        <v>134</v>
      </c>
    </row>
    <row r="571" spans="1:24" x14ac:dyDescent="0.3">
      <c r="A571" s="14" t="s">
        <v>1309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>
        <v>8</v>
      </c>
      <c r="G571" s="37" t="s">
        <v>119</v>
      </c>
      <c r="H571" s="34" t="s">
        <v>119</v>
      </c>
      <c r="I571" s="28" t="s">
        <v>119</v>
      </c>
      <c r="J571" s="28" t="s">
        <v>119</v>
      </c>
      <c r="K571" s="29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106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t="s">
        <v>119</v>
      </c>
      <c r="W571" s="11" t="s">
        <v>119</v>
      </c>
      <c r="X571" s="11" t="s">
        <v>119</v>
      </c>
    </row>
    <row r="572" spans="1:24" x14ac:dyDescent="0.3">
      <c r="A572" s="14" t="s">
        <v>862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34" t="s">
        <v>119</v>
      </c>
      <c r="I572" s="28" t="s">
        <v>119</v>
      </c>
      <c r="J572" s="28" t="s">
        <v>119</v>
      </c>
      <c r="K572" s="29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106" t="s">
        <v>119</v>
      </c>
      <c r="Q572" s="106">
        <v>2</v>
      </c>
      <c r="R572" s="106">
        <v>1</v>
      </c>
      <c r="S572" s="106">
        <v>22</v>
      </c>
      <c r="T572" s="106">
        <v>3</v>
      </c>
      <c r="U572" s="106">
        <v>5</v>
      </c>
      <c r="V572" t="s">
        <v>119</v>
      </c>
      <c r="W572" s="11" t="str">
        <f t="shared" si="8"/>
        <v>X</v>
      </c>
      <c r="X572" s="11" t="s">
        <v>119</v>
      </c>
    </row>
    <row r="573" spans="1:24" x14ac:dyDescent="0.3">
      <c r="A573" s="14" t="s">
        <v>140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 t="s">
        <v>119</v>
      </c>
      <c r="G573" s="37" t="s">
        <v>119</v>
      </c>
      <c r="H573" s="34">
        <v>5</v>
      </c>
      <c r="I573" s="28" t="s">
        <v>119</v>
      </c>
      <c r="J573" s="28" t="s">
        <v>119</v>
      </c>
      <c r="K573" s="29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106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t="s">
        <v>119</v>
      </c>
      <c r="W573" s="11" t="s">
        <v>119</v>
      </c>
      <c r="X573" s="11" t="s">
        <v>134</v>
      </c>
    </row>
    <row r="574" spans="1:24" x14ac:dyDescent="0.3">
      <c r="A574" s="14" t="s">
        <v>1120</v>
      </c>
      <c r="B574" s="2" t="s">
        <v>119</v>
      </c>
      <c r="C574" s="14" t="s">
        <v>119</v>
      </c>
      <c r="D574" s="14" t="s">
        <v>119</v>
      </c>
      <c r="E574" s="1" t="s">
        <v>119</v>
      </c>
      <c r="F574" s="37" t="s">
        <v>119</v>
      </c>
      <c r="G574" s="37" t="s">
        <v>119</v>
      </c>
      <c r="H574" s="34" t="s">
        <v>119</v>
      </c>
      <c r="I574" s="28" t="s">
        <v>119</v>
      </c>
      <c r="J574" s="28" t="s">
        <v>119</v>
      </c>
      <c r="K574" s="29" t="s">
        <v>119</v>
      </c>
      <c r="L574" s="28" t="s">
        <v>119</v>
      </c>
      <c r="M574" s="28" t="s">
        <v>119</v>
      </c>
      <c r="N574" s="1" t="s">
        <v>119</v>
      </c>
      <c r="O574" s="43">
        <v>2</v>
      </c>
      <c r="P574" s="106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t="s">
        <v>119</v>
      </c>
      <c r="W574" s="11" t="s">
        <v>119</v>
      </c>
      <c r="X574" s="11" t="s">
        <v>134</v>
      </c>
    </row>
    <row r="575" spans="1:24" s="5" customFormat="1" x14ac:dyDescent="0.3">
      <c r="A575" s="10" t="s">
        <v>112</v>
      </c>
      <c r="B575" s="6">
        <v>3</v>
      </c>
      <c r="C575" s="10">
        <v>1</v>
      </c>
      <c r="D575" s="10">
        <v>0</v>
      </c>
      <c r="E575" s="10">
        <v>0</v>
      </c>
      <c r="F575" s="37" t="s">
        <v>119</v>
      </c>
      <c r="G575" s="29" t="s">
        <v>119</v>
      </c>
      <c r="H575" s="29" t="s">
        <v>119</v>
      </c>
      <c r="I575" s="29">
        <v>1</v>
      </c>
      <c r="J575" s="29" t="s">
        <v>119</v>
      </c>
      <c r="K575" s="29" t="s">
        <v>119</v>
      </c>
      <c r="L575" s="29" t="s">
        <v>119</v>
      </c>
      <c r="M575" s="29" t="s">
        <v>119</v>
      </c>
      <c r="N575" s="10" t="s">
        <v>119</v>
      </c>
      <c r="O575" s="43" t="s">
        <v>119</v>
      </c>
      <c r="P575" s="107" t="s">
        <v>119</v>
      </c>
      <c r="Q575" s="107" t="s">
        <v>119</v>
      </c>
      <c r="R575" s="107" t="s">
        <v>119</v>
      </c>
      <c r="S575" s="107" t="s">
        <v>119</v>
      </c>
      <c r="T575" s="106" t="s">
        <v>119</v>
      </c>
      <c r="U575" s="106" t="s">
        <v>119</v>
      </c>
      <c r="V575" t="s">
        <v>119</v>
      </c>
      <c r="W575" s="11" t="s">
        <v>119</v>
      </c>
      <c r="X575" s="11" t="s">
        <v>119</v>
      </c>
    </row>
    <row r="576" spans="1:24" s="5" customFormat="1" x14ac:dyDescent="0.3">
      <c r="A576" s="10" t="s">
        <v>863</v>
      </c>
      <c r="B576" s="6" t="s">
        <v>119</v>
      </c>
      <c r="C576" s="10" t="s">
        <v>119</v>
      </c>
      <c r="D576" s="10" t="s">
        <v>119</v>
      </c>
      <c r="E576" s="10" t="s">
        <v>119</v>
      </c>
      <c r="F576" s="37" t="s">
        <v>119</v>
      </c>
      <c r="G576" s="29" t="s">
        <v>119</v>
      </c>
      <c r="H576" s="29" t="s">
        <v>119</v>
      </c>
      <c r="I576" s="29" t="s">
        <v>119</v>
      </c>
      <c r="J576" s="29" t="s">
        <v>119</v>
      </c>
      <c r="K576" s="29" t="s">
        <v>119</v>
      </c>
      <c r="L576" s="29" t="s">
        <v>119</v>
      </c>
      <c r="M576" s="29" t="s">
        <v>119</v>
      </c>
      <c r="N576" s="10" t="s">
        <v>119</v>
      </c>
      <c r="O576" s="43" t="s">
        <v>119</v>
      </c>
      <c r="P576" s="107" t="s">
        <v>119</v>
      </c>
      <c r="Q576" s="107">
        <v>1</v>
      </c>
      <c r="R576" s="107" t="s">
        <v>119</v>
      </c>
      <c r="S576" s="107" t="s">
        <v>119</v>
      </c>
      <c r="T576" s="106" t="s">
        <v>119</v>
      </c>
      <c r="U576" s="106" t="s">
        <v>119</v>
      </c>
      <c r="V576" t="s">
        <v>119</v>
      </c>
      <c r="W576" s="11" t="str">
        <f t="shared" si="8"/>
        <v>X</v>
      </c>
      <c r="X576" s="11" t="s">
        <v>119</v>
      </c>
    </row>
    <row r="577" spans="1:24" s="5" customFormat="1" x14ac:dyDescent="0.3">
      <c r="A577" s="10" t="s">
        <v>864</v>
      </c>
      <c r="B577" s="6" t="s">
        <v>119</v>
      </c>
      <c r="C577" s="10" t="s">
        <v>119</v>
      </c>
      <c r="D577" s="10" t="s">
        <v>119</v>
      </c>
      <c r="E577" s="10" t="s">
        <v>119</v>
      </c>
      <c r="F577" s="37" t="s">
        <v>119</v>
      </c>
      <c r="G577" s="29" t="s">
        <v>119</v>
      </c>
      <c r="H577" s="29" t="s">
        <v>119</v>
      </c>
      <c r="I577" s="29" t="s">
        <v>119</v>
      </c>
      <c r="J577" s="29" t="s">
        <v>119</v>
      </c>
      <c r="K577" s="29" t="s">
        <v>119</v>
      </c>
      <c r="L577" s="29" t="s">
        <v>119</v>
      </c>
      <c r="M577" s="29" t="s">
        <v>119</v>
      </c>
      <c r="N577" s="10" t="s">
        <v>119</v>
      </c>
      <c r="O577" s="43" t="s">
        <v>119</v>
      </c>
      <c r="P577" s="107" t="s">
        <v>119</v>
      </c>
      <c r="Q577" s="107">
        <v>1</v>
      </c>
      <c r="R577" s="107" t="s">
        <v>119</v>
      </c>
      <c r="S577" s="107" t="s">
        <v>119</v>
      </c>
      <c r="T577" s="106" t="s">
        <v>119</v>
      </c>
      <c r="U577" s="106" t="s">
        <v>119</v>
      </c>
      <c r="V577" t="s">
        <v>119</v>
      </c>
      <c r="W577" s="11" t="str">
        <f t="shared" si="8"/>
        <v>X</v>
      </c>
      <c r="X577" s="11" t="s">
        <v>119</v>
      </c>
    </row>
    <row r="578" spans="1:24" s="5" customFormat="1" x14ac:dyDescent="0.3">
      <c r="A578" s="10" t="s">
        <v>865</v>
      </c>
      <c r="B578" s="6" t="s">
        <v>119</v>
      </c>
      <c r="C578" s="10" t="s">
        <v>119</v>
      </c>
      <c r="D578" s="10" t="s">
        <v>119</v>
      </c>
      <c r="E578" s="10" t="s">
        <v>119</v>
      </c>
      <c r="F578" s="37" t="s">
        <v>119</v>
      </c>
      <c r="G578" s="29" t="s">
        <v>119</v>
      </c>
      <c r="H578" s="29" t="s">
        <v>119</v>
      </c>
      <c r="I578" s="29" t="s">
        <v>119</v>
      </c>
      <c r="J578" s="29" t="s">
        <v>119</v>
      </c>
      <c r="K578" s="29" t="s">
        <v>119</v>
      </c>
      <c r="L578" s="29" t="s">
        <v>119</v>
      </c>
      <c r="M578" s="29" t="s">
        <v>119</v>
      </c>
      <c r="N578" s="10" t="s">
        <v>119</v>
      </c>
      <c r="O578" s="43" t="s">
        <v>119</v>
      </c>
      <c r="P578" s="107" t="s">
        <v>119</v>
      </c>
      <c r="Q578" s="107" t="s">
        <v>119</v>
      </c>
      <c r="R578" s="107">
        <v>1</v>
      </c>
      <c r="S578" s="107" t="s">
        <v>119</v>
      </c>
      <c r="T578" s="106" t="s">
        <v>119</v>
      </c>
      <c r="U578" s="106" t="s">
        <v>119</v>
      </c>
      <c r="V578" t="s">
        <v>119</v>
      </c>
      <c r="W578" s="11" t="str">
        <f t="shared" si="8"/>
        <v>X</v>
      </c>
      <c r="X578" s="11" t="s">
        <v>119</v>
      </c>
    </row>
    <row r="579" spans="1:24" s="97" customFormat="1" x14ac:dyDescent="0.3">
      <c r="A579" s="10" t="s">
        <v>110</v>
      </c>
      <c r="B579" s="6">
        <v>5</v>
      </c>
      <c r="C579" s="10">
        <v>0</v>
      </c>
      <c r="D579" s="10">
        <v>0</v>
      </c>
      <c r="E579" s="10">
        <v>0</v>
      </c>
      <c r="F579" s="37" t="s">
        <v>119</v>
      </c>
      <c r="G579" s="29" t="s">
        <v>119</v>
      </c>
      <c r="H579" s="29" t="s">
        <v>119</v>
      </c>
      <c r="I579" s="29" t="s">
        <v>119</v>
      </c>
      <c r="J579" s="29" t="s">
        <v>119</v>
      </c>
      <c r="K579" s="29" t="s">
        <v>119</v>
      </c>
      <c r="L579" s="30" t="s">
        <v>119</v>
      </c>
      <c r="M579" s="30" t="s">
        <v>119</v>
      </c>
      <c r="N579" s="7" t="s">
        <v>119</v>
      </c>
      <c r="O579" s="43" t="s">
        <v>119</v>
      </c>
      <c r="P579" s="107" t="s">
        <v>119</v>
      </c>
      <c r="Q579" s="107" t="s">
        <v>119</v>
      </c>
      <c r="R579" s="107" t="s">
        <v>119</v>
      </c>
      <c r="S579" s="107" t="s">
        <v>119</v>
      </c>
      <c r="T579" s="106" t="s">
        <v>119</v>
      </c>
      <c r="U579" s="106" t="s">
        <v>119</v>
      </c>
      <c r="V579" t="s">
        <v>119</v>
      </c>
      <c r="W579" s="11" t="s">
        <v>119</v>
      </c>
      <c r="X579" s="88" t="s">
        <v>119</v>
      </c>
    </row>
    <row r="580" spans="1:24" s="5" customFormat="1" x14ac:dyDescent="0.3">
      <c r="A580" s="10" t="s">
        <v>109</v>
      </c>
      <c r="B580" s="6">
        <v>114</v>
      </c>
      <c r="C580" s="10">
        <f>45+27+16+35+8</f>
        <v>131</v>
      </c>
      <c r="D580" s="10">
        <v>0</v>
      </c>
      <c r="E580" s="10">
        <v>1</v>
      </c>
      <c r="F580" s="37" t="s">
        <v>119</v>
      </c>
      <c r="G580" s="29" t="s">
        <v>119</v>
      </c>
      <c r="H580" s="29" t="s">
        <v>119</v>
      </c>
      <c r="I580" s="29" t="s">
        <v>119</v>
      </c>
      <c r="J580" s="29" t="s">
        <v>119</v>
      </c>
      <c r="K580" s="29" t="s">
        <v>119</v>
      </c>
      <c r="L580" s="29" t="s">
        <v>119</v>
      </c>
      <c r="M580" s="29" t="s">
        <v>119</v>
      </c>
      <c r="N580" s="10" t="s">
        <v>119</v>
      </c>
      <c r="O580" s="43" t="s">
        <v>119</v>
      </c>
      <c r="P580" s="107" t="s">
        <v>119</v>
      </c>
      <c r="Q580" s="107" t="s">
        <v>119</v>
      </c>
      <c r="R580" s="107" t="s">
        <v>119</v>
      </c>
      <c r="S580" s="107" t="s">
        <v>119</v>
      </c>
      <c r="T580" s="106" t="s">
        <v>119</v>
      </c>
      <c r="U580" s="106" t="s">
        <v>119</v>
      </c>
      <c r="V580" t="s">
        <v>119</v>
      </c>
      <c r="W580" s="11" t="s">
        <v>119</v>
      </c>
      <c r="X580" s="11" t="s">
        <v>119</v>
      </c>
    </row>
    <row r="581" spans="1:24" x14ac:dyDescent="0.3">
      <c r="A581" s="14" t="s">
        <v>232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>
        <v>1</v>
      </c>
      <c r="K581" s="28" t="s">
        <v>119</v>
      </c>
      <c r="L581" s="28" t="s">
        <v>119</v>
      </c>
      <c r="M581" s="28" t="s">
        <v>134</v>
      </c>
      <c r="N581" s="1" t="s">
        <v>119</v>
      </c>
      <c r="O581" s="43" t="s">
        <v>119</v>
      </c>
      <c r="P581" s="106" t="s">
        <v>119</v>
      </c>
      <c r="Q581" s="106" t="s">
        <v>119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t="s">
        <v>119</v>
      </c>
      <c r="W581" s="11" t="s">
        <v>119</v>
      </c>
      <c r="X581" s="11" t="s">
        <v>119</v>
      </c>
    </row>
    <row r="582" spans="1:24" x14ac:dyDescent="0.3">
      <c r="A582" s="14" t="s">
        <v>1311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>
        <v>1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8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106" t="s">
        <v>119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t="s">
        <v>119</v>
      </c>
      <c r="W582" s="11" t="s">
        <v>119</v>
      </c>
      <c r="X582" s="11" t="s">
        <v>119</v>
      </c>
    </row>
    <row r="583" spans="1:24" x14ac:dyDescent="0.3">
      <c r="A583" s="14" t="s">
        <v>1310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>
        <v>1</v>
      </c>
      <c r="I583" s="28" t="s">
        <v>119</v>
      </c>
      <c r="J583" s="28" t="s">
        <v>119</v>
      </c>
      <c r="K583" s="28" t="s">
        <v>119</v>
      </c>
      <c r="L583" s="28" t="s">
        <v>119</v>
      </c>
      <c r="M583" s="28" t="s">
        <v>119</v>
      </c>
      <c r="N583" s="1" t="s">
        <v>119</v>
      </c>
      <c r="O583" s="43" t="s">
        <v>119</v>
      </c>
      <c r="P583" s="106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t="s">
        <v>119</v>
      </c>
      <c r="W583" s="11" t="s">
        <v>119</v>
      </c>
      <c r="X583" s="11" t="s">
        <v>134</v>
      </c>
    </row>
    <row r="584" spans="1:24" x14ac:dyDescent="0.3">
      <c r="A584" s="14" t="s">
        <v>690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 t="s">
        <v>119</v>
      </c>
      <c r="G584" s="37">
        <v>3</v>
      </c>
      <c r="H584" s="34">
        <v>6</v>
      </c>
      <c r="I584" s="28" t="s">
        <v>119</v>
      </c>
      <c r="J584" s="28">
        <v>8</v>
      </c>
      <c r="K584" s="28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106">
        <v>2</v>
      </c>
      <c r="Q584" s="106" t="s">
        <v>119</v>
      </c>
      <c r="R584" s="106" t="s">
        <v>119</v>
      </c>
      <c r="S584" s="106" t="s">
        <v>119</v>
      </c>
      <c r="T584" s="106" t="s">
        <v>119</v>
      </c>
      <c r="U584" s="106" t="s">
        <v>119</v>
      </c>
      <c r="V584" t="s">
        <v>119</v>
      </c>
      <c r="W584" s="11" t="str">
        <f t="shared" si="8"/>
        <v>X</v>
      </c>
      <c r="X584" s="11" t="s">
        <v>134</v>
      </c>
    </row>
    <row r="585" spans="1:24" x14ac:dyDescent="0.3">
      <c r="A585" s="14" t="s">
        <v>1034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 t="s">
        <v>119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8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106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>
        <v>1</v>
      </c>
      <c r="V585" t="s">
        <v>119</v>
      </c>
      <c r="W585" s="11" t="str">
        <f t="shared" si="8"/>
        <v>X</v>
      </c>
      <c r="X585" s="11" t="s">
        <v>119</v>
      </c>
    </row>
    <row r="586" spans="1:24" x14ac:dyDescent="0.3">
      <c r="A586" s="14" t="s">
        <v>827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8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106">
        <v>4</v>
      </c>
      <c r="Q586" s="106" t="s">
        <v>119</v>
      </c>
      <c r="R586" s="106" t="s">
        <v>119</v>
      </c>
      <c r="S586" s="106" t="s">
        <v>119</v>
      </c>
      <c r="T586" s="106" t="s">
        <v>119</v>
      </c>
      <c r="U586" s="106" t="s">
        <v>119</v>
      </c>
      <c r="V586" t="s">
        <v>119</v>
      </c>
      <c r="W586" s="11" t="str">
        <f t="shared" si="8"/>
        <v>X</v>
      </c>
      <c r="X586" s="11" t="s">
        <v>119</v>
      </c>
    </row>
    <row r="587" spans="1:24" x14ac:dyDescent="0.3">
      <c r="A587" s="14" t="s">
        <v>103</v>
      </c>
      <c r="B587" s="2">
        <v>12</v>
      </c>
      <c r="C587" s="14">
        <v>0</v>
      </c>
      <c r="D587" s="14">
        <v>0</v>
      </c>
      <c r="E587" s="1">
        <v>84</v>
      </c>
      <c r="F587" s="37" t="s">
        <v>119</v>
      </c>
      <c r="G587" s="37" t="s">
        <v>119</v>
      </c>
      <c r="H587" s="28" t="s">
        <v>119</v>
      </c>
      <c r="I587" s="28" t="s">
        <v>119</v>
      </c>
      <c r="J587" s="28" t="s">
        <v>119</v>
      </c>
      <c r="K587" s="28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106" t="s">
        <v>119</v>
      </c>
      <c r="Q587" s="106">
        <v>127</v>
      </c>
      <c r="R587" s="106">
        <v>8</v>
      </c>
      <c r="S587" s="106" t="s">
        <v>119</v>
      </c>
      <c r="T587" s="106" t="s">
        <v>119</v>
      </c>
      <c r="U587" s="106" t="s">
        <v>119</v>
      </c>
      <c r="V587" t="s">
        <v>119</v>
      </c>
      <c r="W587" s="11" t="str">
        <f t="shared" si="8"/>
        <v>X</v>
      </c>
      <c r="X587" s="11" t="s">
        <v>134</v>
      </c>
    </row>
    <row r="588" spans="1:24" x14ac:dyDescent="0.3">
      <c r="A588" s="14" t="s">
        <v>727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28" t="s">
        <v>119</v>
      </c>
      <c r="I588" s="28">
        <v>1</v>
      </c>
      <c r="J588" s="28" t="s">
        <v>119</v>
      </c>
      <c r="K588" s="28" t="s">
        <v>119</v>
      </c>
      <c r="L588" s="28" t="s">
        <v>119</v>
      </c>
      <c r="M588" s="28" t="s">
        <v>119</v>
      </c>
      <c r="N588" s="1" t="s">
        <v>119</v>
      </c>
      <c r="O588" s="43" t="s">
        <v>119</v>
      </c>
      <c r="P588" s="106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t="s">
        <v>119</v>
      </c>
      <c r="W588" s="11" t="s">
        <v>1274</v>
      </c>
      <c r="X588" s="11" t="s">
        <v>1274</v>
      </c>
    </row>
    <row r="589" spans="1:24" x14ac:dyDescent="0.3">
      <c r="A589" s="14" t="s">
        <v>1029</v>
      </c>
      <c r="B589" s="2" t="s">
        <v>119</v>
      </c>
      <c r="C589" s="14" t="s">
        <v>119</v>
      </c>
      <c r="D589" s="14" t="s">
        <v>119</v>
      </c>
      <c r="E589" s="1" t="s">
        <v>119</v>
      </c>
      <c r="F589" s="37" t="s">
        <v>119</v>
      </c>
      <c r="G589" s="37" t="s">
        <v>119</v>
      </c>
      <c r="H589" s="28" t="s">
        <v>119</v>
      </c>
      <c r="I589" s="28" t="s">
        <v>119</v>
      </c>
      <c r="J589" s="28" t="s">
        <v>119</v>
      </c>
      <c r="K589" s="28" t="s">
        <v>119</v>
      </c>
      <c r="L589" s="28" t="s">
        <v>119</v>
      </c>
      <c r="M589" s="28" t="s">
        <v>119</v>
      </c>
      <c r="N589" s="1" t="s">
        <v>119</v>
      </c>
      <c r="O589" s="43" t="s">
        <v>119</v>
      </c>
      <c r="P589" s="106" t="s">
        <v>119</v>
      </c>
      <c r="Q589" s="106" t="s">
        <v>119</v>
      </c>
      <c r="R589" s="106" t="s">
        <v>119</v>
      </c>
      <c r="S589" s="106" t="s">
        <v>119</v>
      </c>
      <c r="T589" s="106">
        <v>1</v>
      </c>
      <c r="U589" s="106" t="s">
        <v>119</v>
      </c>
      <c r="V589" t="s">
        <v>119</v>
      </c>
      <c r="W589" s="11" t="str">
        <f t="shared" si="8"/>
        <v>X</v>
      </c>
      <c r="X589" s="11" t="s">
        <v>119</v>
      </c>
    </row>
    <row r="590" spans="1:24" x14ac:dyDescent="0.3">
      <c r="A590" s="14" t="s">
        <v>1030</v>
      </c>
      <c r="B590" s="2" t="s">
        <v>119</v>
      </c>
      <c r="C590" s="14" t="s">
        <v>119</v>
      </c>
      <c r="D590" s="14" t="s">
        <v>119</v>
      </c>
      <c r="E590" s="1" t="s">
        <v>119</v>
      </c>
      <c r="F590" s="37" t="s">
        <v>119</v>
      </c>
      <c r="G590" s="37" t="s">
        <v>119</v>
      </c>
      <c r="H590" s="28" t="s">
        <v>119</v>
      </c>
      <c r="I590" s="28" t="s">
        <v>119</v>
      </c>
      <c r="J590" s="28" t="s">
        <v>119</v>
      </c>
      <c r="K590" s="28" t="s">
        <v>119</v>
      </c>
      <c r="L590" s="28" t="s">
        <v>119</v>
      </c>
      <c r="M590" s="28" t="s">
        <v>119</v>
      </c>
      <c r="N590" s="1" t="s">
        <v>119</v>
      </c>
      <c r="O590" s="43" t="s">
        <v>119</v>
      </c>
      <c r="P590" s="106" t="s">
        <v>119</v>
      </c>
      <c r="Q590" s="106" t="s">
        <v>119</v>
      </c>
      <c r="R590" s="106" t="s">
        <v>119</v>
      </c>
      <c r="S590" s="106">
        <v>1</v>
      </c>
      <c r="T590" s="106" t="s">
        <v>119</v>
      </c>
      <c r="U590" s="106" t="s">
        <v>119</v>
      </c>
      <c r="V590" t="s">
        <v>119</v>
      </c>
      <c r="W590" s="11" t="str">
        <f t="shared" si="8"/>
        <v>X</v>
      </c>
      <c r="X590" s="11" t="s">
        <v>119</v>
      </c>
    </row>
    <row r="591" spans="1:24" x14ac:dyDescent="0.3">
      <c r="A591" s="14" t="s">
        <v>488</v>
      </c>
      <c r="B591" s="2">
        <v>0</v>
      </c>
      <c r="C591" s="14">
        <v>0</v>
      </c>
      <c r="D591" s="14">
        <v>0</v>
      </c>
      <c r="E591" s="1">
        <v>2</v>
      </c>
      <c r="F591" s="37" t="s">
        <v>119</v>
      </c>
      <c r="G591" s="37" t="s">
        <v>119</v>
      </c>
      <c r="H591" s="28" t="s">
        <v>119</v>
      </c>
      <c r="I591" s="28" t="s">
        <v>119</v>
      </c>
      <c r="J591" s="28" t="s">
        <v>119</v>
      </c>
      <c r="K591" s="28" t="s">
        <v>119</v>
      </c>
      <c r="L591" s="28" t="s">
        <v>119</v>
      </c>
      <c r="M591" s="28" t="s">
        <v>119</v>
      </c>
      <c r="N591" s="1" t="s">
        <v>119</v>
      </c>
      <c r="O591" s="43" t="s">
        <v>119</v>
      </c>
      <c r="P591" s="106" t="s">
        <v>119</v>
      </c>
      <c r="Q591" s="106" t="s">
        <v>119</v>
      </c>
      <c r="R591" s="106" t="s">
        <v>119</v>
      </c>
      <c r="S591" s="106" t="s">
        <v>119</v>
      </c>
      <c r="T591" s="106" t="s">
        <v>119</v>
      </c>
      <c r="U591" s="106" t="s">
        <v>119</v>
      </c>
      <c r="V591" t="s">
        <v>119</v>
      </c>
      <c r="W591" s="11" t="s">
        <v>119</v>
      </c>
      <c r="X591" s="11" t="s">
        <v>134</v>
      </c>
    </row>
    <row r="592" spans="1:24" x14ac:dyDescent="0.3">
      <c r="A592" s="14" t="s">
        <v>487</v>
      </c>
      <c r="B592" s="2" t="s">
        <v>119</v>
      </c>
      <c r="C592" s="14" t="s">
        <v>119</v>
      </c>
      <c r="D592" s="14" t="s">
        <v>119</v>
      </c>
      <c r="E592" s="1" t="s">
        <v>119</v>
      </c>
      <c r="F592" s="37" t="s">
        <v>119</v>
      </c>
      <c r="G592" s="37" t="s">
        <v>119</v>
      </c>
      <c r="H592" s="28" t="s">
        <v>119</v>
      </c>
      <c r="I592" s="28" t="s">
        <v>119</v>
      </c>
      <c r="J592" s="28" t="s">
        <v>119</v>
      </c>
      <c r="K592" s="28" t="s">
        <v>119</v>
      </c>
      <c r="L592" s="28" t="s">
        <v>119</v>
      </c>
      <c r="M592" s="28">
        <v>1</v>
      </c>
      <c r="N592" s="1" t="s">
        <v>119</v>
      </c>
      <c r="O592" s="43" t="s">
        <v>119</v>
      </c>
      <c r="P592" s="106" t="s">
        <v>119</v>
      </c>
      <c r="Q592" s="106" t="s">
        <v>119</v>
      </c>
      <c r="R592" s="106" t="s">
        <v>119</v>
      </c>
      <c r="S592" s="106" t="s">
        <v>119</v>
      </c>
      <c r="T592" s="106" t="s">
        <v>119</v>
      </c>
      <c r="U592" s="106" t="s">
        <v>119</v>
      </c>
      <c r="V592" t="s">
        <v>119</v>
      </c>
      <c r="W592" s="11" t="s">
        <v>134</v>
      </c>
      <c r="X592" s="11" t="s">
        <v>134</v>
      </c>
    </row>
    <row r="593" spans="1:24" x14ac:dyDescent="0.3">
      <c r="A593" s="14" t="s">
        <v>1044</v>
      </c>
      <c r="B593" s="2" t="s">
        <v>119</v>
      </c>
      <c r="C593" s="14" t="s">
        <v>119</v>
      </c>
      <c r="D593" s="14" t="s">
        <v>119</v>
      </c>
      <c r="E593" s="1" t="s">
        <v>119</v>
      </c>
      <c r="F593" s="37" t="s">
        <v>119</v>
      </c>
      <c r="G593" s="37" t="s">
        <v>119</v>
      </c>
      <c r="H593" s="28" t="s">
        <v>119</v>
      </c>
      <c r="I593" s="28" t="s">
        <v>119</v>
      </c>
      <c r="J593" s="28">
        <v>2</v>
      </c>
      <c r="K593" s="28" t="s">
        <v>119</v>
      </c>
      <c r="L593" s="28" t="s">
        <v>119</v>
      </c>
      <c r="M593" s="28" t="s">
        <v>119</v>
      </c>
      <c r="N593" s="1" t="s">
        <v>119</v>
      </c>
      <c r="O593" s="43" t="s">
        <v>119</v>
      </c>
      <c r="P593" s="106" t="s">
        <v>119</v>
      </c>
      <c r="Q593" s="106" t="s">
        <v>119</v>
      </c>
      <c r="R593" s="106" t="s">
        <v>119</v>
      </c>
      <c r="S593" s="106" t="s">
        <v>119</v>
      </c>
      <c r="T593" s="106" t="s">
        <v>119</v>
      </c>
      <c r="U593" s="106" t="s">
        <v>119</v>
      </c>
      <c r="V593" t="s">
        <v>119</v>
      </c>
      <c r="W593" s="11" t="s">
        <v>119</v>
      </c>
      <c r="X593" s="11" t="s">
        <v>119</v>
      </c>
    </row>
    <row r="594" spans="1:24" x14ac:dyDescent="0.3">
      <c r="A594" s="14" t="s">
        <v>1185</v>
      </c>
      <c r="B594" s="2" t="s">
        <v>119</v>
      </c>
      <c r="C594" s="2" t="s">
        <v>119</v>
      </c>
      <c r="D594" s="2" t="s">
        <v>119</v>
      </c>
      <c r="E594" s="2" t="s">
        <v>119</v>
      </c>
      <c r="F594" s="2" t="s">
        <v>119</v>
      </c>
      <c r="G594" s="2" t="s">
        <v>119</v>
      </c>
      <c r="H594" s="2" t="s">
        <v>119</v>
      </c>
      <c r="I594" s="28" t="s">
        <v>119</v>
      </c>
      <c r="J594" s="28" t="s">
        <v>134</v>
      </c>
      <c r="K594" s="28" t="s">
        <v>119</v>
      </c>
      <c r="L594" s="28" t="s">
        <v>119</v>
      </c>
      <c r="M594" s="28" t="s">
        <v>119</v>
      </c>
      <c r="N594" s="28" t="s">
        <v>119</v>
      </c>
      <c r="O594" s="28" t="s">
        <v>119</v>
      </c>
      <c r="P594" s="106" t="s">
        <v>119</v>
      </c>
      <c r="Q594" s="106" t="s">
        <v>119</v>
      </c>
      <c r="R594" s="106" t="s">
        <v>119</v>
      </c>
      <c r="S594" s="106" t="s">
        <v>119</v>
      </c>
      <c r="T594" s="106" t="s">
        <v>119</v>
      </c>
      <c r="U594" s="106" t="s">
        <v>119</v>
      </c>
      <c r="V594" t="s">
        <v>134</v>
      </c>
      <c r="W594" s="11" t="s">
        <v>119</v>
      </c>
      <c r="X594" s="11" t="s">
        <v>119</v>
      </c>
    </row>
    <row r="595" spans="1:24" x14ac:dyDescent="0.3">
      <c r="A595" s="14" t="s">
        <v>691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28">
        <v>14</v>
      </c>
      <c r="I595" s="28">
        <v>3</v>
      </c>
      <c r="J595" s="28" t="s">
        <v>119</v>
      </c>
      <c r="K595" s="28" t="s">
        <v>119</v>
      </c>
      <c r="L595" s="28" t="s">
        <v>119</v>
      </c>
      <c r="M595" s="28" t="s">
        <v>119</v>
      </c>
      <c r="N595" s="1" t="s">
        <v>119</v>
      </c>
      <c r="O595" s="43" t="s">
        <v>119</v>
      </c>
      <c r="P595" s="106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t="s">
        <v>119</v>
      </c>
      <c r="W595" s="11" t="s">
        <v>134</v>
      </c>
      <c r="X595" s="11" t="s">
        <v>134</v>
      </c>
    </row>
    <row r="596" spans="1:24" x14ac:dyDescent="0.3">
      <c r="A596" s="14" t="s">
        <v>489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 t="s">
        <v>119</v>
      </c>
      <c r="G596" s="37" t="s">
        <v>119</v>
      </c>
      <c r="H596" s="28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>
        <f>1+5+2+2+1</f>
        <v>11</v>
      </c>
      <c r="N596" s="1" t="s">
        <v>119</v>
      </c>
      <c r="O596" s="43" t="s">
        <v>119</v>
      </c>
      <c r="P596" s="106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t="s">
        <v>119</v>
      </c>
      <c r="W596" s="11" t="s">
        <v>134</v>
      </c>
      <c r="X596" s="11" t="s">
        <v>119</v>
      </c>
    </row>
    <row r="597" spans="1:24" x14ac:dyDescent="0.3">
      <c r="A597" s="14" t="s">
        <v>490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>
        <v>1</v>
      </c>
      <c r="H597" s="28" t="s">
        <v>119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>
        <f>1+32+30+1+1+7+5+1</f>
        <v>78</v>
      </c>
      <c r="N597" s="1" t="s">
        <v>119</v>
      </c>
      <c r="O597" s="43">
        <v>1</v>
      </c>
      <c r="P597" s="106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t="s">
        <v>119</v>
      </c>
      <c r="W597" s="11" t="s">
        <v>134</v>
      </c>
      <c r="X597" s="11" t="s">
        <v>134</v>
      </c>
    </row>
    <row r="598" spans="1:24" x14ac:dyDescent="0.3">
      <c r="A598" s="14" t="s">
        <v>1186</v>
      </c>
      <c r="B598" s="2" t="s">
        <v>119</v>
      </c>
      <c r="C598" s="2" t="s">
        <v>119</v>
      </c>
      <c r="D598" s="2" t="s">
        <v>119</v>
      </c>
      <c r="E598" s="2" t="s">
        <v>119</v>
      </c>
      <c r="F598" s="2" t="s">
        <v>119</v>
      </c>
      <c r="G598" s="2" t="s">
        <v>119</v>
      </c>
      <c r="H598" s="2" t="s">
        <v>119</v>
      </c>
      <c r="I598" s="2" t="s">
        <v>119</v>
      </c>
      <c r="J598" s="28" t="s">
        <v>134</v>
      </c>
      <c r="K598" s="28" t="s">
        <v>119</v>
      </c>
      <c r="L598" s="28" t="s">
        <v>119</v>
      </c>
      <c r="M598" s="28" t="s">
        <v>119</v>
      </c>
      <c r="N598" s="28" t="s">
        <v>119</v>
      </c>
      <c r="O598" s="28" t="s">
        <v>119</v>
      </c>
      <c r="P598" s="106" t="s">
        <v>119</v>
      </c>
      <c r="Q598" s="106" t="s">
        <v>119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t="s">
        <v>134</v>
      </c>
      <c r="W598" s="11" t="s">
        <v>119</v>
      </c>
      <c r="X598" s="11" t="s">
        <v>119</v>
      </c>
    </row>
    <row r="599" spans="1:24" x14ac:dyDescent="0.3">
      <c r="A599" s="14" t="s">
        <v>331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28" t="s">
        <v>119</v>
      </c>
      <c r="I599" s="28" t="s">
        <v>119</v>
      </c>
      <c r="J599" s="28" t="s">
        <v>119</v>
      </c>
      <c r="K599" s="28" t="s">
        <v>119</v>
      </c>
      <c r="L599" s="28">
        <v>12</v>
      </c>
      <c r="M599" s="28" t="s">
        <v>119</v>
      </c>
      <c r="N599" s="1" t="s">
        <v>119</v>
      </c>
      <c r="O599" s="43" t="s">
        <v>119</v>
      </c>
      <c r="P599" s="106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t="s">
        <v>119</v>
      </c>
      <c r="W599" s="11" t="s">
        <v>134</v>
      </c>
      <c r="X599" s="11" t="s">
        <v>134</v>
      </c>
    </row>
    <row r="600" spans="1:24" x14ac:dyDescent="0.3">
      <c r="A600" s="14" t="s">
        <v>1101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28">
        <v>1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106" t="s">
        <v>119</v>
      </c>
      <c r="Q600" s="106" t="s">
        <v>119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t="s">
        <v>119</v>
      </c>
      <c r="W600" s="11" t="s">
        <v>119</v>
      </c>
      <c r="X600" s="11" t="s">
        <v>134</v>
      </c>
    </row>
    <row r="601" spans="1:24" x14ac:dyDescent="0.3">
      <c r="A601" s="14" t="s">
        <v>816</v>
      </c>
      <c r="B601" s="2" t="s">
        <v>119</v>
      </c>
      <c r="C601" s="14" t="s">
        <v>119</v>
      </c>
      <c r="D601" s="14" t="s">
        <v>119</v>
      </c>
      <c r="E601" s="1" t="s">
        <v>119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106" t="s">
        <v>119</v>
      </c>
      <c r="Q601" s="106">
        <v>2</v>
      </c>
      <c r="R601" s="106" t="s">
        <v>119</v>
      </c>
      <c r="S601" s="106" t="s">
        <v>119</v>
      </c>
      <c r="T601" s="106" t="s">
        <v>119</v>
      </c>
      <c r="U601" s="106" t="s">
        <v>119</v>
      </c>
      <c r="V601" t="s">
        <v>119</v>
      </c>
      <c r="W601" s="11" t="str">
        <f t="shared" ref="W601:W647" si="9">IF(SUM(P601:U601)&gt;=1,"X","")</f>
        <v>X</v>
      </c>
      <c r="X601" s="11" t="s">
        <v>119</v>
      </c>
    </row>
    <row r="602" spans="1:24" x14ac:dyDescent="0.3">
      <c r="A602" s="1" t="s">
        <v>89</v>
      </c>
      <c r="B602" s="2">
        <v>0</v>
      </c>
      <c r="C602" s="4">
        <v>0</v>
      </c>
      <c r="D602" s="4">
        <v>0</v>
      </c>
      <c r="E602" s="1">
        <v>3</v>
      </c>
      <c r="F602" s="37" t="s">
        <v>119</v>
      </c>
      <c r="G602" s="37" t="s">
        <v>119</v>
      </c>
      <c r="H602" s="28" t="s">
        <v>119</v>
      </c>
      <c r="I602" s="28" t="s">
        <v>119</v>
      </c>
      <c r="J602" s="28" t="s">
        <v>119</v>
      </c>
      <c r="K602" s="27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106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t="s">
        <v>119</v>
      </c>
      <c r="W602" s="11" t="s">
        <v>1274</v>
      </c>
      <c r="X602" s="11" t="s">
        <v>1274</v>
      </c>
    </row>
    <row r="603" spans="1:24" x14ac:dyDescent="0.3">
      <c r="A603" s="12" t="s">
        <v>818</v>
      </c>
      <c r="B603" s="2" t="s">
        <v>119</v>
      </c>
      <c r="C603" s="4" t="s">
        <v>119</v>
      </c>
      <c r="D603" s="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7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106" t="s">
        <v>119</v>
      </c>
      <c r="Q603" s="106">
        <v>1</v>
      </c>
      <c r="R603" s="106" t="s">
        <v>119</v>
      </c>
      <c r="S603" s="106" t="s">
        <v>119</v>
      </c>
      <c r="T603" s="106" t="s">
        <v>119</v>
      </c>
      <c r="U603" s="106" t="s">
        <v>119</v>
      </c>
      <c r="V603" t="s">
        <v>119</v>
      </c>
      <c r="W603" s="11" t="str">
        <f t="shared" si="9"/>
        <v>X</v>
      </c>
      <c r="X603" s="11" t="s">
        <v>119</v>
      </c>
    </row>
    <row r="604" spans="1:24" s="5" customFormat="1" x14ac:dyDescent="0.3">
      <c r="A604" s="7" t="s">
        <v>819</v>
      </c>
      <c r="B604" s="6" t="s">
        <v>119</v>
      </c>
      <c r="C604" s="7" t="s">
        <v>119</v>
      </c>
      <c r="D604" s="7" t="s">
        <v>119</v>
      </c>
      <c r="E604" s="10" t="s">
        <v>119</v>
      </c>
      <c r="F604" s="37" t="s">
        <v>119</v>
      </c>
      <c r="G604" s="29" t="s">
        <v>119</v>
      </c>
      <c r="H604" s="29" t="s">
        <v>119</v>
      </c>
      <c r="I604" s="29" t="s">
        <v>119</v>
      </c>
      <c r="J604" s="29" t="s">
        <v>119</v>
      </c>
      <c r="K604" s="30" t="s">
        <v>119</v>
      </c>
      <c r="L604" s="29" t="s">
        <v>119</v>
      </c>
      <c r="M604" s="29" t="s">
        <v>119</v>
      </c>
      <c r="N604" s="10" t="s">
        <v>119</v>
      </c>
      <c r="O604" s="43" t="s">
        <v>119</v>
      </c>
      <c r="P604" s="107" t="s">
        <v>119</v>
      </c>
      <c r="Q604" s="107">
        <v>1</v>
      </c>
      <c r="R604" s="107" t="s">
        <v>119</v>
      </c>
      <c r="S604" s="107" t="s">
        <v>119</v>
      </c>
      <c r="T604" s="106" t="s">
        <v>119</v>
      </c>
      <c r="U604" s="106" t="s">
        <v>119</v>
      </c>
      <c r="V604" t="s">
        <v>119</v>
      </c>
      <c r="W604" s="11" t="str">
        <f t="shared" si="9"/>
        <v>X</v>
      </c>
      <c r="X604" s="11" t="s">
        <v>119</v>
      </c>
    </row>
    <row r="605" spans="1:24" s="11" customFormat="1" x14ac:dyDescent="0.3">
      <c r="A605" s="12" t="s">
        <v>820</v>
      </c>
      <c r="B605" s="18" t="s">
        <v>119</v>
      </c>
      <c r="C605" s="12" t="s">
        <v>119</v>
      </c>
      <c r="D605" s="12" t="s">
        <v>119</v>
      </c>
      <c r="E605" s="14" t="s">
        <v>119</v>
      </c>
      <c r="F605" s="37" t="s">
        <v>119</v>
      </c>
      <c r="G605" s="31" t="s">
        <v>119</v>
      </c>
      <c r="H605" s="31" t="s">
        <v>119</v>
      </c>
      <c r="I605" s="31" t="s">
        <v>119</v>
      </c>
      <c r="J605" s="31" t="s">
        <v>119</v>
      </c>
      <c r="K605" s="34" t="s">
        <v>119</v>
      </c>
      <c r="L605" s="31" t="s">
        <v>119</v>
      </c>
      <c r="M605" s="31" t="s">
        <v>119</v>
      </c>
      <c r="N605" s="14" t="s">
        <v>119</v>
      </c>
      <c r="O605" s="43" t="s">
        <v>119</v>
      </c>
      <c r="P605" s="108" t="s">
        <v>119</v>
      </c>
      <c r="Q605" s="108">
        <v>1</v>
      </c>
      <c r="R605" s="108" t="s">
        <v>119</v>
      </c>
      <c r="S605" s="108" t="s">
        <v>119</v>
      </c>
      <c r="T605" s="106" t="s">
        <v>119</v>
      </c>
      <c r="U605" s="106" t="s">
        <v>119</v>
      </c>
      <c r="V605" t="s">
        <v>119</v>
      </c>
      <c r="W605" s="11" t="str">
        <f t="shared" si="9"/>
        <v>X</v>
      </c>
      <c r="X605" s="11" t="s">
        <v>119</v>
      </c>
    </row>
    <row r="606" spans="1:24" x14ac:dyDescent="0.3">
      <c r="A606" s="12" t="s">
        <v>491</v>
      </c>
      <c r="B606" s="2" t="s">
        <v>119</v>
      </c>
      <c r="C606" s="4" t="s">
        <v>119</v>
      </c>
      <c r="D606" s="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134</v>
      </c>
      <c r="J606" s="28" t="s">
        <v>119</v>
      </c>
      <c r="K606" s="27" t="s">
        <v>119</v>
      </c>
      <c r="L606" s="28" t="s">
        <v>119</v>
      </c>
      <c r="M606" s="28">
        <f>4+4+5+3+10</f>
        <v>26</v>
      </c>
      <c r="N606" s="1" t="s">
        <v>119</v>
      </c>
      <c r="O606" s="43" t="s">
        <v>119</v>
      </c>
      <c r="P606" s="106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t="s">
        <v>119</v>
      </c>
      <c r="W606" s="11" t="s">
        <v>134</v>
      </c>
      <c r="X606" s="11" t="s">
        <v>134</v>
      </c>
    </row>
    <row r="607" spans="1:24" x14ac:dyDescent="0.3">
      <c r="A607" s="1" t="s">
        <v>90</v>
      </c>
      <c r="B607" s="2">
        <v>0</v>
      </c>
      <c r="C607" s="4">
        <v>0</v>
      </c>
      <c r="D607" s="4">
        <v>0</v>
      </c>
      <c r="E607" s="1">
        <v>4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61" t="s">
        <v>119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106" t="s">
        <v>119</v>
      </c>
      <c r="Q607" s="106">
        <v>1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t="s">
        <v>119</v>
      </c>
      <c r="W607" s="11" t="str">
        <f t="shared" si="9"/>
        <v>X</v>
      </c>
      <c r="X607" s="11" t="s">
        <v>134</v>
      </c>
    </row>
    <row r="608" spans="1:24" x14ac:dyDescent="0.3">
      <c r="A608" s="12" t="s">
        <v>692</v>
      </c>
      <c r="B608" s="2" t="s">
        <v>119</v>
      </c>
      <c r="C608" s="4" t="s">
        <v>119</v>
      </c>
      <c r="D608" s="4" t="s">
        <v>119</v>
      </c>
      <c r="E608" s="1" t="s">
        <v>119</v>
      </c>
      <c r="F608" s="37" t="s">
        <v>119</v>
      </c>
      <c r="G608" s="37" t="s">
        <v>119</v>
      </c>
      <c r="H608" s="28">
        <v>6</v>
      </c>
      <c r="I608" s="28" t="s">
        <v>119</v>
      </c>
      <c r="J608" s="61" t="s">
        <v>119</v>
      </c>
      <c r="K608" s="28" t="s">
        <v>119</v>
      </c>
      <c r="L608" s="28" t="s">
        <v>119</v>
      </c>
      <c r="M608" s="28" t="s">
        <v>119</v>
      </c>
      <c r="N608" s="1" t="s">
        <v>119</v>
      </c>
      <c r="O608" s="43" t="s">
        <v>119</v>
      </c>
      <c r="P608" s="106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t="s">
        <v>119</v>
      </c>
      <c r="W608" s="11" t="s">
        <v>134</v>
      </c>
      <c r="X608" s="11" t="s">
        <v>119</v>
      </c>
    </row>
    <row r="609" spans="1:24" x14ac:dyDescent="0.3">
      <c r="A609" s="12" t="s">
        <v>492</v>
      </c>
      <c r="B609" s="2" t="s">
        <v>119</v>
      </c>
      <c r="C609" s="4" t="s">
        <v>119</v>
      </c>
      <c r="D609" s="4" t="s">
        <v>119</v>
      </c>
      <c r="E609" s="1" t="s">
        <v>119</v>
      </c>
      <c r="F609" s="37" t="s">
        <v>119</v>
      </c>
      <c r="G609" s="37" t="s">
        <v>119</v>
      </c>
      <c r="H609" s="28" t="s">
        <v>119</v>
      </c>
      <c r="I609" s="28" t="s">
        <v>119</v>
      </c>
      <c r="J609" s="61" t="s">
        <v>119</v>
      </c>
      <c r="K609" s="28" t="s">
        <v>119</v>
      </c>
      <c r="L609" s="28" t="s">
        <v>119</v>
      </c>
      <c r="M609" s="28">
        <v>1</v>
      </c>
      <c r="N609" s="1" t="s">
        <v>119</v>
      </c>
      <c r="O609" s="43" t="s">
        <v>119</v>
      </c>
      <c r="P609" s="106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t="s">
        <v>119</v>
      </c>
      <c r="W609" s="11" t="s">
        <v>119</v>
      </c>
      <c r="X609" s="11" t="s">
        <v>119</v>
      </c>
    </row>
    <row r="610" spans="1:24" x14ac:dyDescent="0.3">
      <c r="A610" s="12" t="s">
        <v>850</v>
      </c>
      <c r="B610" s="2" t="s">
        <v>119</v>
      </c>
      <c r="C610" s="4" t="s">
        <v>119</v>
      </c>
      <c r="D610" s="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61" t="s">
        <v>119</v>
      </c>
      <c r="K610" s="28" t="s">
        <v>119</v>
      </c>
      <c r="L610" s="28" t="s">
        <v>119</v>
      </c>
      <c r="M610" s="28" t="s">
        <v>119</v>
      </c>
      <c r="N610" s="1" t="s">
        <v>119</v>
      </c>
      <c r="O610" s="43" t="s">
        <v>119</v>
      </c>
      <c r="P610" s="106" t="s">
        <v>119</v>
      </c>
      <c r="Q610" s="106">
        <v>7</v>
      </c>
      <c r="R610" s="106">
        <v>10</v>
      </c>
      <c r="S610" s="106" t="s">
        <v>119</v>
      </c>
      <c r="T610" s="106" t="s">
        <v>119</v>
      </c>
      <c r="U610" s="106" t="s">
        <v>119</v>
      </c>
      <c r="V610" t="s">
        <v>119</v>
      </c>
      <c r="W610" s="11" t="str">
        <f t="shared" si="9"/>
        <v>X</v>
      </c>
      <c r="X610" s="11" t="s">
        <v>1274</v>
      </c>
    </row>
    <row r="611" spans="1:24" x14ac:dyDescent="0.3">
      <c r="A611" s="12" t="s">
        <v>1187</v>
      </c>
      <c r="B611" s="2" t="s">
        <v>119</v>
      </c>
      <c r="C611" s="4" t="s">
        <v>119</v>
      </c>
      <c r="D611" s="4" t="s">
        <v>119</v>
      </c>
      <c r="E611" s="1" t="s">
        <v>119</v>
      </c>
      <c r="F611" s="37" t="s">
        <v>119</v>
      </c>
      <c r="G611" s="37" t="s">
        <v>119</v>
      </c>
      <c r="H611" s="28" t="s">
        <v>119</v>
      </c>
      <c r="I611" s="28" t="s">
        <v>119</v>
      </c>
      <c r="J611" s="61">
        <v>1</v>
      </c>
      <c r="K611" s="28" t="s">
        <v>119</v>
      </c>
      <c r="L611" s="28" t="s">
        <v>119</v>
      </c>
      <c r="M611" s="28" t="s">
        <v>119</v>
      </c>
      <c r="N611" s="1" t="s">
        <v>119</v>
      </c>
      <c r="O611" s="43" t="s">
        <v>119</v>
      </c>
      <c r="P611" s="106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t="s">
        <v>134</v>
      </c>
      <c r="W611" s="11" t="s">
        <v>119</v>
      </c>
      <c r="X611" s="11" t="s">
        <v>119</v>
      </c>
    </row>
    <row r="612" spans="1:24" x14ac:dyDescent="0.3">
      <c r="A612" s="12" t="s">
        <v>1188</v>
      </c>
      <c r="B612" s="2" t="s">
        <v>119</v>
      </c>
      <c r="C612" s="4" t="s">
        <v>119</v>
      </c>
      <c r="D612" s="4" t="s">
        <v>119</v>
      </c>
      <c r="E612" s="1" t="s">
        <v>119</v>
      </c>
      <c r="F612" s="37" t="s">
        <v>119</v>
      </c>
      <c r="G612" s="37" t="s">
        <v>119</v>
      </c>
      <c r="H612" s="28" t="s">
        <v>119</v>
      </c>
      <c r="I612" s="28" t="s">
        <v>119</v>
      </c>
      <c r="J612" s="61">
        <v>11</v>
      </c>
      <c r="K612" s="28" t="s">
        <v>119</v>
      </c>
      <c r="L612" s="28" t="s">
        <v>119</v>
      </c>
      <c r="M612" s="28" t="s">
        <v>119</v>
      </c>
      <c r="N612" s="1" t="s">
        <v>119</v>
      </c>
      <c r="O612" s="43" t="s">
        <v>119</v>
      </c>
      <c r="P612" s="106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t="s">
        <v>134</v>
      </c>
      <c r="W612" s="11" t="s">
        <v>119</v>
      </c>
      <c r="X612" s="11" t="s">
        <v>119</v>
      </c>
    </row>
    <row r="613" spans="1:24" x14ac:dyDescent="0.3">
      <c r="A613" s="12" t="s">
        <v>849</v>
      </c>
      <c r="B613" s="2" t="s">
        <v>119</v>
      </c>
      <c r="C613" s="4" t="s">
        <v>119</v>
      </c>
      <c r="D613" s="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61" t="s">
        <v>119</v>
      </c>
      <c r="K613" s="28" t="s">
        <v>119</v>
      </c>
      <c r="L613" s="28" t="s">
        <v>119</v>
      </c>
      <c r="M613" s="28" t="s">
        <v>119</v>
      </c>
      <c r="N613" s="1" t="s">
        <v>119</v>
      </c>
      <c r="O613" s="43" t="s">
        <v>119</v>
      </c>
      <c r="P613" s="106">
        <v>2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t="s">
        <v>119</v>
      </c>
      <c r="W613" s="11" t="str">
        <f t="shared" si="9"/>
        <v>X</v>
      </c>
      <c r="X613" s="11" t="s">
        <v>119</v>
      </c>
    </row>
    <row r="614" spans="1:24" x14ac:dyDescent="0.3">
      <c r="A614" s="12" t="s">
        <v>851</v>
      </c>
      <c r="B614" s="2" t="s">
        <v>119</v>
      </c>
      <c r="C614" s="4" t="s">
        <v>119</v>
      </c>
      <c r="D614" s="4" t="s">
        <v>119</v>
      </c>
      <c r="E614" s="1" t="s">
        <v>119</v>
      </c>
      <c r="F614" s="37" t="s">
        <v>119</v>
      </c>
      <c r="G614" s="37" t="s">
        <v>119</v>
      </c>
      <c r="H614" s="28" t="s">
        <v>119</v>
      </c>
      <c r="I614" s="28" t="s">
        <v>119</v>
      </c>
      <c r="J614" s="61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106" t="s">
        <v>119</v>
      </c>
      <c r="Q614" s="106">
        <v>4</v>
      </c>
      <c r="R614" s="106">
        <v>40</v>
      </c>
      <c r="S614" s="106" t="s">
        <v>119</v>
      </c>
      <c r="T614" s="106" t="s">
        <v>119</v>
      </c>
      <c r="U614" s="106" t="s">
        <v>119</v>
      </c>
      <c r="V614" t="s">
        <v>119</v>
      </c>
      <c r="W614" s="11" t="str">
        <f t="shared" si="9"/>
        <v>X</v>
      </c>
      <c r="X614" s="11" t="s">
        <v>119</v>
      </c>
    </row>
    <row r="615" spans="1:24" x14ac:dyDescent="0.3">
      <c r="A615" s="12" t="s">
        <v>1031</v>
      </c>
      <c r="B615" s="2" t="s">
        <v>119</v>
      </c>
      <c r="C615" s="4" t="s">
        <v>119</v>
      </c>
      <c r="D615" s="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61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106" t="s">
        <v>119</v>
      </c>
      <c r="Q615" s="106" t="s">
        <v>119</v>
      </c>
      <c r="R615" s="106" t="s">
        <v>119</v>
      </c>
      <c r="S615" s="106" t="s">
        <v>119</v>
      </c>
      <c r="T615" s="106" t="s">
        <v>119</v>
      </c>
      <c r="U615" s="106">
        <v>17</v>
      </c>
      <c r="V615" t="s">
        <v>119</v>
      </c>
      <c r="W615" s="11" t="str">
        <f t="shared" si="9"/>
        <v>X</v>
      </c>
      <c r="X615" s="11" t="s">
        <v>1274</v>
      </c>
    </row>
    <row r="616" spans="1:24" s="5" customFormat="1" x14ac:dyDescent="0.3">
      <c r="A616" s="7" t="s">
        <v>852</v>
      </c>
      <c r="B616" s="6" t="s">
        <v>119</v>
      </c>
      <c r="C616" s="7" t="s">
        <v>119</v>
      </c>
      <c r="D616" s="7" t="s">
        <v>119</v>
      </c>
      <c r="E616" s="10" t="s">
        <v>119</v>
      </c>
      <c r="F616" s="37" t="s">
        <v>119</v>
      </c>
      <c r="G616" s="29" t="s">
        <v>119</v>
      </c>
      <c r="H616" s="29" t="s">
        <v>119</v>
      </c>
      <c r="I616" s="29" t="s">
        <v>119</v>
      </c>
      <c r="J616" s="96" t="s">
        <v>119</v>
      </c>
      <c r="K616" s="29" t="s">
        <v>119</v>
      </c>
      <c r="L616" s="29" t="s">
        <v>119</v>
      </c>
      <c r="M616" s="29" t="s">
        <v>119</v>
      </c>
      <c r="N616" s="10" t="s">
        <v>119</v>
      </c>
      <c r="O616" s="43" t="s">
        <v>119</v>
      </c>
      <c r="P616" s="107" t="s">
        <v>119</v>
      </c>
      <c r="Q616" s="107" t="s">
        <v>119</v>
      </c>
      <c r="R616" s="107">
        <v>3</v>
      </c>
      <c r="S616" s="107" t="s">
        <v>119</v>
      </c>
      <c r="T616" s="106" t="s">
        <v>119</v>
      </c>
      <c r="U616" s="106" t="s">
        <v>119</v>
      </c>
      <c r="V616" t="s">
        <v>119</v>
      </c>
      <c r="W616" s="11" t="str">
        <f t="shared" si="9"/>
        <v>X</v>
      </c>
      <c r="X616" s="11" t="s">
        <v>119</v>
      </c>
    </row>
    <row r="617" spans="1:24" s="11" customFormat="1" x14ac:dyDescent="0.3">
      <c r="A617" s="12" t="s">
        <v>1190</v>
      </c>
      <c r="B617" s="2" t="s">
        <v>119</v>
      </c>
      <c r="C617" s="2" t="s">
        <v>119</v>
      </c>
      <c r="D617" s="2" t="s">
        <v>119</v>
      </c>
      <c r="E617" s="2" t="s">
        <v>119</v>
      </c>
      <c r="F617" s="2" t="s">
        <v>119</v>
      </c>
      <c r="G617" s="2" t="s">
        <v>119</v>
      </c>
      <c r="H617" s="2" t="s">
        <v>119</v>
      </c>
      <c r="I617" s="2" t="s">
        <v>119</v>
      </c>
      <c r="J617" s="76">
        <v>1</v>
      </c>
      <c r="K617" s="28" t="s">
        <v>119</v>
      </c>
      <c r="L617" s="28" t="s">
        <v>119</v>
      </c>
      <c r="M617" s="28" t="s">
        <v>119</v>
      </c>
      <c r="N617" s="28" t="s">
        <v>119</v>
      </c>
      <c r="O617" s="28" t="s">
        <v>119</v>
      </c>
      <c r="P617" s="106" t="s">
        <v>119</v>
      </c>
      <c r="Q617" s="106" t="s">
        <v>119</v>
      </c>
      <c r="R617" s="106" t="s">
        <v>119</v>
      </c>
      <c r="S617" s="106" t="s">
        <v>119</v>
      </c>
      <c r="T617" s="106" t="s">
        <v>119</v>
      </c>
      <c r="U617" s="106" t="s">
        <v>119</v>
      </c>
      <c r="V617" s="11" t="s">
        <v>134</v>
      </c>
      <c r="W617" s="11" t="s">
        <v>119</v>
      </c>
      <c r="X617" s="11" t="s">
        <v>119</v>
      </c>
    </row>
    <row r="618" spans="1:24" x14ac:dyDescent="0.3">
      <c r="A618" s="12" t="s">
        <v>848</v>
      </c>
      <c r="B618" s="2" t="s">
        <v>119</v>
      </c>
      <c r="C618" s="4" t="s">
        <v>119</v>
      </c>
      <c r="D618" s="4" t="s">
        <v>119</v>
      </c>
      <c r="E618" s="1" t="s">
        <v>119</v>
      </c>
      <c r="F618" s="37" t="s">
        <v>119</v>
      </c>
      <c r="G618" s="37" t="s">
        <v>119</v>
      </c>
      <c r="H618" s="28" t="s">
        <v>119</v>
      </c>
      <c r="I618" s="28" t="s">
        <v>119</v>
      </c>
      <c r="J618" s="61" t="s">
        <v>119</v>
      </c>
      <c r="K618" s="28" t="s">
        <v>119</v>
      </c>
      <c r="L618" s="28" t="s">
        <v>119</v>
      </c>
      <c r="M618" s="28" t="s">
        <v>119</v>
      </c>
      <c r="N618" s="1" t="s">
        <v>119</v>
      </c>
      <c r="O618" s="43" t="s">
        <v>119</v>
      </c>
      <c r="P618" s="106">
        <v>6</v>
      </c>
      <c r="Q618" s="106" t="s">
        <v>119</v>
      </c>
      <c r="R618" s="106" t="s">
        <v>119</v>
      </c>
      <c r="S618" s="106" t="s">
        <v>119</v>
      </c>
      <c r="T618" s="106" t="s">
        <v>119</v>
      </c>
      <c r="U618" s="106" t="s">
        <v>119</v>
      </c>
      <c r="V618" t="s">
        <v>119</v>
      </c>
      <c r="W618" s="11" t="str">
        <f t="shared" si="9"/>
        <v>X</v>
      </c>
      <c r="X618" s="11" t="s">
        <v>119</v>
      </c>
    </row>
    <row r="619" spans="1:24" x14ac:dyDescent="0.3">
      <c r="A619" s="12" t="s">
        <v>1189</v>
      </c>
      <c r="B619" s="2" t="s">
        <v>119</v>
      </c>
      <c r="C619" s="4" t="s">
        <v>119</v>
      </c>
      <c r="D619" s="4" t="s">
        <v>119</v>
      </c>
      <c r="E619" s="1" t="s">
        <v>119</v>
      </c>
      <c r="F619" s="37" t="s">
        <v>119</v>
      </c>
      <c r="G619" s="37" t="s">
        <v>119</v>
      </c>
      <c r="H619" s="28" t="s">
        <v>119</v>
      </c>
      <c r="I619" s="28" t="s">
        <v>119</v>
      </c>
      <c r="J619" s="61" t="s">
        <v>119</v>
      </c>
      <c r="K619" s="28" t="s">
        <v>119</v>
      </c>
      <c r="L619" s="28" t="s">
        <v>119</v>
      </c>
      <c r="M619" s="28" t="s">
        <v>119</v>
      </c>
      <c r="N619" s="1" t="s">
        <v>119</v>
      </c>
      <c r="O619" s="43" t="s">
        <v>119</v>
      </c>
      <c r="P619" s="106" t="s">
        <v>119</v>
      </c>
      <c r="Q619" s="106" t="s">
        <v>119</v>
      </c>
      <c r="R619" s="106">
        <v>11</v>
      </c>
      <c r="S619" s="106" t="s">
        <v>119</v>
      </c>
      <c r="T619" s="106" t="s">
        <v>119</v>
      </c>
      <c r="U619" s="106" t="s">
        <v>119</v>
      </c>
      <c r="V619" t="s">
        <v>119</v>
      </c>
      <c r="W619" s="11" t="str">
        <f t="shared" si="9"/>
        <v>X</v>
      </c>
      <c r="X619" s="11" t="s">
        <v>119</v>
      </c>
    </row>
    <row r="620" spans="1:24" x14ac:dyDescent="0.3">
      <c r="A620" s="12" t="s">
        <v>847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119</v>
      </c>
      <c r="J620" s="61" t="s">
        <v>119</v>
      </c>
      <c r="K620" s="28" t="s">
        <v>119</v>
      </c>
      <c r="L620" s="28" t="s">
        <v>119</v>
      </c>
      <c r="M620" s="28" t="s">
        <v>119</v>
      </c>
      <c r="N620" s="1" t="s">
        <v>119</v>
      </c>
      <c r="O620" s="43" t="s">
        <v>119</v>
      </c>
      <c r="P620" s="106">
        <v>2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t="s">
        <v>119</v>
      </c>
      <c r="W620" s="11" t="str">
        <f t="shared" si="9"/>
        <v>X</v>
      </c>
      <c r="X620" s="11" t="s">
        <v>119</v>
      </c>
    </row>
    <row r="621" spans="1:24" x14ac:dyDescent="0.3">
      <c r="A621" s="12" t="s">
        <v>693</v>
      </c>
      <c r="B621" s="2" t="s">
        <v>119</v>
      </c>
      <c r="C621" s="4" t="s">
        <v>119</v>
      </c>
      <c r="D621" s="4" t="s">
        <v>119</v>
      </c>
      <c r="E621" s="1" t="s">
        <v>119</v>
      </c>
      <c r="F621" s="37" t="s">
        <v>119</v>
      </c>
      <c r="G621" s="37" t="s">
        <v>119</v>
      </c>
      <c r="H621" s="28">
        <v>20</v>
      </c>
      <c r="I621" s="28">
        <f>2+3+1+3+5</f>
        <v>14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106" t="s">
        <v>119</v>
      </c>
      <c r="Q621" s="106" t="s">
        <v>119</v>
      </c>
      <c r="R621" s="106" t="s">
        <v>119</v>
      </c>
      <c r="S621" s="106" t="s">
        <v>119</v>
      </c>
      <c r="T621" s="106" t="s">
        <v>119</v>
      </c>
      <c r="U621" s="106" t="s">
        <v>119</v>
      </c>
      <c r="V621" t="s">
        <v>119</v>
      </c>
      <c r="W621" s="11" t="s">
        <v>134</v>
      </c>
      <c r="X621" s="11" t="s">
        <v>134</v>
      </c>
    </row>
    <row r="622" spans="1:24" x14ac:dyDescent="0.3">
      <c r="A622" s="12" t="s">
        <v>493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 t="s">
        <v>119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>
        <f>1+4+2+12+10</f>
        <v>29</v>
      </c>
      <c r="N622" s="1" t="s">
        <v>119</v>
      </c>
      <c r="O622" s="43" t="s">
        <v>119</v>
      </c>
      <c r="P622" s="106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t="s">
        <v>119</v>
      </c>
      <c r="W622" s="11" t="s">
        <v>119</v>
      </c>
      <c r="X622" s="11" t="s">
        <v>119</v>
      </c>
    </row>
    <row r="623" spans="1:24" x14ac:dyDescent="0.3">
      <c r="A623" s="12" t="s">
        <v>494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 t="s">
        <v>134</v>
      </c>
      <c r="N623" s="1" t="s">
        <v>119</v>
      </c>
      <c r="O623" s="43" t="s">
        <v>119</v>
      </c>
      <c r="P623" s="106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t="s">
        <v>119</v>
      </c>
      <c r="W623" s="11" t="s">
        <v>134</v>
      </c>
      <c r="X623" s="11" t="s">
        <v>119</v>
      </c>
    </row>
    <row r="624" spans="1:24" x14ac:dyDescent="0.3">
      <c r="A624" s="12" t="s">
        <v>495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134</v>
      </c>
      <c r="N624" s="1" t="s">
        <v>119</v>
      </c>
      <c r="O624" s="43" t="s">
        <v>119</v>
      </c>
      <c r="P624" s="106" t="s">
        <v>119</v>
      </c>
      <c r="Q624" s="106" t="s">
        <v>119</v>
      </c>
      <c r="R624" s="106" t="s">
        <v>119</v>
      </c>
      <c r="S624" s="106" t="s">
        <v>119</v>
      </c>
      <c r="T624" s="106" t="s">
        <v>119</v>
      </c>
      <c r="U624" s="106" t="s">
        <v>119</v>
      </c>
      <c r="V624" t="s">
        <v>119</v>
      </c>
      <c r="W624" s="11" t="s">
        <v>134</v>
      </c>
      <c r="X624" s="11" t="s">
        <v>119</v>
      </c>
    </row>
    <row r="625" spans="1:24" x14ac:dyDescent="0.3">
      <c r="A625" s="10" t="s">
        <v>311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>
        <v>2</v>
      </c>
      <c r="J625" s="61" t="s">
        <v>119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106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t="s">
        <v>119</v>
      </c>
      <c r="W625" s="11" t="s">
        <v>119</v>
      </c>
      <c r="X625" s="11" t="s">
        <v>119</v>
      </c>
    </row>
    <row r="626" spans="1:24" s="11" customFormat="1" x14ac:dyDescent="0.3">
      <c r="A626" s="14" t="s">
        <v>496</v>
      </c>
      <c r="B626" s="18" t="s">
        <v>119</v>
      </c>
      <c r="C626" s="12" t="s">
        <v>119</v>
      </c>
      <c r="D626" s="12" t="s">
        <v>119</v>
      </c>
      <c r="E626" s="14" t="s">
        <v>119</v>
      </c>
      <c r="F626" s="37" t="s">
        <v>119</v>
      </c>
      <c r="G626" s="37" t="s">
        <v>119</v>
      </c>
      <c r="H626" s="31" t="s">
        <v>119</v>
      </c>
      <c r="I626" s="31" t="s">
        <v>119</v>
      </c>
      <c r="J626" s="76" t="s">
        <v>119</v>
      </c>
      <c r="K626" s="31" t="s">
        <v>119</v>
      </c>
      <c r="L626" s="31" t="s">
        <v>119</v>
      </c>
      <c r="M626" s="31">
        <v>3</v>
      </c>
      <c r="N626" s="14" t="s">
        <v>119</v>
      </c>
      <c r="O626" s="43" t="s">
        <v>119</v>
      </c>
      <c r="P626" s="106" t="s">
        <v>119</v>
      </c>
      <c r="Q626" s="106">
        <v>1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t="s">
        <v>119</v>
      </c>
      <c r="W626" s="11" t="str">
        <f t="shared" si="9"/>
        <v>X</v>
      </c>
      <c r="X626" s="11" t="s">
        <v>119</v>
      </c>
    </row>
    <row r="627" spans="1:24" s="11" customFormat="1" x14ac:dyDescent="0.3">
      <c r="A627" s="14" t="s">
        <v>497</v>
      </c>
      <c r="B627" s="18" t="s">
        <v>119</v>
      </c>
      <c r="C627" s="12" t="s">
        <v>119</v>
      </c>
      <c r="D627" s="12" t="s">
        <v>119</v>
      </c>
      <c r="E627" s="14" t="s">
        <v>119</v>
      </c>
      <c r="F627" s="37" t="s">
        <v>119</v>
      </c>
      <c r="G627" s="37" t="s">
        <v>119</v>
      </c>
      <c r="H627" s="31" t="s">
        <v>119</v>
      </c>
      <c r="I627" s="31" t="s">
        <v>119</v>
      </c>
      <c r="J627" s="76" t="s">
        <v>119</v>
      </c>
      <c r="K627" s="31" t="s">
        <v>119</v>
      </c>
      <c r="L627" s="31" t="s">
        <v>119</v>
      </c>
      <c r="M627" s="31">
        <v>1</v>
      </c>
      <c r="N627" s="14" t="s">
        <v>119</v>
      </c>
      <c r="O627" s="43" t="s">
        <v>119</v>
      </c>
      <c r="P627" s="106" t="s">
        <v>119</v>
      </c>
      <c r="Q627" s="106" t="s">
        <v>119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t="s">
        <v>119</v>
      </c>
      <c r="W627" s="11" t="s">
        <v>134</v>
      </c>
      <c r="X627" s="11" t="s">
        <v>119</v>
      </c>
    </row>
    <row r="628" spans="1:24" s="84" customFormat="1" x14ac:dyDescent="0.3">
      <c r="A628" s="41" t="s">
        <v>498</v>
      </c>
      <c r="B628" s="52"/>
      <c r="C628" s="53"/>
      <c r="D628" s="53"/>
      <c r="E628" s="53"/>
      <c r="F628" s="92"/>
      <c r="G628" s="92"/>
      <c r="H628" s="54"/>
      <c r="I628" s="54"/>
      <c r="J628" s="83"/>
      <c r="K628" s="54"/>
      <c r="L628" s="54"/>
      <c r="M628" s="54"/>
      <c r="N628" s="53"/>
      <c r="O628" s="54"/>
      <c r="P628" s="105"/>
      <c r="Q628" s="105"/>
      <c r="R628" s="105"/>
      <c r="S628" s="105"/>
      <c r="T628" s="105"/>
      <c r="U628" s="105"/>
      <c r="V628" t="s">
        <v>119</v>
      </c>
      <c r="W628" s="11" t="str">
        <f t="shared" si="9"/>
        <v/>
      </c>
    </row>
    <row r="629" spans="1:24" s="11" customFormat="1" x14ac:dyDescent="0.3">
      <c r="A629" s="14" t="s">
        <v>499</v>
      </c>
      <c r="B629" s="18" t="s">
        <v>119</v>
      </c>
      <c r="C629" s="12" t="s">
        <v>119</v>
      </c>
      <c r="D629" s="12" t="s">
        <v>119</v>
      </c>
      <c r="E629" s="14" t="s">
        <v>119</v>
      </c>
      <c r="F629" s="37" t="s">
        <v>119</v>
      </c>
      <c r="G629" s="37" t="s">
        <v>119</v>
      </c>
      <c r="H629" s="31" t="s">
        <v>119</v>
      </c>
      <c r="I629" s="31" t="s">
        <v>119</v>
      </c>
      <c r="J629" s="76" t="s">
        <v>119</v>
      </c>
      <c r="K629" s="31" t="s">
        <v>119</v>
      </c>
      <c r="L629" s="31" t="s">
        <v>119</v>
      </c>
      <c r="M629" s="31">
        <v>1</v>
      </c>
      <c r="N629" s="14" t="s">
        <v>119</v>
      </c>
      <c r="O629" s="31" t="s">
        <v>119</v>
      </c>
      <c r="P629" s="106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t="s">
        <v>119</v>
      </c>
      <c r="W629" s="11" t="s">
        <v>134</v>
      </c>
      <c r="X629" s="11" t="s">
        <v>134</v>
      </c>
    </row>
    <row r="630" spans="1:24" s="11" customFormat="1" x14ac:dyDescent="0.3">
      <c r="A630" s="14" t="s">
        <v>500</v>
      </c>
      <c r="B630" s="18" t="s">
        <v>119</v>
      </c>
      <c r="C630" s="12" t="s">
        <v>119</v>
      </c>
      <c r="D630" s="12" t="s">
        <v>119</v>
      </c>
      <c r="E630" s="14" t="s">
        <v>119</v>
      </c>
      <c r="F630" s="37" t="s">
        <v>119</v>
      </c>
      <c r="G630" s="37" t="s">
        <v>119</v>
      </c>
      <c r="H630" s="31" t="s">
        <v>119</v>
      </c>
      <c r="I630" s="31" t="s">
        <v>119</v>
      </c>
      <c r="J630" s="76" t="s">
        <v>119</v>
      </c>
      <c r="K630" s="31" t="s">
        <v>119</v>
      </c>
      <c r="L630" s="31" t="s">
        <v>119</v>
      </c>
      <c r="M630" s="31">
        <f>5+8+18+8</f>
        <v>39</v>
      </c>
      <c r="N630" s="14" t="s">
        <v>119</v>
      </c>
      <c r="O630" s="31" t="s">
        <v>119</v>
      </c>
      <c r="P630" s="106" t="s">
        <v>119</v>
      </c>
      <c r="Q630" s="106" t="s">
        <v>119</v>
      </c>
      <c r="R630" s="106" t="s">
        <v>119</v>
      </c>
      <c r="S630" s="106" t="s">
        <v>119</v>
      </c>
      <c r="T630" s="106" t="s">
        <v>119</v>
      </c>
      <c r="U630" s="106" t="s">
        <v>119</v>
      </c>
      <c r="V630" t="s">
        <v>119</v>
      </c>
      <c r="W630" s="11" t="s">
        <v>134</v>
      </c>
      <c r="X630" s="11" t="s">
        <v>119</v>
      </c>
    </row>
    <row r="631" spans="1:24" s="11" customFormat="1" x14ac:dyDescent="0.3">
      <c r="A631" s="14" t="s">
        <v>501</v>
      </c>
      <c r="B631" s="18" t="s">
        <v>119</v>
      </c>
      <c r="C631" s="12" t="s">
        <v>119</v>
      </c>
      <c r="D631" s="12" t="s">
        <v>119</v>
      </c>
      <c r="E631" s="14" t="s">
        <v>119</v>
      </c>
      <c r="F631" s="37" t="s">
        <v>119</v>
      </c>
      <c r="G631" s="37" t="s">
        <v>119</v>
      </c>
      <c r="H631" s="31" t="s">
        <v>119</v>
      </c>
      <c r="I631" s="31" t="s">
        <v>119</v>
      </c>
      <c r="J631" s="76" t="s">
        <v>119</v>
      </c>
      <c r="K631" s="31" t="s">
        <v>119</v>
      </c>
      <c r="L631" s="31" t="s">
        <v>119</v>
      </c>
      <c r="M631" s="31" t="s">
        <v>134</v>
      </c>
      <c r="N631" s="14" t="s">
        <v>119</v>
      </c>
      <c r="O631" s="31" t="s">
        <v>119</v>
      </c>
      <c r="P631" s="106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t="s">
        <v>119</v>
      </c>
      <c r="W631" s="11" t="s">
        <v>134</v>
      </c>
      <c r="X631" s="11" t="s">
        <v>134</v>
      </c>
    </row>
    <row r="632" spans="1:24" s="51" customFormat="1" x14ac:dyDescent="0.3">
      <c r="A632" s="63" t="s">
        <v>289</v>
      </c>
      <c r="B632" s="48"/>
      <c r="C632" s="49"/>
      <c r="D632" s="49"/>
      <c r="E632" s="49"/>
      <c r="F632" s="92"/>
      <c r="G632" s="92"/>
      <c r="H632" s="50"/>
      <c r="I632" s="50"/>
      <c r="J632" s="50"/>
      <c r="K632" s="50"/>
      <c r="L632" s="50"/>
      <c r="M632" s="50"/>
      <c r="N632" s="49"/>
      <c r="O632" s="50"/>
      <c r="P632" s="105"/>
      <c r="Q632" s="105"/>
      <c r="R632" s="105"/>
      <c r="S632" s="105"/>
      <c r="T632" s="105"/>
      <c r="U632" s="105"/>
      <c r="V632" t="s">
        <v>119</v>
      </c>
      <c r="W632" s="11" t="str">
        <f t="shared" si="9"/>
        <v/>
      </c>
      <c r="X632" s="84"/>
    </row>
    <row r="633" spans="1:24" x14ac:dyDescent="0.3">
      <c r="A633" s="1" t="s">
        <v>22</v>
      </c>
      <c r="B633" s="2">
        <v>0</v>
      </c>
      <c r="C633" s="1">
        <v>0</v>
      </c>
      <c r="D633" s="1">
        <v>0</v>
      </c>
      <c r="E633" s="1">
        <v>3</v>
      </c>
      <c r="F633" s="37" t="s">
        <v>119</v>
      </c>
      <c r="G633" s="37" t="s">
        <v>134</v>
      </c>
      <c r="H633" s="28" t="s">
        <v>119</v>
      </c>
      <c r="I633" s="28">
        <v>2</v>
      </c>
      <c r="J633" s="28" t="s">
        <v>119</v>
      </c>
      <c r="K633" s="28">
        <v>6</v>
      </c>
      <c r="L633" s="28" t="s">
        <v>119</v>
      </c>
      <c r="M633" s="28" t="s">
        <v>134</v>
      </c>
      <c r="N633" s="1">
        <v>38</v>
      </c>
      <c r="O633" s="28" t="s">
        <v>134</v>
      </c>
      <c r="P633" s="106" t="s">
        <v>119</v>
      </c>
      <c r="Q633" s="106" t="s">
        <v>119</v>
      </c>
      <c r="R633" s="106" t="s">
        <v>119</v>
      </c>
      <c r="S633" s="106" t="s">
        <v>119</v>
      </c>
      <c r="T633" s="106" t="s">
        <v>119</v>
      </c>
      <c r="U633" s="106" t="s">
        <v>119</v>
      </c>
      <c r="V633" t="s">
        <v>119</v>
      </c>
      <c r="W633" s="11" t="s">
        <v>134</v>
      </c>
      <c r="X633" s="11" t="s">
        <v>134</v>
      </c>
    </row>
    <row r="634" spans="1:24" x14ac:dyDescent="0.3">
      <c r="A634" s="1" t="s">
        <v>21</v>
      </c>
      <c r="B634" s="2">
        <v>0</v>
      </c>
      <c r="C634" s="1">
        <v>0</v>
      </c>
      <c r="D634" s="1">
        <v>3</v>
      </c>
      <c r="E634" s="1">
        <v>0</v>
      </c>
      <c r="F634" s="37" t="s">
        <v>119</v>
      </c>
      <c r="G634" s="37">
        <v>3</v>
      </c>
      <c r="H634" s="28" t="s">
        <v>119</v>
      </c>
      <c r="I634" s="28">
        <v>2</v>
      </c>
      <c r="J634" s="28">
        <v>1</v>
      </c>
      <c r="K634" s="28">
        <v>22</v>
      </c>
      <c r="L634" s="28" t="s">
        <v>119</v>
      </c>
      <c r="M634" s="28">
        <v>14</v>
      </c>
      <c r="N634" s="79" t="s">
        <v>119</v>
      </c>
      <c r="O634" s="28">
        <v>2</v>
      </c>
      <c r="P634" s="106" t="s">
        <v>119</v>
      </c>
      <c r="Q634" s="106" t="s">
        <v>119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t="s">
        <v>119</v>
      </c>
      <c r="W634" s="11" t="s">
        <v>119</v>
      </c>
      <c r="X634" s="11" t="s">
        <v>134</v>
      </c>
    </row>
    <row r="635" spans="1:24" x14ac:dyDescent="0.3">
      <c r="A635" s="1" t="s">
        <v>19</v>
      </c>
      <c r="B635" s="2">
        <v>6</v>
      </c>
      <c r="C635" s="1">
        <v>20</v>
      </c>
      <c r="D635" s="1">
        <v>3</v>
      </c>
      <c r="E635" s="1">
        <v>4</v>
      </c>
      <c r="F635" s="37">
        <f>20+1+20+5+4+2+54+6+42+6</f>
        <v>160</v>
      </c>
      <c r="G635" s="37">
        <f>1+10+13+2+2+74+11+5+1+1+1+1+3</f>
        <v>125</v>
      </c>
      <c r="H635" s="27">
        <f>6+17+1+6+6+1+10</f>
        <v>47</v>
      </c>
      <c r="I635" s="28">
        <f>1+1+2+1+1+1+1+5+4+1+2+1</f>
        <v>21</v>
      </c>
      <c r="J635" s="28">
        <f>4+5+7+1+2+2+3+1+2+1+14+2+3+1+2+7+14+2+2+2+10+4+4+12+9+1+4+1+4</f>
        <v>126</v>
      </c>
      <c r="K635" s="28">
        <f>2+1+14+1+82+1</f>
        <v>101</v>
      </c>
      <c r="L635" s="28">
        <v>1</v>
      </c>
      <c r="M635" s="28">
        <v>2</v>
      </c>
      <c r="N635" s="1">
        <v>1</v>
      </c>
      <c r="O635" s="28">
        <v>2</v>
      </c>
      <c r="P635" s="106" t="s">
        <v>119</v>
      </c>
      <c r="Q635" s="106">
        <f>3+1+3+26</f>
        <v>33</v>
      </c>
      <c r="R635" s="106">
        <v>8</v>
      </c>
      <c r="S635" s="106" t="s">
        <v>119</v>
      </c>
      <c r="T635" s="106" t="s">
        <v>119</v>
      </c>
      <c r="U635" s="106" t="s">
        <v>119</v>
      </c>
      <c r="V635" t="s">
        <v>119</v>
      </c>
      <c r="W635" s="11" t="str">
        <f t="shared" si="9"/>
        <v>X</v>
      </c>
      <c r="X635" s="11" t="s">
        <v>134</v>
      </c>
    </row>
    <row r="636" spans="1:24" x14ac:dyDescent="0.3">
      <c r="A636" s="4" t="s">
        <v>502</v>
      </c>
      <c r="B636" s="2" t="s">
        <v>119</v>
      </c>
      <c r="C636" s="1" t="s">
        <v>119</v>
      </c>
      <c r="D636" s="1" t="s">
        <v>119</v>
      </c>
      <c r="E636" s="1" t="s">
        <v>119</v>
      </c>
      <c r="F636" s="37" t="s">
        <v>119</v>
      </c>
      <c r="G636" s="37" t="s">
        <v>119</v>
      </c>
      <c r="H636" s="27" t="s">
        <v>119</v>
      </c>
      <c r="I636" s="28" t="s">
        <v>119</v>
      </c>
      <c r="J636" s="28" t="s">
        <v>119</v>
      </c>
      <c r="K636" s="28" t="s">
        <v>119</v>
      </c>
      <c r="L636" s="28" t="s">
        <v>119</v>
      </c>
      <c r="M636" s="28">
        <f>1+1+7+53+46+1+1+117+32</f>
        <v>259</v>
      </c>
      <c r="N636" s="1" t="s">
        <v>119</v>
      </c>
      <c r="O636" s="28" t="s">
        <v>119</v>
      </c>
      <c r="P636" s="106" t="s">
        <v>119</v>
      </c>
      <c r="Q636" s="106" t="s">
        <v>119</v>
      </c>
      <c r="R636" s="106">
        <v>1</v>
      </c>
      <c r="S636" s="106">
        <v>1</v>
      </c>
      <c r="T636" s="106" t="s">
        <v>119</v>
      </c>
      <c r="U636" s="106" t="s">
        <v>119</v>
      </c>
      <c r="V636" t="s">
        <v>119</v>
      </c>
      <c r="W636" s="11" t="str">
        <f t="shared" si="9"/>
        <v>X</v>
      </c>
      <c r="X636" s="11" t="s">
        <v>134</v>
      </c>
    </row>
    <row r="637" spans="1:24" x14ac:dyDescent="0.3">
      <c r="A637" s="4" t="s">
        <v>503</v>
      </c>
      <c r="B637" s="2" t="s">
        <v>119</v>
      </c>
      <c r="C637" s="1" t="s">
        <v>119</v>
      </c>
      <c r="D637" s="1" t="s">
        <v>119</v>
      </c>
      <c r="E637" s="1" t="s">
        <v>119</v>
      </c>
      <c r="F637" s="37" t="s">
        <v>119</v>
      </c>
      <c r="G637" s="37" t="s">
        <v>119</v>
      </c>
      <c r="H637" s="27" t="s">
        <v>119</v>
      </c>
      <c r="I637" s="28">
        <v>10</v>
      </c>
      <c r="J637" s="28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28" t="s">
        <v>119</v>
      </c>
      <c r="P637" s="106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t="s">
        <v>119</v>
      </c>
      <c r="W637" s="11" t="s">
        <v>134</v>
      </c>
      <c r="X637" s="11" t="s">
        <v>134</v>
      </c>
    </row>
    <row r="638" spans="1:24" x14ac:dyDescent="0.3">
      <c r="A638" s="4" t="s">
        <v>504</v>
      </c>
      <c r="B638" s="2" t="s">
        <v>119</v>
      </c>
      <c r="C638" s="1" t="s">
        <v>119</v>
      </c>
      <c r="D638" s="1" t="s">
        <v>119</v>
      </c>
      <c r="E638" s="1" t="s">
        <v>119</v>
      </c>
      <c r="F638" s="37" t="s">
        <v>119</v>
      </c>
      <c r="G638" s="37" t="s">
        <v>119</v>
      </c>
      <c r="H638" s="27" t="s">
        <v>119</v>
      </c>
      <c r="I638" s="28" t="s">
        <v>119</v>
      </c>
      <c r="J638" s="28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28" t="s">
        <v>119</v>
      </c>
      <c r="P638" s="106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t="s">
        <v>119</v>
      </c>
      <c r="W638" s="11" t="s">
        <v>134</v>
      </c>
      <c r="X638" s="11" t="s">
        <v>134</v>
      </c>
    </row>
    <row r="639" spans="1:24" x14ac:dyDescent="0.3">
      <c r="A639" s="1" t="s">
        <v>20</v>
      </c>
      <c r="B639" s="2">
        <v>1</v>
      </c>
      <c r="C639" s="1">
        <v>0</v>
      </c>
      <c r="D639" s="1">
        <v>0</v>
      </c>
      <c r="E639" s="1">
        <v>1</v>
      </c>
      <c r="F639" s="37">
        <f>1+3+1+1+1+4+2+2+16+3+8+3</f>
        <v>45</v>
      </c>
      <c r="G639" s="37">
        <v>9</v>
      </c>
      <c r="H639" s="28" t="s">
        <v>119</v>
      </c>
      <c r="I639" s="27">
        <v>6</v>
      </c>
      <c r="J639" s="28">
        <v>11</v>
      </c>
      <c r="K639" s="28">
        <v>5</v>
      </c>
      <c r="L639" s="28" t="s">
        <v>119</v>
      </c>
      <c r="M639" s="28" t="s">
        <v>134</v>
      </c>
      <c r="N639" s="1">
        <v>1</v>
      </c>
      <c r="O639" s="28" t="s">
        <v>119</v>
      </c>
      <c r="P639" s="106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t="s">
        <v>119</v>
      </c>
      <c r="W639" s="11" t="s">
        <v>134</v>
      </c>
      <c r="X639" s="11" t="s">
        <v>134</v>
      </c>
    </row>
    <row r="640" spans="1:24" x14ac:dyDescent="0.3">
      <c r="A640" s="4" t="s">
        <v>505</v>
      </c>
      <c r="B640" s="2" t="s">
        <v>119</v>
      </c>
      <c r="C640" s="1" t="s">
        <v>119</v>
      </c>
      <c r="D640" s="1" t="s">
        <v>119</v>
      </c>
      <c r="E640" s="1" t="s">
        <v>119</v>
      </c>
      <c r="F640" s="37" t="s">
        <v>119</v>
      </c>
      <c r="G640" s="37" t="s">
        <v>119</v>
      </c>
      <c r="H640" s="28" t="s">
        <v>119</v>
      </c>
      <c r="I640" s="27" t="s">
        <v>119</v>
      </c>
      <c r="J640" s="28" t="s">
        <v>119</v>
      </c>
      <c r="K640" s="28" t="s">
        <v>119</v>
      </c>
      <c r="L640" s="28" t="s">
        <v>119</v>
      </c>
      <c r="M640" s="28">
        <f>1+8+1+1+24+10</f>
        <v>45</v>
      </c>
      <c r="N640" s="1" t="s">
        <v>119</v>
      </c>
      <c r="O640" s="28" t="s">
        <v>119</v>
      </c>
      <c r="P640" s="106" t="s">
        <v>119</v>
      </c>
      <c r="Q640" s="106" t="s">
        <v>119</v>
      </c>
      <c r="R640" s="106" t="s">
        <v>119</v>
      </c>
      <c r="S640" s="106" t="s">
        <v>119</v>
      </c>
      <c r="T640" s="106" t="s">
        <v>119</v>
      </c>
      <c r="U640" s="106" t="s">
        <v>119</v>
      </c>
      <c r="V640" t="s">
        <v>119</v>
      </c>
      <c r="W640" s="11" t="s">
        <v>134</v>
      </c>
      <c r="X640" s="11" t="s">
        <v>134</v>
      </c>
    </row>
    <row r="641" spans="1:24" x14ac:dyDescent="0.3">
      <c r="A641" s="1" t="s">
        <v>23</v>
      </c>
      <c r="B641" s="2">
        <v>0</v>
      </c>
      <c r="C641" s="4">
        <v>0</v>
      </c>
      <c r="D641" s="4">
        <v>0</v>
      </c>
      <c r="E641" s="1">
        <v>2</v>
      </c>
      <c r="F641" s="37" t="s">
        <v>119</v>
      </c>
      <c r="G641" s="37" t="s">
        <v>119</v>
      </c>
      <c r="H641" s="28" t="s">
        <v>119</v>
      </c>
      <c r="I641" s="27">
        <v>7</v>
      </c>
      <c r="J641" s="28" t="s">
        <v>119</v>
      </c>
      <c r="K641" s="28">
        <v>4</v>
      </c>
      <c r="L641" s="28" t="s">
        <v>119</v>
      </c>
      <c r="M641" s="28">
        <f>8+27+8+30+11</f>
        <v>84</v>
      </c>
      <c r="N641" s="1" t="s">
        <v>119</v>
      </c>
      <c r="O641" s="28" t="s">
        <v>119</v>
      </c>
      <c r="P641" s="106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t="s">
        <v>119</v>
      </c>
      <c r="W641" s="11" t="s">
        <v>134</v>
      </c>
      <c r="X641" s="11" t="s">
        <v>134</v>
      </c>
    </row>
    <row r="642" spans="1:24" x14ac:dyDescent="0.3">
      <c r="A642" s="4" t="s">
        <v>506</v>
      </c>
      <c r="B642" s="2" t="s">
        <v>119</v>
      </c>
      <c r="C642" s="4" t="s">
        <v>119</v>
      </c>
      <c r="D642" s="4" t="s">
        <v>119</v>
      </c>
      <c r="E642" s="1" t="s">
        <v>119</v>
      </c>
      <c r="F642" s="37" t="s">
        <v>119</v>
      </c>
      <c r="G642" s="37" t="s">
        <v>119</v>
      </c>
      <c r="H642" s="28" t="s">
        <v>119</v>
      </c>
      <c r="I642" s="27" t="s">
        <v>119</v>
      </c>
      <c r="J642" s="28" t="s">
        <v>119</v>
      </c>
      <c r="K642" s="28" t="s">
        <v>119</v>
      </c>
      <c r="L642" s="28" t="s">
        <v>119</v>
      </c>
      <c r="M642" s="28" t="s">
        <v>134</v>
      </c>
      <c r="N642" s="1" t="s">
        <v>119</v>
      </c>
      <c r="O642" s="28" t="s">
        <v>119</v>
      </c>
      <c r="P642" s="106" t="s">
        <v>119</v>
      </c>
      <c r="Q642" s="106" t="s">
        <v>119</v>
      </c>
      <c r="R642" s="106" t="s">
        <v>119</v>
      </c>
      <c r="S642" s="106" t="s">
        <v>119</v>
      </c>
      <c r="T642" s="106" t="s">
        <v>119</v>
      </c>
      <c r="U642" s="106" t="s">
        <v>119</v>
      </c>
      <c r="V642" t="s">
        <v>119</v>
      </c>
      <c r="W642" s="11" t="s">
        <v>134</v>
      </c>
      <c r="X642" s="11" t="s">
        <v>134</v>
      </c>
    </row>
    <row r="643" spans="1:24" x14ac:dyDescent="0.3">
      <c r="A643" s="4" t="s">
        <v>728</v>
      </c>
      <c r="B643" s="2" t="s">
        <v>119</v>
      </c>
      <c r="C643" s="4" t="s">
        <v>119</v>
      </c>
      <c r="D643" s="4" t="s">
        <v>119</v>
      </c>
      <c r="E643" s="1" t="s">
        <v>119</v>
      </c>
      <c r="F643" s="37" t="s">
        <v>119</v>
      </c>
      <c r="G643" s="37" t="s">
        <v>119</v>
      </c>
      <c r="H643" s="28" t="s">
        <v>119</v>
      </c>
      <c r="I643" s="27">
        <v>5</v>
      </c>
      <c r="J643" s="28" t="s">
        <v>119</v>
      </c>
      <c r="K643" s="28" t="s">
        <v>119</v>
      </c>
      <c r="L643" s="28" t="s">
        <v>119</v>
      </c>
      <c r="M643" s="28" t="s">
        <v>119</v>
      </c>
      <c r="N643" s="1" t="s">
        <v>119</v>
      </c>
      <c r="O643" s="28" t="s">
        <v>119</v>
      </c>
      <c r="P643" s="106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t="s">
        <v>119</v>
      </c>
      <c r="W643" s="11" t="s">
        <v>119</v>
      </c>
      <c r="X643" s="11" t="s">
        <v>134</v>
      </c>
    </row>
    <row r="644" spans="1:24" x14ac:dyDescent="0.3">
      <c r="A644" s="4" t="s">
        <v>1105</v>
      </c>
      <c r="B644" s="2" t="s">
        <v>119</v>
      </c>
      <c r="C644" s="4" t="s">
        <v>119</v>
      </c>
      <c r="D644" s="4" t="s">
        <v>119</v>
      </c>
      <c r="E644" s="1" t="s">
        <v>119</v>
      </c>
      <c r="F644" s="37" t="s">
        <v>119</v>
      </c>
      <c r="G644" s="37" t="s">
        <v>119</v>
      </c>
      <c r="H644" s="28" t="s">
        <v>119</v>
      </c>
      <c r="I644" s="27" t="s">
        <v>119</v>
      </c>
      <c r="J644" s="28" t="s">
        <v>119</v>
      </c>
      <c r="K644" s="28">
        <v>1</v>
      </c>
      <c r="L644" s="28" t="s">
        <v>119</v>
      </c>
      <c r="M644" s="28" t="s">
        <v>119</v>
      </c>
      <c r="N644" s="1" t="s">
        <v>119</v>
      </c>
      <c r="O644" s="28" t="s">
        <v>119</v>
      </c>
      <c r="P644" s="106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t="s">
        <v>119</v>
      </c>
      <c r="W644" s="11" t="s">
        <v>134</v>
      </c>
      <c r="X644" s="11" t="s">
        <v>119</v>
      </c>
    </row>
    <row r="645" spans="1:24" x14ac:dyDescent="0.3">
      <c r="A645" s="4" t="s">
        <v>507</v>
      </c>
      <c r="B645" s="2" t="s">
        <v>119</v>
      </c>
      <c r="C645" s="4" t="s">
        <v>119</v>
      </c>
      <c r="D645" s="4" t="s">
        <v>119</v>
      </c>
      <c r="E645" s="1" t="s">
        <v>119</v>
      </c>
      <c r="F645" s="37" t="s">
        <v>119</v>
      </c>
      <c r="G645" s="37" t="s">
        <v>119</v>
      </c>
      <c r="H645" s="28" t="s">
        <v>119</v>
      </c>
      <c r="I645" s="27" t="s">
        <v>119</v>
      </c>
      <c r="J645" s="28" t="s">
        <v>119</v>
      </c>
      <c r="K645" s="28" t="s">
        <v>119</v>
      </c>
      <c r="L645" s="28" t="s">
        <v>119</v>
      </c>
      <c r="M645" s="28" t="s">
        <v>134</v>
      </c>
      <c r="N645" s="1" t="s">
        <v>119</v>
      </c>
      <c r="O645" s="28" t="s">
        <v>119</v>
      </c>
      <c r="P645" s="106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t="s">
        <v>119</v>
      </c>
      <c r="W645" s="11" t="s">
        <v>134</v>
      </c>
      <c r="X645" s="11" t="s">
        <v>119</v>
      </c>
    </row>
    <row r="646" spans="1:24" x14ac:dyDescent="0.3">
      <c r="A646" s="4" t="s">
        <v>771</v>
      </c>
      <c r="B646" s="2" t="s">
        <v>119</v>
      </c>
      <c r="C646" s="4" t="s">
        <v>119</v>
      </c>
      <c r="D646" s="4" t="s">
        <v>119</v>
      </c>
      <c r="E646" s="1" t="s">
        <v>119</v>
      </c>
      <c r="F646" s="37" t="s">
        <v>119</v>
      </c>
      <c r="G646" s="37" t="s">
        <v>119</v>
      </c>
      <c r="H646" s="28" t="s">
        <v>119</v>
      </c>
      <c r="I646" s="27" t="s">
        <v>119</v>
      </c>
      <c r="J646" s="28" t="s">
        <v>119</v>
      </c>
      <c r="K646" s="28" t="s">
        <v>119</v>
      </c>
      <c r="L646" s="28" t="s">
        <v>119</v>
      </c>
      <c r="M646" s="28" t="s">
        <v>119</v>
      </c>
      <c r="N646" s="1" t="s">
        <v>119</v>
      </c>
      <c r="O646" s="28" t="s">
        <v>119</v>
      </c>
      <c r="P646" s="106" t="s">
        <v>119</v>
      </c>
      <c r="Q646" s="106">
        <v>1</v>
      </c>
      <c r="R646" s="106" t="s">
        <v>119</v>
      </c>
      <c r="S646" s="106" t="s">
        <v>119</v>
      </c>
      <c r="T646" s="106" t="s">
        <v>119</v>
      </c>
      <c r="U646" s="106" t="s">
        <v>119</v>
      </c>
      <c r="V646" t="s">
        <v>119</v>
      </c>
      <c r="W646" s="11" t="str">
        <f t="shared" si="9"/>
        <v>X</v>
      </c>
      <c r="X646" s="11" t="s">
        <v>134</v>
      </c>
    </row>
    <row r="647" spans="1:24" x14ac:dyDescent="0.3">
      <c r="A647" s="4" t="s">
        <v>508</v>
      </c>
      <c r="B647" s="2" t="s">
        <v>119</v>
      </c>
      <c r="C647" s="4" t="s">
        <v>119</v>
      </c>
      <c r="D647" s="4" t="s">
        <v>119</v>
      </c>
      <c r="E647" s="1" t="s">
        <v>119</v>
      </c>
      <c r="F647" s="37" t="s">
        <v>119</v>
      </c>
      <c r="G647" s="37" t="s">
        <v>119</v>
      </c>
      <c r="H647" s="28" t="s">
        <v>119</v>
      </c>
      <c r="I647" s="27" t="s">
        <v>119</v>
      </c>
      <c r="J647" s="28" t="s">
        <v>119</v>
      </c>
      <c r="K647" s="28">
        <v>1</v>
      </c>
      <c r="L647" s="28" t="s">
        <v>119</v>
      </c>
      <c r="M647" s="28" t="s">
        <v>134</v>
      </c>
      <c r="N647" s="1" t="s">
        <v>119</v>
      </c>
      <c r="O647" s="28" t="s">
        <v>119</v>
      </c>
      <c r="P647" s="106" t="s">
        <v>119</v>
      </c>
      <c r="Q647" s="106">
        <v>18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t="s">
        <v>119</v>
      </c>
      <c r="W647" s="11" t="str">
        <f t="shared" si="9"/>
        <v>X</v>
      </c>
      <c r="X647" s="11" t="s">
        <v>134</v>
      </c>
    </row>
    <row r="648" spans="1:24" x14ac:dyDescent="0.3">
      <c r="A648" s="1" t="s">
        <v>142</v>
      </c>
      <c r="B648" s="2" t="s">
        <v>119</v>
      </c>
      <c r="C648" s="4" t="s">
        <v>119</v>
      </c>
      <c r="D648" s="4" t="s">
        <v>119</v>
      </c>
      <c r="E648" s="1" t="s">
        <v>119</v>
      </c>
      <c r="F648" s="37" t="s">
        <v>119</v>
      </c>
      <c r="G648" s="37" t="s">
        <v>119</v>
      </c>
      <c r="H648" s="28">
        <v>70</v>
      </c>
      <c r="I648" s="28">
        <v>1</v>
      </c>
      <c r="J648" s="28" t="s">
        <v>119</v>
      </c>
      <c r="K648" s="28" t="s">
        <v>119</v>
      </c>
      <c r="L648" s="28" t="s">
        <v>119</v>
      </c>
      <c r="M648" s="28" t="s">
        <v>134</v>
      </c>
      <c r="N648" s="1" t="s">
        <v>119</v>
      </c>
      <c r="O648" s="28" t="s">
        <v>119</v>
      </c>
      <c r="P648" s="106" t="s">
        <v>119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t="s">
        <v>119</v>
      </c>
      <c r="W648" s="11" t="s">
        <v>1274</v>
      </c>
      <c r="X648" s="11" t="s">
        <v>1274</v>
      </c>
    </row>
    <row r="649" spans="1:24" x14ac:dyDescent="0.3">
      <c r="A649" s="1" t="s">
        <v>143</v>
      </c>
      <c r="B649" s="2" t="s">
        <v>119</v>
      </c>
      <c r="C649" s="4" t="s">
        <v>119</v>
      </c>
      <c r="D649" s="4" t="s">
        <v>119</v>
      </c>
      <c r="E649" s="1" t="s">
        <v>119</v>
      </c>
      <c r="F649" s="37" t="s">
        <v>119</v>
      </c>
      <c r="G649" s="37" t="s">
        <v>119</v>
      </c>
      <c r="H649" s="28">
        <f>65+127</f>
        <v>192</v>
      </c>
      <c r="I649" s="28" t="s">
        <v>119</v>
      </c>
      <c r="J649" s="28" t="s">
        <v>119</v>
      </c>
      <c r="K649" s="28" t="s">
        <v>119</v>
      </c>
      <c r="L649" s="28" t="s">
        <v>119</v>
      </c>
      <c r="M649" s="28" t="s">
        <v>134</v>
      </c>
      <c r="N649" s="1" t="s">
        <v>119</v>
      </c>
      <c r="O649" s="28" t="s">
        <v>119</v>
      </c>
      <c r="P649" s="106" t="s">
        <v>119</v>
      </c>
      <c r="Q649" s="106" t="s">
        <v>119</v>
      </c>
      <c r="R649" s="106" t="s">
        <v>119</v>
      </c>
      <c r="S649" s="106" t="s">
        <v>119</v>
      </c>
      <c r="T649" s="106" t="s">
        <v>119</v>
      </c>
      <c r="U649" s="106" t="s">
        <v>119</v>
      </c>
      <c r="V649" t="s">
        <v>119</v>
      </c>
      <c r="W649" s="11" t="s">
        <v>134</v>
      </c>
      <c r="X649" s="11" t="s">
        <v>134</v>
      </c>
    </row>
    <row r="650" spans="1:24" x14ac:dyDescent="0.3">
      <c r="A650" s="4" t="s">
        <v>509</v>
      </c>
      <c r="B650" s="2" t="s">
        <v>119</v>
      </c>
      <c r="C650" s="4" t="s">
        <v>119</v>
      </c>
      <c r="D650" s="4" t="s">
        <v>119</v>
      </c>
      <c r="E650" s="1" t="s">
        <v>119</v>
      </c>
      <c r="F650" s="37" t="s">
        <v>119</v>
      </c>
      <c r="G650" s="37" t="s">
        <v>119</v>
      </c>
      <c r="H650" s="28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 t="s">
        <v>134</v>
      </c>
      <c r="N650" s="1" t="s">
        <v>119</v>
      </c>
      <c r="O650" s="28" t="s">
        <v>119</v>
      </c>
      <c r="P650" s="106" t="s">
        <v>119</v>
      </c>
      <c r="Q650" s="106" t="s">
        <v>119</v>
      </c>
      <c r="R650" s="106" t="s">
        <v>119</v>
      </c>
      <c r="S650" s="106" t="s">
        <v>119</v>
      </c>
      <c r="T650" s="106" t="s">
        <v>119</v>
      </c>
      <c r="U650" s="106" t="s">
        <v>119</v>
      </c>
      <c r="V650" t="s">
        <v>119</v>
      </c>
      <c r="W650" s="11" t="s">
        <v>119</v>
      </c>
      <c r="X650" s="11" t="s">
        <v>119</v>
      </c>
    </row>
    <row r="651" spans="1:24" x14ac:dyDescent="0.3">
      <c r="A651" s="10" t="s">
        <v>26</v>
      </c>
      <c r="B651" s="6">
        <v>0</v>
      </c>
      <c r="C651" s="7">
        <v>0</v>
      </c>
      <c r="D651" s="7">
        <v>0</v>
      </c>
      <c r="E651" s="10">
        <v>56</v>
      </c>
      <c r="F651" s="37" t="s">
        <v>119</v>
      </c>
      <c r="G651" s="37" t="s">
        <v>119</v>
      </c>
      <c r="H651" s="28" t="s">
        <v>119</v>
      </c>
      <c r="I651" s="28" t="s">
        <v>119</v>
      </c>
      <c r="J651" s="28" t="s">
        <v>119</v>
      </c>
      <c r="K651" s="28" t="s">
        <v>119</v>
      </c>
      <c r="L651" s="28" t="s">
        <v>119</v>
      </c>
      <c r="M651" s="28" t="s">
        <v>119</v>
      </c>
      <c r="N651" s="1" t="s">
        <v>119</v>
      </c>
      <c r="O651" s="28" t="s">
        <v>119</v>
      </c>
      <c r="P651" s="106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t="s">
        <v>119</v>
      </c>
      <c r="W651" s="11" t="s">
        <v>119</v>
      </c>
      <c r="X651" s="11" t="s">
        <v>119</v>
      </c>
    </row>
    <row r="652" spans="1:24" x14ac:dyDescent="0.3">
      <c r="A652" s="4" t="s">
        <v>510</v>
      </c>
      <c r="B652" s="2" t="s">
        <v>119</v>
      </c>
      <c r="C652" s="4" t="s">
        <v>119</v>
      </c>
      <c r="D652" s="4" t="s">
        <v>119</v>
      </c>
      <c r="E652" s="1" t="s">
        <v>119</v>
      </c>
      <c r="F652" s="37" t="s">
        <v>119</v>
      </c>
      <c r="G652" s="37" t="s">
        <v>119</v>
      </c>
      <c r="H652" s="28" t="s">
        <v>119</v>
      </c>
      <c r="I652" s="28" t="s">
        <v>119</v>
      </c>
      <c r="J652" s="28" t="s">
        <v>119</v>
      </c>
      <c r="K652" s="28">
        <v>10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106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t="s">
        <v>119</v>
      </c>
      <c r="W652" s="11" t="s">
        <v>134</v>
      </c>
      <c r="X652" s="11" t="s">
        <v>134</v>
      </c>
    </row>
    <row r="653" spans="1:24" x14ac:dyDescent="0.3">
      <c r="A653" s="4" t="s">
        <v>511</v>
      </c>
      <c r="B653" s="2" t="s">
        <v>119</v>
      </c>
      <c r="C653" s="4" t="s">
        <v>119</v>
      </c>
      <c r="D653" s="4" t="s">
        <v>119</v>
      </c>
      <c r="E653" s="1" t="s">
        <v>119</v>
      </c>
      <c r="F653" s="37" t="s">
        <v>119</v>
      </c>
      <c r="G653" s="37" t="s">
        <v>119</v>
      </c>
      <c r="H653" s="28" t="s">
        <v>119</v>
      </c>
      <c r="I653" s="28" t="s">
        <v>119</v>
      </c>
      <c r="J653" s="28" t="s">
        <v>119</v>
      </c>
      <c r="K653" s="28" t="s">
        <v>119</v>
      </c>
      <c r="L653" s="28" t="s">
        <v>119</v>
      </c>
      <c r="M653" s="28" t="s">
        <v>134</v>
      </c>
      <c r="N653" s="1" t="s">
        <v>119</v>
      </c>
      <c r="O653" s="28" t="s">
        <v>119</v>
      </c>
      <c r="P653" s="106" t="s">
        <v>119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t="s">
        <v>119</v>
      </c>
      <c r="W653" s="11" t="s">
        <v>119</v>
      </c>
      <c r="X653" s="11" t="s">
        <v>119</v>
      </c>
    </row>
    <row r="654" spans="1:24" x14ac:dyDescent="0.3">
      <c r="A654" s="1" t="s">
        <v>144</v>
      </c>
      <c r="B654" s="2" t="s">
        <v>119</v>
      </c>
      <c r="C654" s="4" t="s">
        <v>119</v>
      </c>
      <c r="D654" s="4" t="s">
        <v>119</v>
      </c>
      <c r="E654" s="1" t="s">
        <v>119</v>
      </c>
      <c r="F654" s="37" t="s">
        <v>119</v>
      </c>
      <c r="G654" s="37" t="s">
        <v>119</v>
      </c>
      <c r="H654" s="28">
        <v>68</v>
      </c>
      <c r="I654" s="28">
        <v>1</v>
      </c>
      <c r="J654" s="28" t="s">
        <v>119</v>
      </c>
      <c r="K654" s="28">
        <v>3</v>
      </c>
      <c r="L654" s="28" t="s">
        <v>119</v>
      </c>
      <c r="M654" s="28" t="s">
        <v>134</v>
      </c>
      <c r="N654" s="1" t="s">
        <v>119</v>
      </c>
      <c r="O654" s="28" t="s">
        <v>119</v>
      </c>
      <c r="P654" s="106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t="s">
        <v>119</v>
      </c>
      <c r="W654" s="11" t="s">
        <v>134</v>
      </c>
      <c r="X654" s="11" t="s">
        <v>134</v>
      </c>
    </row>
    <row r="655" spans="1:24" x14ac:dyDescent="0.3">
      <c r="A655" s="1" t="s">
        <v>25</v>
      </c>
      <c r="B655" s="2">
        <v>0</v>
      </c>
      <c r="C655" s="4">
        <v>0</v>
      </c>
      <c r="D655" s="4">
        <v>0</v>
      </c>
      <c r="E655" s="1">
        <v>5</v>
      </c>
      <c r="F655" s="37" t="s">
        <v>119</v>
      </c>
      <c r="G655" s="37" t="s">
        <v>119</v>
      </c>
      <c r="H655" s="28" t="s">
        <v>119</v>
      </c>
      <c r="I655" s="28" t="s">
        <v>119</v>
      </c>
      <c r="J655" s="28" t="s">
        <v>119</v>
      </c>
      <c r="K655" s="28" t="s">
        <v>119</v>
      </c>
      <c r="L655" s="28" t="s">
        <v>119</v>
      </c>
      <c r="M655" s="28" t="s">
        <v>134</v>
      </c>
      <c r="N655" s="1" t="s">
        <v>119</v>
      </c>
      <c r="O655" s="28" t="s">
        <v>119</v>
      </c>
      <c r="P655" s="106" t="s">
        <v>119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t="s">
        <v>119</v>
      </c>
      <c r="W655" s="11" t="s">
        <v>134</v>
      </c>
      <c r="X655" s="11" t="s">
        <v>134</v>
      </c>
    </row>
    <row r="656" spans="1:24" s="11" customFormat="1" x14ac:dyDescent="0.3">
      <c r="A656" s="14" t="s">
        <v>512</v>
      </c>
      <c r="B656" s="18" t="s">
        <v>119</v>
      </c>
      <c r="C656" s="12" t="s">
        <v>119</v>
      </c>
      <c r="D656" s="12" t="s">
        <v>119</v>
      </c>
      <c r="E656" s="14" t="s">
        <v>119</v>
      </c>
      <c r="F656" s="37" t="s">
        <v>119</v>
      </c>
      <c r="G656" s="37" t="s">
        <v>119</v>
      </c>
      <c r="H656" s="31" t="s">
        <v>119</v>
      </c>
      <c r="I656" s="31" t="s">
        <v>119</v>
      </c>
      <c r="J656" s="31" t="s">
        <v>119</v>
      </c>
      <c r="K656" s="31" t="s">
        <v>119</v>
      </c>
      <c r="L656" s="31" t="s">
        <v>119</v>
      </c>
      <c r="M656" s="31" t="s">
        <v>134</v>
      </c>
      <c r="N656" s="1" t="s">
        <v>119</v>
      </c>
      <c r="O656" s="28" t="s">
        <v>119</v>
      </c>
      <c r="P656" s="106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t="s">
        <v>119</v>
      </c>
      <c r="W656" s="11" t="s">
        <v>119</v>
      </c>
      <c r="X656" s="11" t="s">
        <v>119</v>
      </c>
    </row>
    <row r="657" spans="1:24" x14ac:dyDescent="0.3">
      <c r="A657" s="1" t="s">
        <v>14</v>
      </c>
      <c r="B657" s="2">
        <v>0</v>
      </c>
      <c r="C657" s="1">
        <v>0</v>
      </c>
      <c r="D657" s="1">
        <v>0</v>
      </c>
      <c r="E657" s="1">
        <v>168</v>
      </c>
      <c r="F657" s="37" t="s">
        <v>119</v>
      </c>
      <c r="G657" s="37" t="s">
        <v>119</v>
      </c>
      <c r="H657" s="28" t="s">
        <v>119</v>
      </c>
      <c r="I657" s="28" t="s">
        <v>119</v>
      </c>
      <c r="J657" s="28" t="s">
        <v>119</v>
      </c>
      <c r="K657" s="28" t="s">
        <v>119</v>
      </c>
      <c r="L657" s="28" t="s">
        <v>119</v>
      </c>
      <c r="M657" s="28">
        <f>1+38+2+1+2+2</f>
        <v>46</v>
      </c>
      <c r="N657" s="14" t="s">
        <v>119</v>
      </c>
      <c r="O657" s="28" t="s">
        <v>119</v>
      </c>
      <c r="P657" s="106" t="s">
        <v>119</v>
      </c>
      <c r="Q657" s="106">
        <v>3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t="s">
        <v>119</v>
      </c>
      <c r="W657" s="11" t="s">
        <v>134</v>
      </c>
      <c r="X657" s="11" t="s">
        <v>134</v>
      </c>
    </row>
    <row r="658" spans="1:24" s="82" customFormat="1" x14ac:dyDescent="0.3">
      <c r="A658" s="85" t="s">
        <v>513</v>
      </c>
      <c r="B658" s="80" t="s">
        <v>119</v>
      </c>
      <c r="C658" s="79" t="s">
        <v>119</v>
      </c>
      <c r="D658" s="79" t="s">
        <v>119</v>
      </c>
      <c r="E658" s="79" t="s">
        <v>119</v>
      </c>
      <c r="F658" s="37" t="s">
        <v>119</v>
      </c>
      <c r="G658" s="37" t="s">
        <v>119</v>
      </c>
      <c r="H658" s="81" t="s">
        <v>119</v>
      </c>
      <c r="I658" s="81" t="s">
        <v>119</v>
      </c>
      <c r="J658" s="81" t="s">
        <v>119</v>
      </c>
      <c r="K658" s="81" t="s">
        <v>119</v>
      </c>
      <c r="L658" s="81" t="s">
        <v>119</v>
      </c>
      <c r="M658" s="81" t="s">
        <v>134</v>
      </c>
      <c r="N658" s="1" t="s">
        <v>119</v>
      </c>
      <c r="O658" s="28" t="s">
        <v>119</v>
      </c>
      <c r="P658" s="106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t="s">
        <v>119</v>
      </c>
      <c r="W658" s="11" t="s">
        <v>119</v>
      </c>
      <c r="X658" s="11" t="s">
        <v>119</v>
      </c>
    </row>
    <row r="659" spans="1:24" s="11" customFormat="1" x14ac:dyDescent="0.3">
      <c r="A659" s="1" t="s">
        <v>16</v>
      </c>
      <c r="B659" s="2">
        <v>0</v>
      </c>
      <c r="C659" s="1">
        <v>0</v>
      </c>
      <c r="D659" s="1">
        <v>0</v>
      </c>
      <c r="E659" s="1">
        <v>2</v>
      </c>
      <c r="F659" s="37" t="s">
        <v>119</v>
      </c>
      <c r="G659" s="37">
        <v>1</v>
      </c>
      <c r="H659" s="28" t="s">
        <v>119</v>
      </c>
      <c r="I659" s="28">
        <v>3</v>
      </c>
      <c r="J659" s="28">
        <v>9</v>
      </c>
      <c r="K659" s="28" t="s">
        <v>119</v>
      </c>
      <c r="L659" s="28" t="s">
        <v>119</v>
      </c>
      <c r="M659" s="28">
        <v>625</v>
      </c>
      <c r="N659" s="1" t="s">
        <v>119</v>
      </c>
      <c r="O659" s="28" t="s">
        <v>119</v>
      </c>
      <c r="P659" s="106" t="s">
        <v>119</v>
      </c>
      <c r="Q659" s="106">
        <v>2</v>
      </c>
      <c r="R659" s="106" t="s">
        <v>119</v>
      </c>
      <c r="S659" s="106">
        <v>2</v>
      </c>
      <c r="T659" s="106" t="s">
        <v>119</v>
      </c>
      <c r="U659" s="106" t="s">
        <v>119</v>
      </c>
      <c r="V659" t="s">
        <v>119</v>
      </c>
      <c r="W659" s="11" t="str">
        <f t="shared" ref="W659:W702" si="10">IF(SUM(P659:U659)&gt;=1,"X","")</f>
        <v>X</v>
      </c>
      <c r="X659" s="11" t="s">
        <v>134</v>
      </c>
    </row>
    <row r="660" spans="1:24" s="11" customFormat="1" x14ac:dyDescent="0.3">
      <c r="A660" s="1" t="s">
        <v>18</v>
      </c>
      <c r="B660" s="2">
        <v>1</v>
      </c>
      <c r="C660" s="1">
        <v>0</v>
      </c>
      <c r="D660" s="1">
        <v>0</v>
      </c>
      <c r="E660" s="1">
        <v>26</v>
      </c>
      <c r="F660" s="37" t="s">
        <v>119</v>
      </c>
      <c r="G660" s="37" t="s">
        <v>119</v>
      </c>
      <c r="H660" s="28" t="s">
        <v>119</v>
      </c>
      <c r="I660" s="28" t="s">
        <v>119</v>
      </c>
      <c r="J660" s="28" t="s">
        <v>119</v>
      </c>
      <c r="K660" s="28" t="s">
        <v>119</v>
      </c>
      <c r="L660" s="28" t="s">
        <v>119</v>
      </c>
      <c r="M660" s="28">
        <v>1</v>
      </c>
      <c r="N660" s="1" t="s">
        <v>119</v>
      </c>
      <c r="O660" s="28" t="s">
        <v>119</v>
      </c>
      <c r="P660" s="106" t="s">
        <v>119</v>
      </c>
      <c r="Q660" s="106" t="s">
        <v>119</v>
      </c>
      <c r="R660" s="106" t="s">
        <v>119</v>
      </c>
      <c r="S660" s="106" t="s">
        <v>119</v>
      </c>
      <c r="T660" s="106" t="s">
        <v>119</v>
      </c>
      <c r="U660" s="106" t="s">
        <v>119</v>
      </c>
      <c r="V660" t="s">
        <v>119</v>
      </c>
      <c r="W660" s="11" t="s">
        <v>134</v>
      </c>
      <c r="X660" s="11" t="s">
        <v>134</v>
      </c>
    </row>
    <row r="661" spans="1:24" s="11" customFormat="1" x14ac:dyDescent="0.3">
      <c r="A661" s="12" t="s">
        <v>514</v>
      </c>
      <c r="B661" s="18" t="s">
        <v>119</v>
      </c>
      <c r="C661" s="14" t="s">
        <v>119</v>
      </c>
      <c r="D661" s="14" t="s">
        <v>119</v>
      </c>
      <c r="E661" s="14" t="s">
        <v>119</v>
      </c>
      <c r="F661" s="37" t="s">
        <v>119</v>
      </c>
      <c r="G661" s="37" t="s">
        <v>119</v>
      </c>
      <c r="H661" s="31" t="s">
        <v>119</v>
      </c>
      <c r="I661" s="31" t="s">
        <v>119</v>
      </c>
      <c r="J661" s="31" t="s">
        <v>119</v>
      </c>
      <c r="K661" s="31" t="s">
        <v>119</v>
      </c>
      <c r="L661" s="31" t="s">
        <v>119</v>
      </c>
      <c r="M661" s="31" t="s">
        <v>134</v>
      </c>
      <c r="N661" s="14" t="s">
        <v>119</v>
      </c>
      <c r="O661" s="28" t="s">
        <v>119</v>
      </c>
      <c r="P661" s="106" t="s">
        <v>119</v>
      </c>
      <c r="Q661" s="106" t="s">
        <v>119</v>
      </c>
      <c r="R661" s="106" t="s">
        <v>119</v>
      </c>
      <c r="S661" s="106" t="s">
        <v>119</v>
      </c>
      <c r="T661" s="106" t="s">
        <v>119</v>
      </c>
      <c r="U661" s="106" t="s">
        <v>119</v>
      </c>
      <c r="V661" t="s">
        <v>119</v>
      </c>
      <c r="W661" s="11" t="s">
        <v>134</v>
      </c>
      <c r="X661" s="11" t="s">
        <v>134</v>
      </c>
    </row>
    <row r="662" spans="1:24" x14ac:dyDescent="0.3">
      <c r="A662" s="12" t="s">
        <v>515</v>
      </c>
      <c r="B662" s="18" t="s">
        <v>119</v>
      </c>
      <c r="C662" s="14" t="s">
        <v>119</v>
      </c>
      <c r="D662" s="14" t="s">
        <v>119</v>
      </c>
      <c r="E662" s="14" t="s">
        <v>119</v>
      </c>
      <c r="F662" s="37" t="s">
        <v>119</v>
      </c>
      <c r="G662" s="37" t="s">
        <v>119</v>
      </c>
      <c r="H662" s="31" t="s">
        <v>119</v>
      </c>
      <c r="I662" s="31" t="s">
        <v>119</v>
      </c>
      <c r="J662" s="31" t="s">
        <v>119</v>
      </c>
      <c r="K662" s="31" t="s">
        <v>119</v>
      </c>
      <c r="L662" s="31" t="s">
        <v>119</v>
      </c>
      <c r="M662" s="31">
        <v>8</v>
      </c>
      <c r="N662" s="14" t="s">
        <v>119</v>
      </c>
      <c r="O662" s="28" t="s">
        <v>119</v>
      </c>
      <c r="P662" s="106" t="s">
        <v>119</v>
      </c>
      <c r="Q662" s="106">
        <v>1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t="s">
        <v>119</v>
      </c>
      <c r="W662" s="11" t="s">
        <v>134</v>
      </c>
      <c r="X662" s="11" t="s">
        <v>134</v>
      </c>
    </row>
    <row r="663" spans="1:24" x14ac:dyDescent="0.3">
      <c r="A663" s="1" t="s">
        <v>234</v>
      </c>
      <c r="B663" s="2" t="s">
        <v>119</v>
      </c>
      <c r="C663" s="1" t="s">
        <v>119</v>
      </c>
      <c r="D663" s="1" t="s">
        <v>119</v>
      </c>
      <c r="E663" s="1" t="s">
        <v>119</v>
      </c>
      <c r="F663" s="37" t="s">
        <v>119</v>
      </c>
      <c r="G663" s="37" t="s">
        <v>119</v>
      </c>
      <c r="H663" s="28" t="s">
        <v>119</v>
      </c>
      <c r="I663" s="28">
        <v>3</v>
      </c>
      <c r="J663" s="28">
        <v>1</v>
      </c>
      <c r="K663" s="29" t="s">
        <v>119</v>
      </c>
      <c r="L663" s="28" t="s">
        <v>119</v>
      </c>
      <c r="M663" s="28">
        <v>90</v>
      </c>
      <c r="N663" s="1" t="s">
        <v>119</v>
      </c>
      <c r="O663" s="28" t="s">
        <v>119</v>
      </c>
      <c r="P663" s="106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t="s">
        <v>119</v>
      </c>
      <c r="W663" s="11" t="s">
        <v>134</v>
      </c>
      <c r="X663" s="11" t="s">
        <v>134</v>
      </c>
    </row>
    <row r="664" spans="1:24" x14ac:dyDescent="0.3">
      <c r="A664" s="12" t="s">
        <v>516</v>
      </c>
      <c r="B664" s="18" t="s">
        <v>119</v>
      </c>
      <c r="C664" s="14" t="s">
        <v>119</v>
      </c>
      <c r="D664" s="14" t="s">
        <v>119</v>
      </c>
      <c r="E664" s="14" t="s">
        <v>119</v>
      </c>
      <c r="F664" s="37" t="s">
        <v>119</v>
      </c>
      <c r="G664" s="37" t="s">
        <v>119</v>
      </c>
      <c r="H664" s="31" t="s">
        <v>119</v>
      </c>
      <c r="I664" s="31" t="s">
        <v>119</v>
      </c>
      <c r="J664" s="31" t="s">
        <v>119</v>
      </c>
      <c r="K664" s="31" t="s">
        <v>119</v>
      </c>
      <c r="L664" s="31" t="s">
        <v>119</v>
      </c>
      <c r="M664" s="31" t="s">
        <v>134</v>
      </c>
      <c r="N664" s="14" t="s">
        <v>119</v>
      </c>
      <c r="O664" s="28" t="s">
        <v>119</v>
      </c>
      <c r="P664" s="106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t="s">
        <v>119</v>
      </c>
      <c r="W664" s="11" t="s">
        <v>134</v>
      </c>
      <c r="X664" s="11" t="s">
        <v>134</v>
      </c>
    </row>
    <row r="665" spans="1:24" x14ac:dyDescent="0.3">
      <c r="A665" s="1" t="s">
        <v>15</v>
      </c>
      <c r="B665" s="2">
        <v>0</v>
      </c>
      <c r="C665" s="1">
        <v>0</v>
      </c>
      <c r="D665" s="1">
        <v>0</v>
      </c>
      <c r="E665" s="1">
        <v>33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106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t="s">
        <v>119</v>
      </c>
      <c r="W665" s="11" t="s">
        <v>119</v>
      </c>
      <c r="X665" s="11" t="s">
        <v>134</v>
      </c>
    </row>
    <row r="666" spans="1:24" x14ac:dyDescent="0.3">
      <c r="A666" s="12" t="s">
        <v>517</v>
      </c>
      <c r="B666" s="2" t="s">
        <v>119</v>
      </c>
      <c r="C666" s="1" t="s">
        <v>119</v>
      </c>
      <c r="D666" s="1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 t="s">
        <v>119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106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t="s">
        <v>119</v>
      </c>
      <c r="W666" s="11" t="s">
        <v>134</v>
      </c>
      <c r="X666" s="11" t="s">
        <v>119</v>
      </c>
    </row>
    <row r="667" spans="1:24" x14ac:dyDescent="0.3">
      <c r="A667" s="12" t="s">
        <v>518</v>
      </c>
      <c r="B667" s="2" t="s">
        <v>119</v>
      </c>
      <c r="C667" s="1" t="s">
        <v>119</v>
      </c>
      <c r="D667" s="1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>
        <v>1</v>
      </c>
      <c r="N667" s="1" t="s">
        <v>119</v>
      </c>
      <c r="O667" s="28" t="s">
        <v>119</v>
      </c>
      <c r="P667" s="106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t="s">
        <v>119</v>
      </c>
      <c r="W667" s="11" t="s">
        <v>119</v>
      </c>
      <c r="X667" s="11" t="s">
        <v>119</v>
      </c>
    </row>
    <row r="668" spans="1:24" x14ac:dyDescent="0.3">
      <c r="A668" s="12" t="s">
        <v>519</v>
      </c>
      <c r="B668" s="2" t="s">
        <v>119</v>
      </c>
      <c r="C668" s="1" t="s">
        <v>119</v>
      </c>
      <c r="D668" s="1" t="s">
        <v>119</v>
      </c>
      <c r="E668" s="1" t="s">
        <v>119</v>
      </c>
      <c r="F668" s="37" t="s">
        <v>119</v>
      </c>
      <c r="G668" s="37" t="s">
        <v>119</v>
      </c>
      <c r="H668" s="28" t="s">
        <v>119</v>
      </c>
      <c r="I668" s="28" t="s">
        <v>119</v>
      </c>
      <c r="J668" s="28" t="s">
        <v>119</v>
      </c>
      <c r="K668" s="28" t="s">
        <v>119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106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t="s">
        <v>119</v>
      </c>
      <c r="W668" s="11" t="s">
        <v>134</v>
      </c>
      <c r="X668" s="11" t="s">
        <v>134</v>
      </c>
    </row>
    <row r="669" spans="1:24" x14ac:dyDescent="0.3">
      <c r="A669" s="1" t="s">
        <v>17</v>
      </c>
      <c r="B669" s="2">
        <v>0</v>
      </c>
      <c r="C669" s="1">
        <v>0</v>
      </c>
      <c r="D669" s="1">
        <v>0</v>
      </c>
      <c r="E669" s="1">
        <v>9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119</v>
      </c>
      <c r="N669" s="1" t="s">
        <v>119</v>
      </c>
      <c r="O669" s="28" t="s">
        <v>119</v>
      </c>
      <c r="P669" s="106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t="s">
        <v>119</v>
      </c>
      <c r="W669" s="11" t="s">
        <v>134</v>
      </c>
      <c r="X669" s="11" t="s">
        <v>134</v>
      </c>
    </row>
    <row r="670" spans="1:24" s="82" customFormat="1" x14ac:dyDescent="0.3">
      <c r="A670" s="85" t="s">
        <v>520</v>
      </c>
      <c r="B670" s="80" t="s">
        <v>119</v>
      </c>
      <c r="C670" s="79" t="s">
        <v>119</v>
      </c>
      <c r="D670" s="79" t="s">
        <v>119</v>
      </c>
      <c r="E670" s="79" t="s">
        <v>119</v>
      </c>
      <c r="F670" s="37" t="s">
        <v>119</v>
      </c>
      <c r="G670" s="37" t="s">
        <v>119</v>
      </c>
      <c r="H670" s="81" t="s">
        <v>119</v>
      </c>
      <c r="I670" s="81" t="s">
        <v>119</v>
      </c>
      <c r="J670" s="81" t="s">
        <v>119</v>
      </c>
      <c r="K670" s="81" t="s">
        <v>119</v>
      </c>
      <c r="L670" s="81" t="s">
        <v>119</v>
      </c>
      <c r="M670" s="81" t="s">
        <v>134</v>
      </c>
      <c r="N670" s="79" t="s">
        <v>119</v>
      </c>
      <c r="O670" s="28" t="s">
        <v>119</v>
      </c>
      <c r="P670" s="106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t="s">
        <v>119</v>
      </c>
      <c r="W670" s="11" t="s">
        <v>119</v>
      </c>
      <c r="X670" s="11" t="s">
        <v>119</v>
      </c>
    </row>
    <row r="671" spans="1:24" s="11" customFormat="1" x14ac:dyDescent="0.3">
      <c r="A671" s="12" t="s">
        <v>768</v>
      </c>
      <c r="B671" s="18" t="s">
        <v>119</v>
      </c>
      <c r="C671" s="14" t="s">
        <v>119</v>
      </c>
      <c r="D671" s="14" t="s">
        <v>119</v>
      </c>
      <c r="E671" s="14" t="s">
        <v>119</v>
      </c>
      <c r="F671" s="37" t="s">
        <v>119</v>
      </c>
      <c r="G671" s="31" t="s">
        <v>119</v>
      </c>
      <c r="H671" s="31" t="s">
        <v>119</v>
      </c>
      <c r="I671" s="31" t="s">
        <v>119</v>
      </c>
      <c r="J671" s="31" t="s">
        <v>119</v>
      </c>
      <c r="K671" s="31" t="s">
        <v>119</v>
      </c>
      <c r="L671" s="31" t="s">
        <v>119</v>
      </c>
      <c r="M671" s="31" t="s">
        <v>119</v>
      </c>
      <c r="N671" s="14" t="s">
        <v>119</v>
      </c>
      <c r="O671" s="28" t="s">
        <v>119</v>
      </c>
      <c r="P671" s="108" t="s">
        <v>119</v>
      </c>
      <c r="Q671" s="108">
        <v>1</v>
      </c>
      <c r="R671" s="108" t="s">
        <v>119</v>
      </c>
      <c r="S671" s="108" t="s">
        <v>119</v>
      </c>
      <c r="T671" s="106" t="s">
        <v>119</v>
      </c>
      <c r="U671" s="106" t="s">
        <v>119</v>
      </c>
      <c r="V671" t="s">
        <v>119</v>
      </c>
      <c r="W671" s="11" t="str">
        <f t="shared" si="10"/>
        <v>X</v>
      </c>
      <c r="X671" s="11" t="s">
        <v>1274</v>
      </c>
    </row>
    <row r="672" spans="1:24" s="11" customFormat="1" x14ac:dyDescent="0.3">
      <c r="A672" s="12" t="s">
        <v>521</v>
      </c>
      <c r="B672" s="18" t="s">
        <v>119</v>
      </c>
      <c r="C672" s="14" t="s">
        <v>119</v>
      </c>
      <c r="D672" s="14" t="s">
        <v>119</v>
      </c>
      <c r="E672" s="14" t="s">
        <v>119</v>
      </c>
      <c r="F672" s="37" t="s">
        <v>119</v>
      </c>
      <c r="G672" s="37" t="s">
        <v>119</v>
      </c>
      <c r="H672" s="31" t="s">
        <v>119</v>
      </c>
      <c r="I672" s="31" t="s">
        <v>119</v>
      </c>
      <c r="J672" s="31" t="s">
        <v>119</v>
      </c>
      <c r="K672" s="31" t="s">
        <v>119</v>
      </c>
      <c r="L672" s="31" t="s">
        <v>119</v>
      </c>
      <c r="M672" s="31" t="s">
        <v>134</v>
      </c>
      <c r="N672" s="14" t="s">
        <v>119</v>
      </c>
      <c r="O672" s="28" t="s">
        <v>119</v>
      </c>
      <c r="P672" s="106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t="s">
        <v>119</v>
      </c>
      <c r="W672" s="11" t="s">
        <v>119</v>
      </c>
      <c r="X672" s="11" t="s">
        <v>119</v>
      </c>
    </row>
    <row r="673" spans="1:24" s="11" customFormat="1" x14ac:dyDescent="0.3">
      <c r="A673" s="12" t="s">
        <v>729</v>
      </c>
      <c r="B673" s="18" t="s">
        <v>119</v>
      </c>
      <c r="C673" s="14" t="s">
        <v>119</v>
      </c>
      <c r="D673" s="14" t="s">
        <v>119</v>
      </c>
      <c r="E673" s="14" t="s">
        <v>119</v>
      </c>
      <c r="F673" s="37" t="s">
        <v>119</v>
      </c>
      <c r="G673" s="37" t="s">
        <v>119</v>
      </c>
      <c r="H673" s="31" t="s">
        <v>119</v>
      </c>
      <c r="I673" s="31">
        <v>4</v>
      </c>
      <c r="J673" s="31" t="s">
        <v>119</v>
      </c>
      <c r="K673" s="31" t="s">
        <v>119</v>
      </c>
      <c r="L673" s="31" t="s">
        <v>119</v>
      </c>
      <c r="M673" s="31" t="s">
        <v>119</v>
      </c>
      <c r="N673" s="14" t="s">
        <v>119</v>
      </c>
      <c r="O673" s="28" t="s">
        <v>119</v>
      </c>
      <c r="P673" s="106" t="s">
        <v>119</v>
      </c>
      <c r="Q673" s="106" t="s">
        <v>119</v>
      </c>
      <c r="R673" s="106" t="s">
        <v>119</v>
      </c>
      <c r="S673" s="106" t="s">
        <v>119</v>
      </c>
      <c r="T673" s="106" t="s">
        <v>119</v>
      </c>
      <c r="U673" s="106" t="s">
        <v>119</v>
      </c>
      <c r="V673" t="s">
        <v>119</v>
      </c>
      <c r="W673" s="11" t="s">
        <v>119</v>
      </c>
      <c r="X673" s="11" t="s">
        <v>134</v>
      </c>
    </row>
    <row r="674" spans="1:24" x14ac:dyDescent="0.3">
      <c r="A674" s="10" t="s">
        <v>145</v>
      </c>
      <c r="B674" s="6" t="s">
        <v>119</v>
      </c>
      <c r="C674" s="10" t="s">
        <v>119</v>
      </c>
      <c r="D674" s="10" t="s">
        <v>119</v>
      </c>
      <c r="E674" s="10" t="s">
        <v>119</v>
      </c>
      <c r="F674" s="37" t="s">
        <v>119</v>
      </c>
      <c r="G674" s="37" t="s">
        <v>119</v>
      </c>
      <c r="H674" s="29">
        <v>1</v>
      </c>
      <c r="I674" s="29" t="s">
        <v>119</v>
      </c>
      <c r="J674" s="29" t="s">
        <v>119</v>
      </c>
      <c r="K674" s="28" t="s">
        <v>119</v>
      </c>
      <c r="L674" s="28" t="s">
        <v>119</v>
      </c>
      <c r="M674" s="28" t="s">
        <v>119</v>
      </c>
      <c r="N674" s="1" t="s">
        <v>119</v>
      </c>
      <c r="O674" s="28" t="s">
        <v>119</v>
      </c>
      <c r="P674" s="106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t="s">
        <v>119</v>
      </c>
      <c r="W674" s="11" t="s">
        <v>119</v>
      </c>
      <c r="X674" s="11" t="s">
        <v>119</v>
      </c>
    </row>
    <row r="675" spans="1:24" s="11" customFormat="1" x14ac:dyDescent="0.3">
      <c r="A675" s="14" t="s">
        <v>767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1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119</v>
      </c>
      <c r="N675" s="14" t="s">
        <v>119</v>
      </c>
      <c r="O675" s="28" t="s">
        <v>119</v>
      </c>
      <c r="P675" s="108" t="s">
        <v>119</v>
      </c>
      <c r="Q675" s="108">
        <v>6</v>
      </c>
      <c r="R675" s="108" t="s">
        <v>119</v>
      </c>
      <c r="S675" s="108" t="s">
        <v>119</v>
      </c>
      <c r="T675" s="106" t="s">
        <v>119</v>
      </c>
      <c r="U675" s="106" t="s">
        <v>119</v>
      </c>
      <c r="V675" t="s">
        <v>119</v>
      </c>
      <c r="W675" s="11" t="str">
        <f t="shared" si="10"/>
        <v>X</v>
      </c>
      <c r="X675" s="11" t="s">
        <v>1274</v>
      </c>
    </row>
    <row r="676" spans="1:24" s="11" customFormat="1" x14ac:dyDescent="0.3">
      <c r="A676" s="14" t="s">
        <v>522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 t="s">
        <v>134</v>
      </c>
      <c r="N676" s="14" t="s">
        <v>119</v>
      </c>
      <c r="O676" s="28" t="s">
        <v>119</v>
      </c>
      <c r="P676" s="106" t="s">
        <v>119</v>
      </c>
      <c r="Q676" s="106" t="s">
        <v>119</v>
      </c>
      <c r="R676" s="106" t="s">
        <v>119</v>
      </c>
      <c r="S676" s="106" t="s">
        <v>119</v>
      </c>
      <c r="T676" s="106" t="s">
        <v>119</v>
      </c>
      <c r="U676" s="106" t="s">
        <v>119</v>
      </c>
      <c r="V676" t="s">
        <v>119</v>
      </c>
      <c r="W676" s="11" t="s">
        <v>134</v>
      </c>
      <c r="X676" s="11" t="s">
        <v>119</v>
      </c>
    </row>
    <row r="677" spans="1:24" s="11" customFormat="1" x14ac:dyDescent="0.3">
      <c r="A677" s="14" t="s">
        <v>523</v>
      </c>
      <c r="B677" s="18" t="s">
        <v>119</v>
      </c>
      <c r="C677" s="14" t="s">
        <v>119</v>
      </c>
      <c r="D677" s="14" t="s">
        <v>119</v>
      </c>
      <c r="E677" s="14" t="s">
        <v>119</v>
      </c>
      <c r="F677" s="37" t="s">
        <v>119</v>
      </c>
      <c r="G677" s="37" t="s">
        <v>119</v>
      </c>
      <c r="H677" s="31">
        <v>1</v>
      </c>
      <c r="I677" s="31">
        <v>11</v>
      </c>
      <c r="J677" s="31">
        <v>11</v>
      </c>
      <c r="K677" s="31">
        <v>12</v>
      </c>
      <c r="L677" s="31" t="s">
        <v>119</v>
      </c>
      <c r="M677" s="31">
        <v>1</v>
      </c>
      <c r="N677" s="14" t="s">
        <v>119</v>
      </c>
      <c r="O677" s="28" t="s">
        <v>119</v>
      </c>
      <c r="P677" s="106" t="s">
        <v>119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t="s">
        <v>119</v>
      </c>
      <c r="W677" s="11" t="s">
        <v>119</v>
      </c>
      <c r="X677" s="11" t="s">
        <v>119</v>
      </c>
    </row>
    <row r="678" spans="1:24" s="11" customFormat="1" x14ac:dyDescent="0.3">
      <c r="A678" s="14" t="s">
        <v>769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119</v>
      </c>
      <c r="N678" s="14" t="s">
        <v>119</v>
      </c>
      <c r="O678" s="28" t="s">
        <v>119</v>
      </c>
      <c r="P678" s="106" t="s">
        <v>119</v>
      </c>
      <c r="Q678" s="106">
        <v>2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t="s">
        <v>119</v>
      </c>
      <c r="W678" s="11" t="str">
        <f t="shared" si="10"/>
        <v>X</v>
      </c>
      <c r="X678" s="11" t="s">
        <v>119</v>
      </c>
    </row>
    <row r="679" spans="1:24" s="11" customFormat="1" x14ac:dyDescent="0.3">
      <c r="A679" s="14" t="s">
        <v>730</v>
      </c>
      <c r="B679" s="18" t="s">
        <v>119</v>
      </c>
      <c r="C679" s="14" t="s">
        <v>119</v>
      </c>
      <c r="D679" s="14" t="s">
        <v>119</v>
      </c>
      <c r="E679" s="14" t="s">
        <v>119</v>
      </c>
      <c r="F679" s="37" t="s">
        <v>119</v>
      </c>
      <c r="G679" s="37" t="s">
        <v>119</v>
      </c>
      <c r="H679" s="31" t="s">
        <v>119</v>
      </c>
      <c r="I679" s="31" t="s">
        <v>119</v>
      </c>
      <c r="J679" s="31">
        <v>1</v>
      </c>
      <c r="K679" s="31" t="s">
        <v>119</v>
      </c>
      <c r="L679" s="31" t="s">
        <v>119</v>
      </c>
      <c r="M679" s="31" t="s">
        <v>134</v>
      </c>
      <c r="N679" s="14" t="s">
        <v>119</v>
      </c>
      <c r="O679" s="28" t="s">
        <v>119</v>
      </c>
      <c r="P679" s="106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t="s">
        <v>119</v>
      </c>
      <c r="W679" s="11" t="s">
        <v>134</v>
      </c>
      <c r="X679" s="11" t="s">
        <v>119</v>
      </c>
    </row>
    <row r="680" spans="1:24" s="11" customFormat="1" x14ac:dyDescent="0.3">
      <c r="A680" s="14" t="s">
        <v>731</v>
      </c>
      <c r="B680" s="18" t="s">
        <v>119</v>
      </c>
      <c r="C680" s="14" t="s">
        <v>119</v>
      </c>
      <c r="D680" s="14" t="s">
        <v>119</v>
      </c>
      <c r="E680" s="14" t="s">
        <v>119</v>
      </c>
      <c r="F680" s="37" t="s">
        <v>119</v>
      </c>
      <c r="G680" s="37" t="s">
        <v>119</v>
      </c>
      <c r="H680" s="31" t="s">
        <v>119</v>
      </c>
      <c r="I680" s="31">
        <v>44</v>
      </c>
      <c r="J680" s="31" t="s">
        <v>119</v>
      </c>
      <c r="K680" s="31" t="s">
        <v>119</v>
      </c>
      <c r="L680" s="31" t="s">
        <v>119</v>
      </c>
      <c r="M680" s="31" t="s">
        <v>119</v>
      </c>
      <c r="N680" s="14" t="s">
        <v>119</v>
      </c>
      <c r="O680" s="28" t="s">
        <v>119</v>
      </c>
      <c r="P680" s="106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t="s">
        <v>119</v>
      </c>
      <c r="W680" s="11" t="s">
        <v>119</v>
      </c>
      <c r="X680" s="11" t="s">
        <v>119</v>
      </c>
    </row>
    <row r="681" spans="1:24" s="64" customFormat="1" x14ac:dyDescent="0.3">
      <c r="A681" s="1" t="s">
        <v>290</v>
      </c>
      <c r="B681" s="2">
        <v>1</v>
      </c>
      <c r="C681" s="1">
        <v>0</v>
      </c>
      <c r="D681" s="1">
        <v>0</v>
      </c>
      <c r="E681" s="1">
        <v>0</v>
      </c>
      <c r="F681" s="37" t="s">
        <v>119</v>
      </c>
      <c r="G681" s="37" t="s">
        <v>119</v>
      </c>
      <c r="H681" s="28" t="s">
        <v>119</v>
      </c>
      <c r="I681" s="28">
        <v>2</v>
      </c>
      <c r="J681" s="28" t="s">
        <v>119</v>
      </c>
      <c r="K681" s="28" t="s">
        <v>119</v>
      </c>
      <c r="L681" s="27" t="s">
        <v>119</v>
      </c>
      <c r="M681" s="27" t="s">
        <v>119</v>
      </c>
      <c r="N681" s="4" t="s">
        <v>119</v>
      </c>
      <c r="O681" s="28" t="s">
        <v>119</v>
      </c>
      <c r="P681" s="106" t="s">
        <v>119</v>
      </c>
      <c r="Q681" s="106">
        <v>5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t="s">
        <v>119</v>
      </c>
      <c r="W681" s="11" t="str">
        <f t="shared" si="10"/>
        <v>X</v>
      </c>
      <c r="X681" s="88" t="s">
        <v>119</v>
      </c>
    </row>
    <row r="682" spans="1:24" s="64" customFormat="1" x14ac:dyDescent="0.3">
      <c r="A682" s="10" t="s">
        <v>292</v>
      </c>
      <c r="B682" s="6">
        <v>13</v>
      </c>
      <c r="C682" s="10">
        <v>1</v>
      </c>
      <c r="D682" s="10">
        <v>0</v>
      </c>
      <c r="E682" s="10">
        <v>0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119</v>
      </c>
      <c r="N682" s="1" t="s">
        <v>119</v>
      </c>
      <c r="O682" s="28" t="s">
        <v>119</v>
      </c>
      <c r="P682" s="106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t="s">
        <v>119</v>
      </c>
      <c r="W682" s="11" t="s">
        <v>119</v>
      </c>
      <c r="X682" s="88" t="s">
        <v>119</v>
      </c>
    </row>
    <row r="683" spans="1:24" x14ac:dyDescent="0.3">
      <c r="A683" s="1" t="s">
        <v>291</v>
      </c>
      <c r="B683" s="2" t="s">
        <v>119</v>
      </c>
      <c r="C683" s="1" t="s">
        <v>119</v>
      </c>
      <c r="D683" s="1" t="s">
        <v>119</v>
      </c>
      <c r="E683" s="1" t="s">
        <v>119</v>
      </c>
      <c r="F683" s="37" t="s">
        <v>119</v>
      </c>
      <c r="G683" s="37" t="s">
        <v>119</v>
      </c>
      <c r="H683" s="28" t="s">
        <v>119</v>
      </c>
      <c r="I683" s="28">
        <f>9+35+30</f>
        <v>74</v>
      </c>
      <c r="J683" s="28">
        <v>6</v>
      </c>
      <c r="K683" s="28">
        <v>2</v>
      </c>
      <c r="L683" s="27" t="s">
        <v>119</v>
      </c>
      <c r="M683" s="27" t="s">
        <v>134</v>
      </c>
      <c r="N683" s="4" t="s">
        <v>119</v>
      </c>
      <c r="O683" s="28" t="s">
        <v>119</v>
      </c>
      <c r="P683" s="106" t="s">
        <v>119</v>
      </c>
      <c r="Q683" s="106">
        <v>6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t="s">
        <v>119</v>
      </c>
      <c r="W683" s="11" t="str">
        <f t="shared" si="10"/>
        <v>X</v>
      </c>
      <c r="X683" s="11" t="s">
        <v>119</v>
      </c>
    </row>
    <row r="684" spans="1:24" x14ac:dyDescent="0.3">
      <c r="A684" s="1" t="s">
        <v>524</v>
      </c>
      <c r="B684" s="2" t="s">
        <v>119</v>
      </c>
      <c r="C684" s="1" t="s">
        <v>119</v>
      </c>
      <c r="D684" s="1" t="s">
        <v>119</v>
      </c>
      <c r="E684" s="1" t="s">
        <v>119</v>
      </c>
      <c r="F684" s="37" t="s">
        <v>119</v>
      </c>
      <c r="G684" s="37" t="s">
        <v>119</v>
      </c>
      <c r="H684" s="28" t="s">
        <v>119</v>
      </c>
      <c r="I684" s="28" t="s">
        <v>119</v>
      </c>
      <c r="J684" s="28" t="s">
        <v>119</v>
      </c>
      <c r="K684" s="28" t="s">
        <v>119</v>
      </c>
      <c r="L684" s="27" t="s">
        <v>119</v>
      </c>
      <c r="M684" s="27" t="s">
        <v>134</v>
      </c>
      <c r="N684" s="4" t="s">
        <v>119</v>
      </c>
      <c r="O684" s="28" t="s">
        <v>119</v>
      </c>
      <c r="P684" s="106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t="s">
        <v>119</v>
      </c>
      <c r="W684" s="11" t="s">
        <v>134</v>
      </c>
      <c r="X684" s="11" t="s">
        <v>134</v>
      </c>
    </row>
    <row r="685" spans="1:24" x14ac:dyDescent="0.3">
      <c r="A685" s="4" t="s">
        <v>526</v>
      </c>
      <c r="B685" s="2" t="s">
        <v>119</v>
      </c>
      <c r="C685" s="1" t="s">
        <v>119</v>
      </c>
      <c r="D685" s="1" t="s">
        <v>119</v>
      </c>
      <c r="E685" s="1" t="s">
        <v>119</v>
      </c>
      <c r="F685" s="37" t="s">
        <v>119</v>
      </c>
      <c r="G685" s="37" t="s">
        <v>119</v>
      </c>
      <c r="H685" s="28" t="s">
        <v>119</v>
      </c>
      <c r="I685" s="28" t="s">
        <v>119</v>
      </c>
      <c r="J685" s="28" t="s">
        <v>119</v>
      </c>
      <c r="K685" s="28" t="s">
        <v>119</v>
      </c>
      <c r="L685" s="27" t="s">
        <v>119</v>
      </c>
      <c r="M685" s="27" t="s">
        <v>134</v>
      </c>
      <c r="N685" s="4" t="s">
        <v>119</v>
      </c>
      <c r="O685" s="28" t="s">
        <v>119</v>
      </c>
      <c r="P685" s="106" t="s">
        <v>119</v>
      </c>
      <c r="Q685" s="106" t="s">
        <v>119</v>
      </c>
      <c r="R685" s="106" t="s">
        <v>119</v>
      </c>
      <c r="S685" s="106" t="s">
        <v>119</v>
      </c>
      <c r="T685" s="106" t="s">
        <v>119</v>
      </c>
      <c r="U685" s="106" t="s">
        <v>119</v>
      </c>
      <c r="V685" t="s">
        <v>119</v>
      </c>
      <c r="W685" s="11" t="s">
        <v>134</v>
      </c>
      <c r="X685" s="11" t="s">
        <v>134</v>
      </c>
    </row>
    <row r="686" spans="1:24" x14ac:dyDescent="0.3">
      <c r="A686" s="4" t="s">
        <v>527</v>
      </c>
      <c r="B686" s="2" t="s">
        <v>119</v>
      </c>
      <c r="C686" s="1" t="s">
        <v>119</v>
      </c>
      <c r="D686" s="1" t="s">
        <v>119</v>
      </c>
      <c r="E686" s="1" t="s">
        <v>119</v>
      </c>
      <c r="F686" s="37" t="s">
        <v>119</v>
      </c>
      <c r="G686" s="37" t="s">
        <v>119</v>
      </c>
      <c r="H686" s="28">
        <v>3</v>
      </c>
      <c r="I686" s="28" t="s">
        <v>119</v>
      </c>
      <c r="J686" s="28" t="s">
        <v>119</v>
      </c>
      <c r="K686" s="28" t="s">
        <v>119</v>
      </c>
      <c r="L686" s="27" t="s">
        <v>119</v>
      </c>
      <c r="M686" s="27">
        <v>2</v>
      </c>
      <c r="N686" s="4" t="s">
        <v>119</v>
      </c>
      <c r="O686" s="28" t="s">
        <v>119</v>
      </c>
      <c r="P686" s="106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t="s">
        <v>119</v>
      </c>
      <c r="W686" s="11" t="s">
        <v>134</v>
      </c>
      <c r="X686" s="11" t="s">
        <v>134</v>
      </c>
    </row>
    <row r="687" spans="1:24" x14ac:dyDescent="0.3">
      <c r="A687" s="4" t="s">
        <v>528</v>
      </c>
      <c r="B687" s="2" t="s">
        <v>119</v>
      </c>
      <c r="C687" s="1" t="s">
        <v>119</v>
      </c>
      <c r="D687" s="1" t="s">
        <v>119</v>
      </c>
      <c r="E687" s="1" t="s">
        <v>119</v>
      </c>
      <c r="F687" s="37" t="s">
        <v>119</v>
      </c>
      <c r="G687" s="37" t="s">
        <v>119</v>
      </c>
      <c r="H687" s="28" t="s">
        <v>119</v>
      </c>
      <c r="I687" s="28" t="s">
        <v>119</v>
      </c>
      <c r="J687" s="28" t="s">
        <v>119</v>
      </c>
      <c r="K687" s="28" t="s">
        <v>119</v>
      </c>
      <c r="L687" s="27" t="s">
        <v>119</v>
      </c>
      <c r="M687" s="27" t="s">
        <v>134</v>
      </c>
      <c r="N687" s="4" t="s">
        <v>119</v>
      </c>
      <c r="O687" s="28" t="s">
        <v>119</v>
      </c>
      <c r="P687" s="106" t="s">
        <v>119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t="s">
        <v>119</v>
      </c>
      <c r="W687" s="11" t="s">
        <v>119</v>
      </c>
      <c r="X687" s="11" t="s">
        <v>119</v>
      </c>
    </row>
    <row r="688" spans="1:24" x14ac:dyDescent="0.3">
      <c r="A688" s="4" t="s">
        <v>529</v>
      </c>
      <c r="B688" s="2" t="s">
        <v>119</v>
      </c>
      <c r="C688" s="1" t="s">
        <v>119</v>
      </c>
      <c r="D688" s="1" t="s">
        <v>119</v>
      </c>
      <c r="E688" s="1" t="s">
        <v>119</v>
      </c>
      <c r="F688" s="37" t="s">
        <v>119</v>
      </c>
      <c r="G688" s="37" t="s">
        <v>119</v>
      </c>
      <c r="H688" s="28" t="s">
        <v>119</v>
      </c>
      <c r="I688" s="28" t="s">
        <v>119</v>
      </c>
      <c r="J688" s="28">
        <v>9</v>
      </c>
      <c r="K688" s="28" t="s">
        <v>119</v>
      </c>
      <c r="L688" s="27" t="s">
        <v>119</v>
      </c>
      <c r="M688" s="27">
        <v>28</v>
      </c>
      <c r="N688" s="4" t="s">
        <v>119</v>
      </c>
      <c r="O688" s="28" t="s">
        <v>119</v>
      </c>
      <c r="P688" s="106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t="s">
        <v>119</v>
      </c>
      <c r="W688" s="11" t="s">
        <v>134</v>
      </c>
      <c r="X688" s="11" t="s">
        <v>119</v>
      </c>
    </row>
    <row r="689" spans="1:24" x14ac:dyDescent="0.3">
      <c r="A689" s="4" t="s">
        <v>530</v>
      </c>
      <c r="B689" s="2" t="s">
        <v>119</v>
      </c>
      <c r="C689" s="1" t="s">
        <v>119</v>
      </c>
      <c r="D689" s="1" t="s">
        <v>119</v>
      </c>
      <c r="E689" s="1" t="s">
        <v>119</v>
      </c>
      <c r="F689" s="37" t="s">
        <v>119</v>
      </c>
      <c r="G689" s="37" t="s">
        <v>119</v>
      </c>
      <c r="H689" s="28" t="s">
        <v>119</v>
      </c>
      <c r="I689" s="28" t="s">
        <v>119</v>
      </c>
      <c r="J689" s="28" t="s">
        <v>119</v>
      </c>
      <c r="K689" s="28" t="s">
        <v>119</v>
      </c>
      <c r="L689" s="27" t="s">
        <v>119</v>
      </c>
      <c r="M689" s="27" t="s">
        <v>134</v>
      </c>
      <c r="N689" s="4" t="s">
        <v>119</v>
      </c>
      <c r="O689" s="28" t="s">
        <v>119</v>
      </c>
      <c r="P689" s="106" t="s">
        <v>119</v>
      </c>
      <c r="Q689" s="106" t="s">
        <v>119</v>
      </c>
      <c r="R689" s="106" t="s">
        <v>119</v>
      </c>
      <c r="S689" s="106" t="s">
        <v>119</v>
      </c>
      <c r="T689" s="106" t="s">
        <v>119</v>
      </c>
      <c r="U689" s="106" t="s">
        <v>119</v>
      </c>
      <c r="V689" t="s">
        <v>119</v>
      </c>
      <c r="W689" s="11" t="s">
        <v>134</v>
      </c>
      <c r="X689" s="11" t="s">
        <v>134</v>
      </c>
    </row>
    <row r="690" spans="1:24" x14ac:dyDescent="0.3">
      <c r="A690" s="4" t="s">
        <v>531</v>
      </c>
      <c r="B690" s="2" t="s">
        <v>119</v>
      </c>
      <c r="C690" s="1" t="s">
        <v>119</v>
      </c>
      <c r="D690" s="1" t="s">
        <v>119</v>
      </c>
      <c r="E690" s="1" t="s">
        <v>119</v>
      </c>
      <c r="F690" s="37" t="s">
        <v>119</v>
      </c>
      <c r="G690" s="37" t="s">
        <v>119</v>
      </c>
      <c r="H690" s="28" t="s">
        <v>119</v>
      </c>
      <c r="I690" s="28" t="s">
        <v>119</v>
      </c>
      <c r="J690" s="28" t="s">
        <v>119</v>
      </c>
      <c r="K690" s="28" t="s">
        <v>119</v>
      </c>
      <c r="L690" s="27" t="s">
        <v>119</v>
      </c>
      <c r="M690" s="27">
        <v>2</v>
      </c>
      <c r="N690" s="4" t="s">
        <v>119</v>
      </c>
      <c r="O690" s="28" t="s">
        <v>119</v>
      </c>
      <c r="P690" s="106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t="s">
        <v>119</v>
      </c>
      <c r="W690" s="11" t="s">
        <v>134</v>
      </c>
      <c r="X690" s="11" t="s">
        <v>134</v>
      </c>
    </row>
    <row r="691" spans="1:24" x14ac:dyDescent="0.3">
      <c r="A691" s="4" t="s">
        <v>532</v>
      </c>
      <c r="B691" s="2" t="s">
        <v>119</v>
      </c>
      <c r="C691" s="1" t="s">
        <v>119</v>
      </c>
      <c r="D691" s="1" t="s">
        <v>119</v>
      </c>
      <c r="E691" s="1" t="s">
        <v>119</v>
      </c>
      <c r="F691" s="37" t="s">
        <v>119</v>
      </c>
      <c r="G691" s="37" t="s">
        <v>119</v>
      </c>
      <c r="H691" s="28" t="s">
        <v>119</v>
      </c>
      <c r="I691" s="28" t="s">
        <v>119</v>
      </c>
      <c r="J691" s="28" t="s">
        <v>119</v>
      </c>
      <c r="K691" s="28" t="s">
        <v>119</v>
      </c>
      <c r="L691" s="27" t="s">
        <v>119</v>
      </c>
      <c r="M691" s="27">
        <v>1</v>
      </c>
      <c r="N691" s="4" t="s">
        <v>119</v>
      </c>
      <c r="O691" s="28" t="s">
        <v>119</v>
      </c>
      <c r="P691" s="106" t="s">
        <v>119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t="s">
        <v>119</v>
      </c>
      <c r="W691" s="11" t="s">
        <v>134</v>
      </c>
      <c r="X691" s="11" t="s">
        <v>134</v>
      </c>
    </row>
    <row r="692" spans="1:24" x14ac:dyDescent="0.3">
      <c r="A692" s="1" t="s">
        <v>24</v>
      </c>
      <c r="B692" s="2">
        <v>0</v>
      </c>
      <c r="C692" s="4">
        <v>0</v>
      </c>
      <c r="D692" s="4">
        <v>0</v>
      </c>
      <c r="E692" s="1">
        <v>3</v>
      </c>
      <c r="F692" s="37" t="s">
        <v>119</v>
      </c>
      <c r="G692" s="37" t="s">
        <v>119</v>
      </c>
      <c r="H692" s="28" t="s">
        <v>119</v>
      </c>
      <c r="I692" s="28" t="s">
        <v>119</v>
      </c>
      <c r="J692" s="28">
        <v>2</v>
      </c>
      <c r="K692" s="28" t="s">
        <v>119</v>
      </c>
      <c r="L692" s="28" t="s">
        <v>119</v>
      </c>
      <c r="M692" s="28" t="s">
        <v>119</v>
      </c>
      <c r="N692" s="1" t="s">
        <v>119</v>
      </c>
      <c r="O692" s="28" t="s">
        <v>119</v>
      </c>
      <c r="P692" s="106" t="s">
        <v>119</v>
      </c>
      <c r="Q692" s="106" t="s">
        <v>119</v>
      </c>
      <c r="R692" s="106" t="s">
        <v>119</v>
      </c>
      <c r="S692" s="106" t="s">
        <v>119</v>
      </c>
      <c r="T692" s="106" t="s">
        <v>119</v>
      </c>
      <c r="U692" s="106" t="s">
        <v>119</v>
      </c>
      <c r="V692" t="s">
        <v>119</v>
      </c>
      <c r="W692" s="11" t="s">
        <v>119</v>
      </c>
      <c r="X692" s="11" t="s">
        <v>134</v>
      </c>
    </row>
    <row r="693" spans="1:24" x14ac:dyDescent="0.3">
      <c r="A693" s="1" t="s">
        <v>770</v>
      </c>
      <c r="B693" s="2">
        <v>0</v>
      </c>
      <c r="C693" s="4">
        <v>0</v>
      </c>
      <c r="D693" s="4">
        <v>0</v>
      </c>
      <c r="E693" s="1">
        <v>39</v>
      </c>
      <c r="F693" s="37" t="s">
        <v>119</v>
      </c>
      <c r="G693" s="37" t="s">
        <v>119</v>
      </c>
      <c r="H693" s="28" t="s">
        <v>119</v>
      </c>
      <c r="I693" s="28" t="s">
        <v>119</v>
      </c>
      <c r="J693" s="28">
        <v>2</v>
      </c>
      <c r="K693" s="28">
        <v>1</v>
      </c>
      <c r="L693" s="28" t="s">
        <v>119</v>
      </c>
      <c r="M693" s="28">
        <v>21</v>
      </c>
      <c r="N693" s="1" t="s">
        <v>119</v>
      </c>
      <c r="O693" s="28">
        <v>1</v>
      </c>
      <c r="P693" s="106" t="s">
        <v>119</v>
      </c>
      <c r="Q693" s="106">
        <v>7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t="s">
        <v>119</v>
      </c>
      <c r="W693" s="11" t="str">
        <f t="shared" si="10"/>
        <v>X</v>
      </c>
      <c r="X693" s="11" t="s">
        <v>134</v>
      </c>
    </row>
    <row r="694" spans="1:24" x14ac:dyDescent="0.3">
      <c r="A694" s="4" t="s">
        <v>1286</v>
      </c>
      <c r="B694" s="2" t="s">
        <v>119</v>
      </c>
      <c r="C694" s="4" t="s">
        <v>119</v>
      </c>
      <c r="D694" s="4" t="s">
        <v>119</v>
      </c>
      <c r="E694" s="1" t="s">
        <v>119</v>
      </c>
      <c r="F694" s="37" t="s">
        <v>119</v>
      </c>
      <c r="G694" s="37" t="s">
        <v>119</v>
      </c>
      <c r="H694" s="28" t="s">
        <v>119</v>
      </c>
      <c r="I694" s="28" t="s">
        <v>119</v>
      </c>
      <c r="J694" s="28" t="s">
        <v>119</v>
      </c>
      <c r="K694" s="28" t="s">
        <v>119</v>
      </c>
      <c r="L694" s="28" t="s">
        <v>119</v>
      </c>
      <c r="M694" s="28" t="s">
        <v>134</v>
      </c>
      <c r="N694" s="1" t="s">
        <v>119</v>
      </c>
      <c r="O694" s="28" t="s">
        <v>119</v>
      </c>
      <c r="P694" s="106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t="s">
        <v>119</v>
      </c>
      <c r="W694" s="11" t="s">
        <v>134</v>
      </c>
      <c r="X694" s="11" t="s">
        <v>134</v>
      </c>
    </row>
    <row r="695" spans="1:24" x14ac:dyDescent="0.3">
      <c r="A695" s="1" t="s">
        <v>525</v>
      </c>
      <c r="B695" s="2">
        <v>0</v>
      </c>
      <c r="C695" s="4">
        <v>0</v>
      </c>
      <c r="D695" s="4">
        <v>0</v>
      </c>
      <c r="E695" s="1">
        <v>2</v>
      </c>
      <c r="F695" s="37" t="s">
        <v>119</v>
      </c>
      <c r="G695" s="37" t="s">
        <v>119</v>
      </c>
      <c r="H695" s="27">
        <v>1</v>
      </c>
      <c r="I695" s="28" t="s">
        <v>119</v>
      </c>
      <c r="J695" s="28" t="s">
        <v>119</v>
      </c>
      <c r="K695" s="27" t="s">
        <v>119</v>
      </c>
      <c r="L695" s="28" t="s">
        <v>119</v>
      </c>
      <c r="M695" s="28" t="s">
        <v>119</v>
      </c>
      <c r="N695" s="1" t="s">
        <v>119</v>
      </c>
      <c r="O695" s="28" t="s">
        <v>119</v>
      </c>
      <c r="P695" s="106" t="s">
        <v>119</v>
      </c>
      <c r="Q695" s="106" t="s">
        <v>119</v>
      </c>
      <c r="R695" s="106" t="s">
        <v>119</v>
      </c>
      <c r="S695" s="106" t="s">
        <v>119</v>
      </c>
      <c r="T695" s="106" t="s">
        <v>119</v>
      </c>
      <c r="U695" s="106" t="s">
        <v>119</v>
      </c>
      <c r="V695" t="s">
        <v>119</v>
      </c>
      <c r="W695" s="11" t="s">
        <v>134</v>
      </c>
      <c r="X695" s="11" t="s">
        <v>134</v>
      </c>
    </row>
    <row r="696" spans="1:24" x14ac:dyDescent="0.3">
      <c r="A696" s="4" t="s">
        <v>533</v>
      </c>
      <c r="B696" s="2" t="s">
        <v>119</v>
      </c>
      <c r="C696" s="4" t="s">
        <v>119</v>
      </c>
      <c r="D696" s="4" t="s">
        <v>119</v>
      </c>
      <c r="E696" s="1" t="s">
        <v>119</v>
      </c>
      <c r="F696" s="37" t="s">
        <v>119</v>
      </c>
      <c r="G696" s="37" t="s">
        <v>119</v>
      </c>
      <c r="H696" s="27" t="s">
        <v>119</v>
      </c>
      <c r="I696" s="28" t="s">
        <v>119</v>
      </c>
      <c r="J696" s="28" t="s">
        <v>119</v>
      </c>
      <c r="K696" s="27" t="s">
        <v>119</v>
      </c>
      <c r="L696" s="28" t="s">
        <v>119</v>
      </c>
      <c r="M696" s="28" t="s">
        <v>134</v>
      </c>
      <c r="N696" s="1" t="s">
        <v>119</v>
      </c>
      <c r="O696" s="28" t="s">
        <v>119</v>
      </c>
      <c r="P696" s="106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t="s">
        <v>119</v>
      </c>
      <c r="W696" s="11" t="s">
        <v>119</v>
      </c>
      <c r="X696" s="11" t="s">
        <v>119</v>
      </c>
    </row>
    <row r="697" spans="1:24" x14ac:dyDescent="0.3">
      <c r="A697" s="4" t="s">
        <v>694</v>
      </c>
      <c r="B697" s="2" t="s">
        <v>119</v>
      </c>
      <c r="C697" s="4" t="s">
        <v>119</v>
      </c>
      <c r="D697" s="4" t="s">
        <v>119</v>
      </c>
      <c r="E697" s="1" t="s">
        <v>119</v>
      </c>
      <c r="F697" s="37" t="s">
        <v>119</v>
      </c>
      <c r="G697" s="37">
        <v>1</v>
      </c>
      <c r="H697" s="27" t="s">
        <v>119</v>
      </c>
      <c r="I697" s="28" t="s">
        <v>119</v>
      </c>
      <c r="J697" s="28" t="s">
        <v>119</v>
      </c>
      <c r="K697" s="27" t="s">
        <v>119</v>
      </c>
      <c r="L697" s="28" t="s">
        <v>119</v>
      </c>
      <c r="M697" s="28" t="s">
        <v>119</v>
      </c>
      <c r="N697" s="1" t="s">
        <v>119</v>
      </c>
      <c r="O697" s="28" t="s">
        <v>119</v>
      </c>
      <c r="P697" s="106" t="s">
        <v>119</v>
      </c>
      <c r="Q697" s="106" t="s">
        <v>119</v>
      </c>
      <c r="R697" s="106" t="s">
        <v>119</v>
      </c>
      <c r="S697" s="106" t="s">
        <v>119</v>
      </c>
      <c r="T697" s="106" t="s">
        <v>119</v>
      </c>
      <c r="U697" s="106" t="s">
        <v>119</v>
      </c>
      <c r="V697" t="s">
        <v>119</v>
      </c>
      <c r="W697" s="11" t="s">
        <v>119</v>
      </c>
      <c r="X697" s="11" t="s">
        <v>119</v>
      </c>
    </row>
    <row r="698" spans="1:24" x14ac:dyDescent="0.3">
      <c r="A698" s="4" t="s">
        <v>534</v>
      </c>
      <c r="B698" s="2" t="s">
        <v>119</v>
      </c>
      <c r="C698" s="4" t="s">
        <v>119</v>
      </c>
      <c r="D698" s="4" t="s">
        <v>119</v>
      </c>
      <c r="E698" s="1" t="s">
        <v>119</v>
      </c>
      <c r="F698" s="37" t="s">
        <v>119</v>
      </c>
      <c r="G698" s="37" t="s">
        <v>119</v>
      </c>
      <c r="H698" s="27" t="s">
        <v>119</v>
      </c>
      <c r="I698" s="28" t="s">
        <v>119</v>
      </c>
      <c r="J698" s="28" t="s">
        <v>119</v>
      </c>
      <c r="K698" s="27" t="s">
        <v>119</v>
      </c>
      <c r="L698" s="28" t="s">
        <v>119</v>
      </c>
      <c r="M698" s="28" t="s">
        <v>134</v>
      </c>
      <c r="N698" s="1" t="s">
        <v>119</v>
      </c>
      <c r="O698" s="28" t="s">
        <v>119</v>
      </c>
      <c r="P698" s="106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t="s">
        <v>119</v>
      </c>
      <c r="W698" s="11" t="s">
        <v>1274</v>
      </c>
      <c r="X698" s="11" t="s">
        <v>1274</v>
      </c>
    </row>
    <row r="699" spans="1:24" x14ac:dyDescent="0.3">
      <c r="A699" s="10" t="s">
        <v>27</v>
      </c>
      <c r="B699" s="6">
        <v>0</v>
      </c>
      <c r="C699" s="7">
        <v>0</v>
      </c>
      <c r="D699" s="7">
        <v>0</v>
      </c>
      <c r="E699" s="10">
        <v>1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7" t="s">
        <v>119</v>
      </c>
      <c r="L699" s="28" t="s">
        <v>119</v>
      </c>
      <c r="M699" s="28" t="s">
        <v>119</v>
      </c>
      <c r="N699" s="1" t="s">
        <v>119</v>
      </c>
      <c r="O699" s="28" t="s">
        <v>119</v>
      </c>
      <c r="P699" s="106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t="s">
        <v>119</v>
      </c>
      <c r="W699" s="11" t="s">
        <v>119</v>
      </c>
      <c r="X699" s="11" t="s">
        <v>119</v>
      </c>
    </row>
    <row r="700" spans="1:24" x14ac:dyDescent="0.3">
      <c r="A700" s="1" t="s">
        <v>13</v>
      </c>
      <c r="B700" s="2">
        <v>2</v>
      </c>
      <c r="C700" s="1">
        <v>0</v>
      </c>
      <c r="D700" s="1">
        <v>0</v>
      </c>
      <c r="E700" s="1">
        <v>0</v>
      </c>
      <c r="F700" s="37" t="s">
        <v>119</v>
      </c>
      <c r="G700" s="37" t="s">
        <v>119</v>
      </c>
      <c r="H700" s="28" t="s">
        <v>119</v>
      </c>
      <c r="I700" s="28" t="s">
        <v>119</v>
      </c>
      <c r="J700" s="28" t="s">
        <v>119</v>
      </c>
      <c r="K700" s="28" t="s">
        <v>119</v>
      </c>
      <c r="L700" s="28" t="s">
        <v>119</v>
      </c>
      <c r="M700" s="28">
        <f>44+146+52+43+25</f>
        <v>310</v>
      </c>
      <c r="N700" s="1">
        <v>2</v>
      </c>
      <c r="O700" s="28">
        <v>1</v>
      </c>
      <c r="P700" s="106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t="s">
        <v>119</v>
      </c>
      <c r="W700" s="11" t="s">
        <v>134</v>
      </c>
      <c r="X700" s="11" t="s">
        <v>134</v>
      </c>
    </row>
    <row r="701" spans="1:24" s="51" customFormat="1" x14ac:dyDescent="0.3">
      <c r="A701" s="36" t="s">
        <v>293</v>
      </c>
      <c r="B701" s="48"/>
      <c r="C701" s="49"/>
      <c r="D701" s="49"/>
      <c r="E701" s="49"/>
      <c r="F701" s="92"/>
      <c r="G701" s="92"/>
      <c r="H701" s="50"/>
      <c r="I701" s="50"/>
      <c r="J701" s="50"/>
      <c r="K701" s="50"/>
      <c r="L701" s="50"/>
      <c r="M701" s="50"/>
      <c r="N701" s="49"/>
      <c r="O701" s="50"/>
      <c r="P701" s="105"/>
      <c r="Q701" s="105"/>
      <c r="R701" s="105"/>
      <c r="S701" s="105"/>
      <c r="T701" s="105"/>
      <c r="U701" s="105"/>
      <c r="V701" t="s">
        <v>119</v>
      </c>
      <c r="W701" s="11" t="str">
        <f t="shared" si="10"/>
        <v/>
      </c>
      <c r="X701" s="84"/>
    </row>
    <row r="702" spans="1:24" x14ac:dyDescent="0.3">
      <c r="A702" s="1" t="s">
        <v>33</v>
      </c>
      <c r="B702" s="2">
        <v>14</v>
      </c>
      <c r="C702" s="4">
        <v>16</v>
      </c>
      <c r="D702" s="4">
        <v>4</v>
      </c>
      <c r="E702" s="1">
        <v>0</v>
      </c>
      <c r="F702" s="37" t="s">
        <v>119</v>
      </c>
      <c r="G702" s="37">
        <f>2+1+1+1+1</f>
        <v>6</v>
      </c>
      <c r="H702" s="27">
        <v>11</v>
      </c>
      <c r="I702" s="27">
        <v>11</v>
      </c>
      <c r="J702" s="28">
        <v>1</v>
      </c>
      <c r="K702" s="29">
        <v>2</v>
      </c>
      <c r="L702" s="28" t="s">
        <v>119</v>
      </c>
      <c r="M702" s="28">
        <f>16+26+1+2+6+1+8+3</f>
        <v>63</v>
      </c>
      <c r="N702" s="1" t="s">
        <v>119</v>
      </c>
      <c r="O702" s="28">
        <v>1</v>
      </c>
      <c r="P702" s="106" t="s">
        <v>119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>
        <v>2</v>
      </c>
      <c r="V702" t="s">
        <v>119</v>
      </c>
      <c r="W702" s="11" t="str">
        <f t="shared" si="10"/>
        <v>X</v>
      </c>
      <c r="X702" s="11" t="s">
        <v>134</v>
      </c>
    </row>
    <row r="703" spans="1:24" x14ac:dyDescent="0.3">
      <c r="A703" s="1" t="s">
        <v>28</v>
      </c>
      <c r="B703" s="2">
        <v>10</v>
      </c>
      <c r="C703" s="4">
        <v>0</v>
      </c>
      <c r="D703" s="4">
        <v>0</v>
      </c>
      <c r="E703" s="1">
        <v>0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8" t="s">
        <v>119</v>
      </c>
      <c r="M703" s="28" t="s">
        <v>119</v>
      </c>
      <c r="N703" s="1" t="s">
        <v>119</v>
      </c>
      <c r="O703" s="28" t="s">
        <v>119</v>
      </c>
      <c r="P703" s="106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t="s">
        <v>119</v>
      </c>
      <c r="W703" s="11" t="s">
        <v>119</v>
      </c>
      <c r="X703" s="11" t="s">
        <v>134</v>
      </c>
    </row>
    <row r="704" spans="1:24" x14ac:dyDescent="0.3">
      <c r="A704" s="4" t="s">
        <v>535</v>
      </c>
      <c r="B704" s="2" t="s">
        <v>119</v>
      </c>
      <c r="C704" s="4" t="s">
        <v>119</v>
      </c>
      <c r="D704" s="4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8" t="s">
        <v>119</v>
      </c>
      <c r="M704" s="28" t="s">
        <v>134</v>
      </c>
      <c r="N704" s="1" t="s">
        <v>119</v>
      </c>
      <c r="O704" s="28" t="s">
        <v>119</v>
      </c>
      <c r="P704" s="106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t="s">
        <v>119</v>
      </c>
      <c r="W704" s="11" t="s">
        <v>134</v>
      </c>
      <c r="X704" s="11" t="s">
        <v>119</v>
      </c>
    </row>
    <row r="705" spans="1:24" x14ac:dyDescent="0.3">
      <c r="A705" s="4" t="s">
        <v>1191</v>
      </c>
      <c r="B705" s="2" t="s">
        <v>119</v>
      </c>
      <c r="C705" s="2" t="s">
        <v>119</v>
      </c>
      <c r="D705" s="2" t="s">
        <v>119</v>
      </c>
      <c r="E705" s="2" t="s">
        <v>119</v>
      </c>
      <c r="F705" s="2" t="s">
        <v>119</v>
      </c>
      <c r="G705" s="2" t="s">
        <v>119</v>
      </c>
      <c r="H705" s="2" t="s">
        <v>119</v>
      </c>
      <c r="I705" s="2" t="s">
        <v>119</v>
      </c>
      <c r="J705" s="28" t="s">
        <v>134</v>
      </c>
      <c r="K705" s="28" t="s">
        <v>119</v>
      </c>
      <c r="L705" s="28" t="s">
        <v>119</v>
      </c>
      <c r="M705" s="28" t="s">
        <v>119</v>
      </c>
      <c r="N705" s="28" t="s">
        <v>119</v>
      </c>
      <c r="O705" s="28" t="s">
        <v>119</v>
      </c>
      <c r="P705" s="106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98" t="s">
        <v>134</v>
      </c>
      <c r="W705" s="11" t="s">
        <v>119</v>
      </c>
      <c r="X705" s="11" t="s">
        <v>119</v>
      </c>
    </row>
    <row r="706" spans="1:24" x14ac:dyDescent="0.3">
      <c r="A706" s="4" t="s">
        <v>536</v>
      </c>
      <c r="B706" s="2" t="s">
        <v>119</v>
      </c>
      <c r="C706" s="4" t="s">
        <v>119</v>
      </c>
      <c r="D706" s="4" t="s">
        <v>119</v>
      </c>
      <c r="E706" s="1" t="s">
        <v>119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 t="s">
        <v>119</v>
      </c>
      <c r="K706" s="28" t="s">
        <v>119</v>
      </c>
      <c r="L706" s="28" t="s">
        <v>119</v>
      </c>
      <c r="M706" s="28">
        <v>6</v>
      </c>
      <c r="N706" s="1" t="s">
        <v>119</v>
      </c>
      <c r="O706" s="28" t="s">
        <v>119</v>
      </c>
      <c r="P706" s="106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t="s">
        <v>119</v>
      </c>
      <c r="W706" s="11" t="s">
        <v>134</v>
      </c>
      <c r="X706" s="11" t="s">
        <v>134</v>
      </c>
    </row>
    <row r="707" spans="1:24" x14ac:dyDescent="0.3">
      <c r="A707" s="4" t="s">
        <v>695</v>
      </c>
      <c r="B707" s="2" t="s">
        <v>119</v>
      </c>
      <c r="C707" s="4" t="s">
        <v>119</v>
      </c>
      <c r="D707" s="4" t="s">
        <v>119</v>
      </c>
      <c r="E707" s="1" t="s">
        <v>119</v>
      </c>
      <c r="F707" s="37" t="s">
        <v>119</v>
      </c>
      <c r="G707" s="37">
        <v>1</v>
      </c>
      <c r="H707" s="28" t="s">
        <v>119</v>
      </c>
      <c r="I707" s="28" t="s">
        <v>119</v>
      </c>
      <c r="J707" s="28" t="s">
        <v>119</v>
      </c>
      <c r="K707" s="28" t="s">
        <v>134</v>
      </c>
      <c r="L707" s="28" t="s">
        <v>119</v>
      </c>
      <c r="M707" s="28" t="s">
        <v>119</v>
      </c>
      <c r="N707" s="1" t="s">
        <v>119</v>
      </c>
      <c r="O707" s="28" t="s">
        <v>119</v>
      </c>
      <c r="P707" s="106" t="s">
        <v>119</v>
      </c>
      <c r="Q707" s="106" t="s">
        <v>119</v>
      </c>
      <c r="R707" s="106" t="s">
        <v>119</v>
      </c>
      <c r="S707" s="106" t="s">
        <v>119</v>
      </c>
      <c r="T707" s="106" t="s">
        <v>119</v>
      </c>
      <c r="U707" s="106" t="s">
        <v>119</v>
      </c>
      <c r="V707" t="s">
        <v>119</v>
      </c>
      <c r="W707" s="11" t="s">
        <v>134</v>
      </c>
      <c r="X707" s="11" t="s">
        <v>134</v>
      </c>
    </row>
    <row r="708" spans="1:24" x14ac:dyDescent="0.3">
      <c r="A708" s="4" t="s">
        <v>537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106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t="s">
        <v>119</v>
      </c>
      <c r="W708" s="11" t="s">
        <v>134</v>
      </c>
      <c r="X708" s="11" t="s">
        <v>134</v>
      </c>
    </row>
    <row r="709" spans="1:24" x14ac:dyDescent="0.3">
      <c r="A709" s="4" t="s">
        <v>538</v>
      </c>
      <c r="B709" s="2" t="s">
        <v>119</v>
      </c>
      <c r="C709" s="4" t="s">
        <v>119</v>
      </c>
      <c r="D709" s="4" t="s">
        <v>119</v>
      </c>
      <c r="E709" s="1" t="s">
        <v>119</v>
      </c>
      <c r="F709" s="37" t="s">
        <v>119</v>
      </c>
      <c r="G709" s="37" t="s">
        <v>119</v>
      </c>
      <c r="H709" s="28" t="s">
        <v>119</v>
      </c>
      <c r="I709" s="28" t="s">
        <v>119</v>
      </c>
      <c r="J709" s="28" t="s">
        <v>119</v>
      </c>
      <c r="K709" s="28" t="s">
        <v>119</v>
      </c>
      <c r="L709" s="28" t="s">
        <v>119</v>
      </c>
      <c r="M709" s="28" t="s">
        <v>134</v>
      </c>
      <c r="N709" s="1" t="s">
        <v>119</v>
      </c>
      <c r="O709" s="28" t="s">
        <v>119</v>
      </c>
      <c r="P709" s="106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t="s">
        <v>119</v>
      </c>
      <c r="W709" s="11" t="s">
        <v>134</v>
      </c>
      <c r="X709" s="11" t="s">
        <v>134</v>
      </c>
    </row>
    <row r="710" spans="1:24" x14ac:dyDescent="0.3">
      <c r="A710" s="4" t="s">
        <v>539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8" t="s">
        <v>119</v>
      </c>
      <c r="I710" s="28" t="s">
        <v>119</v>
      </c>
      <c r="J710" s="28" t="s">
        <v>119</v>
      </c>
      <c r="K710" s="28" t="s">
        <v>119</v>
      </c>
      <c r="L710" s="28" t="s">
        <v>119</v>
      </c>
      <c r="M710" s="28">
        <v>4</v>
      </c>
      <c r="N710" s="1" t="s">
        <v>119</v>
      </c>
      <c r="O710" s="28" t="s">
        <v>119</v>
      </c>
      <c r="P710" s="106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t="s">
        <v>119</v>
      </c>
      <c r="W710" s="11" t="s">
        <v>134</v>
      </c>
      <c r="X710" s="11" t="s">
        <v>134</v>
      </c>
    </row>
    <row r="711" spans="1:24" x14ac:dyDescent="0.3">
      <c r="A711" s="1" t="s">
        <v>146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 t="s">
        <v>119</v>
      </c>
      <c r="H711" s="28" t="s">
        <v>119</v>
      </c>
      <c r="I711" s="28">
        <v>3</v>
      </c>
      <c r="J711" s="28" t="s">
        <v>119</v>
      </c>
      <c r="K711" s="28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106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t="s">
        <v>119</v>
      </c>
      <c r="W711" s="11" t="s">
        <v>134</v>
      </c>
      <c r="X711" s="11" t="s">
        <v>119</v>
      </c>
    </row>
    <row r="712" spans="1:24" x14ac:dyDescent="0.3">
      <c r="A712" s="4" t="s">
        <v>540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8" t="s">
        <v>119</v>
      </c>
      <c r="I712" s="28" t="s">
        <v>119</v>
      </c>
      <c r="J712" s="28" t="s">
        <v>119</v>
      </c>
      <c r="K712" s="28" t="s">
        <v>119</v>
      </c>
      <c r="L712" s="28" t="s">
        <v>119</v>
      </c>
      <c r="M712" s="28" t="s">
        <v>134</v>
      </c>
      <c r="N712" s="1" t="s">
        <v>119</v>
      </c>
      <c r="O712" s="28" t="s">
        <v>119</v>
      </c>
      <c r="P712" s="106" t="s">
        <v>119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t="s">
        <v>119</v>
      </c>
      <c r="W712" s="11" t="s">
        <v>134</v>
      </c>
      <c r="X712" s="11" t="s">
        <v>119</v>
      </c>
    </row>
    <row r="713" spans="1:24" x14ac:dyDescent="0.3">
      <c r="A713" s="4" t="s">
        <v>667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>
        <v>1</v>
      </c>
      <c r="H713" s="28">
        <v>1</v>
      </c>
      <c r="I713" s="28" t="s">
        <v>119</v>
      </c>
      <c r="J713" s="28" t="s">
        <v>119</v>
      </c>
      <c r="K713" s="28">
        <v>1</v>
      </c>
      <c r="L713" s="28" t="s">
        <v>119</v>
      </c>
      <c r="M713" s="28" t="s">
        <v>119</v>
      </c>
      <c r="N713" s="1">
        <v>1</v>
      </c>
      <c r="O713" s="28">
        <v>25</v>
      </c>
      <c r="P713" s="106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t="s">
        <v>119</v>
      </c>
      <c r="W713" s="11" t="s">
        <v>134</v>
      </c>
      <c r="X713" s="11" t="s">
        <v>134</v>
      </c>
    </row>
    <row r="714" spans="1:24" x14ac:dyDescent="0.3">
      <c r="A714" s="4" t="s">
        <v>541</v>
      </c>
      <c r="B714" s="2" t="s">
        <v>119</v>
      </c>
      <c r="C714" s="4" t="s">
        <v>119</v>
      </c>
      <c r="D714" s="4" t="s">
        <v>119</v>
      </c>
      <c r="E714" s="1" t="s">
        <v>119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8" t="s">
        <v>119</v>
      </c>
      <c r="L714" s="28" t="s">
        <v>119</v>
      </c>
      <c r="M714" s="28" t="s">
        <v>134</v>
      </c>
      <c r="N714" s="1" t="s">
        <v>119</v>
      </c>
      <c r="O714" s="28" t="s">
        <v>119</v>
      </c>
      <c r="P714" s="106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t="s">
        <v>119</v>
      </c>
      <c r="W714" s="11" t="s">
        <v>134</v>
      </c>
      <c r="X714" s="11" t="s">
        <v>134</v>
      </c>
    </row>
    <row r="715" spans="1:24" x14ac:dyDescent="0.3">
      <c r="A715" s="4" t="s">
        <v>696</v>
      </c>
      <c r="B715" s="2" t="s">
        <v>119</v>
      </c>
      <c r="C715" s="4" t="s">
        <v>119</v>
      </c>
      <c r="D715" s="4" t="s">
        <v>119</v>
      </c>
      <c r="E715" s="1" t="s">
        <v>119</v>
      </c>
      <c r="F715" s="37" t="s">
        <v>119</v>
      </c>
      <c r="G715" s="37">
        <v>1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 t="s">
        <v>119</v>
      </c>
      <c r="N715" s="1" t="s">
        <v>119</v>
      </c>
      <c r="O715" s="28" t="s">
        <v>119</v>
      </c>
      <c r="P715" s="106" t="s">
        <v>119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t="s">
        <v>119</v>
      </c>
      <c r="W715" s="11" t="s">
        <v>134</v>
      </c>
      <c r="X715" s="11" t="s">
        <v>119</v>
      </c>
    </row>
    <row r="716" spans="1:24" x14ac:dyDescent="0.3">
      <c r="A716" s="4" t="s">
        <v>542</v>
      </c>
      <c r="B716" s="2" t="s">
        <v>119</v>
      </c>
      <c r="C716" s="4" t="s">
        <v>119</v>
      </c>
      <c r="D716" s="4" t="s">
        <v>119</v>
      </c>
      <c r="E716" s="1" t="s">
        <v>119</v>
      </c>
      <c r="F716" s="37" t="s">
        <v>119</v>
      </c>
      <c r="G716" s="37" t="s">
        <v>119</v>
      </c>
      <c r="H716" s="28" t="s">
        <v>119</v>
      </c>
      <c r="I716" s="28" t="s">
        <v>119</v>
      </c>
      <c r="J716" s="28" t="s">
        <v>119</v>
      </c>
      <c r="K716" s="28" t="s">
        <v>119</v>
      </c>
      <c r="L716" s="28" t="s">
        <v>119</v>
      </c>
      <c r="M716" s="28" t="s">
        <v>134</v>
      </c>
      <c r="N716" s="1" t="s">
        <v>119</v>
      </c>
      <c r="O716" s="28" t="s">
        <v>119</v>
      </c>
      <c r="P716" s="106" t="s">
        <v>119</v>
      </c>
      <c r="Q716" s="106" t="s">
        <v>119</v>
      </c>
      <c r="R716" s="106" t="s">
        <v>119</v>
      </c>
      <c r="S716" s="106" t="s">
        <v>119</v>
      </c>
      <c r="T716" s="106" t="s">
        <v>119</v>
      </c>
      <c r="U716" s="106" t="s">
        <v>119</v>
      </c>
      <c r="V716" t="s">
        <v>119</v>
      </c>
      <c r="W716" s="11" t="s">
        <v>134</v>
      </c>
      <c r="X716" s="11" t="s">
        <v>119</v>
      </c>
    </row>
    <row r="717" spans="1:24" x14ac:dyDescent="0.3">
      <c r="A717" s="10" t="s">
        <v>235</v>
      </c>
      <c r="B717" s="6" t="s">
        <v>119</v>
      </c>
      <c r="C717" s="7" t="s">
        <v>119</v>
      </c>
      <c r="D717" s="7" t="s">
        <v>119</v>
      </c>
      <c r="E717" s="10" t="s">
        <v>119</v>
      </c>
      <c r="F717" s="37" t="s">
        <v>119</v>
      </c>
      <c r="G717" s="37" t="s">
        <v>119</v>
      </c>
      <c r="H717" s="30" t="s">
        <v>119</v>
      </c>
      <c r="I717" s="30" t="s">
        <v>119</v>
      </c>
      <c r="J717" s="29">
        <v>1</v>
      </c>
      <c r="K717" s="34" t="s">
        <v>119</v>
      </c>
      <c r="L717" s="28" t="s">
        <v>119</v>
      </c>
      <c r="N717" s="1" t="s">
        <v>119</v>
      </c>
      <c r="O717" s="28" t="s">
        <v>119</v>
      </c>
      <c r="P717" s="106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t="s">
        <v>119</v>
      </c>
      <c r="W717" s="11" t="s">
        <v>119</v>
      </c>
      <c r="X717" s="11" t="s">
        <v>119</v>
      </c>
    </row>
    <row r="718" spans="1:24" x14ac:dyDescent="0.3">
      <c r="A718" s="10" t="s">
        <v>148</v>
      </c>
      <c r="B718" s="6" t="s">
        <v>119</v>
      </c>
      <c r="C718" s="7" t="s">
        <v>119</v>
      </c>
      <c r="D718" s="7" t="s">
        <v>119</v>
      </c>
      <c r="E718" s="10" t="s">
        <v>119</v>
      </c>
      <c r="F718" s="37" t="s">
        <v>119</v>
      </c>
      <c r="G718" s="37" t="s">
        <v>119</v>
      </c>
      <c r="H718" s="30" t="s">
        <v>119</v>
      </c>
      <c r="I718" s="29" t="s">
        <v>119</v>
      </c>
      <c r="J718" s="29">
        <v>1</v>
      </c>
      <c r="K718" s="28" t="s">
        <v>119</v>
      </c>
      <c r="L718" s="28" t="s">
        <v>119</v>
      </c>
      <c r="N718" s="1" t="s">
        <v>119</v>
      </c>
      <c r="O718" s="28" t="s">
        <v>119</v>
      </c>
      <c r="P718" s="106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t="s">
        <v>119</v>
      </c>
      <c r="W718" s="11" t="s">
        <v>119</v>
      </c>
      <c r="X718" s="11" t="s">
        <v>119</v>
      </c>
    </row>
    <row r="719" spans="1:24" x14ac:dyDescent="0.3">
      <c r="A719" s="10" t="s">
        <v>151</v>
      </c>
      <c r="B719" s="6" t="s">
        <v>119</v>
      </c>
      <c r="C719" s="7" t="s">
        <v>119</v>
      </c>
      <c r="D719" s="7" t="s">
        <v>119</v>
      </c>
      <c r="E719" s="10" t="s">
        <v>119</v>
      </c>
      <c r="F719" s="37" t="s">
        <v>119</v>
      </c>
      <c r="G719" s="37" t="s">
        <v>119</v>
      </c>
      <c r="H719" s="30">
        <v>2</v>
      </c>
      <c r="I719" s="29" t="s">
        <v>119</v>
      </c>
      <c r="J719" s="29" t="s">
        <v>119</v>
      </c>
      <c r="K719" s="28" t="s">
        <v>119</v>
      </c>
      <c r="L719" s="28" t="s">
        <v>119</v>
      </c>
      <c r="N719" s="1" t="s">
        <v>119</v>
      </c>
      <c r="O719" s="28" t="s">
        <v>119</v>
      </c>
      <c r="P719" s="106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t="s">
        <v>119</v>
      </c>
      <c r="W719" s="11" t="s">
        <v>119</v>
      </c>
      <c r="X719" s="11" t="s">
        <v>119</v>
      </c>
    </row>
    <row r="720" spans="1:24" s="11" customFormat="1" x14ac:dyDescent="0.3">
      <c r="A720" s="14" t="s">
        <v>543</v>
      </c>
      <c r="B720" s="18" t="s">
        <v>119</v>
      </c>
      <c r="C720" s="12" t="s">
        <v>119</v>
      </c>
      <c r="D720" s="12" t="s">
        <v>119</v>
      </c>
      <c r="E720" s="14" t="s">
        <v>119</v>
      </c>
      <c r="F720" s="37" t="s">
        <v>119</v>
      </c>
      <c r="G720" s="37" t="s">
        <v>119</v>
      </c>
      <c r="H720" s="34" t="s">
        <v>119</v>
      </c>
      <c r="I720" s="31" t="s">
        <v>119</v>
      </c>
      <c r="J720" s="31" t="s">
        <v>119</v>
      </c>
      <c r="K720" s="31" t="s">
        <v>119</v>
      </c>
      <c r="L720" s="31" t="s">
        <v>119</v>
      </c>
      <c r="M720" s="31" t="s">
        <v>134</v>
      </c>
      <c r="N720" s="14" t="s">
        <v>119</v>
      </c>
      <c r="O720" s="28" t="s">
        <v>119</v>
      </c>
      <c r="P720" s="106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t="s">
        <v>119</v>
      </c>
      <c r="W720" s="11" t="s">
        <v>134</v>
      </c>
      <c r="X720" s="11" t="s">
        <v>134</v>
      </c>
    </row>
    <row r="721" spans="1:24" s="11" customFormat="1" x14ac:dyDescent="0.3">
      <c r="A721" s="14" t="s">
        <v>544</v>
      </c>
      <c r="B721" s="18" t="s">
        <v>119</v>
      </c>
      <c r="C721" s="12" t="s">
        <v>119</v>
      </c>
      <c r="D721" s="12" t="s">
        <v>119</v>
      </c>
      <c r="E721" s="14" t="s">
        <v>119</v>
      </c>
      <c r="F721" s="37" t="s">
        <v>119</v>
      </c>
      <c r="G721" s="37" t="s">
        <v>119</v>
      </c>
      <c r="H721" s="34" t="s">
        <v>119</v>
      </c>
      <c r="I721" s="31" t="s">
        <v>119</v>
      </c>
      <c r="J721" s="31" t="s">
        <v>119</v>
      </c>
      <c r="K721" s="31" t="s">
        <v>119</v>
      </c>
      <c r="L721" s="31" t="s">
        <v>119</v>
      </c>
      <c r="M721" s="31">
        <f>3+3+3+4+2+8+3</f>
        <v>26</v>
      </c>
      <c r="N721" s="14" t="s">
        <v>119</v>
      </c>
      <c r="O721" s="28" t="s">
        <v>119</v>
      </c>
      <c r="P721" s="106" t="s">
        <v>119</v>
      </c>
      <c r="Q721" s="106" t="s">
        <v>119</v>
      </c>
      <c r="R721" s="106" t="s">
        <v>119</v>
      </c>
      <c r="S721" s="106" t="s">
        <v>119</v>
      </c>
      <c r="T721" s="106">
        <v>5</v>
      </c>
      <c r="U721" s="106">
        <v>1</v>
      </c>
      <c r="V721" t="s">
        <v>119</v>
      </c>
      <c r="W721" s="11" t="str">
        <f t="shared" ref="W721:W770" si="11">IF(SUM(P721:U721)&gt;=1,"X","")</f>
        <v>X</v>
      </c>
      <c r="X721" s="11" t="s">
        <v>119</v>
      </c>
    </row>
    <row r="722" spans="1:24" s="11" customFormat="1" x14ac:dyDescent="0.3">
      <c r="A722" s="14" t="s">
        <v>1002</v>
      </c>
      <c r="B722" s="18" t="s">
        <v>119</v>
      </c>
      <c r="C722" s="12" t="s">
        <v>119</v>
      </c>
      <c r="D722" s="12" t="s">
        <v>119</v>
      </c>
      <c r="E722" s="14" t="s">
        <v>119</v>
      </c>
      <c r="F722" s="37" t="s">
        <v>119</v>
      </c>
      <c r="G722" s="37" t="s">
        <v>119</v>
      </c>
      <c r="H722" s="34" t="s">
        <v>119</v>
      </c>
      <c r="I722" s="31" t="s">
        <v>119</v>
      </c>
      <c r="J722" s="31" t="s">
        <v>119</v>
      </c>
      <c r="K722" s="31" t="s">
        <v>119</v>
      </c>
      <c r="L722" s="31" t="s">
        <v>119</v>
      </c>
      <c r="M722" s="31" t="s">
        <v>119</v>
      </c>
      <c r="N722" s="14" t="s">
        <v>119</v>
      </c>
      <c r="O722" s="28" t="s">
        <v>119</v>
      </c>
      <c r="P722" s="106" t="s">
        <v>119</v>
      </c>
      <c r="Q722" s="106" t="s">
        <v>119</v>
      </c>
      <c r="R722" s="106" t="s">
        <v>119</v>
      </c>
      <c r="S722" s="106" t="s">
        <v>119</v>
      </c>
      <c r="T722" s="106">
        <v>1</v>
      </c>
      <c r="U722" s="106" t="s">
        <v>119</v>
      </c>
      <c r="V722" t="s">
        <v>119</v>
      </c>
      <c r="W722" s="11" t="str">
        <f t="shared" si="11"/>
        <v>X</v>
      </c>
      <c r="X722" s="11" t="s">
        <v>134</v>
      </c>
    </row>
    <row r="723" spans="1:24" s="11" customFormat="1" x14ac:dyDescent="0.3">
      <c r="A723" s="14" t="s">
        <v>545</v>
      </c>
      <c r="B723" s="18" t="s">
        <v>119</v>
      </c>
      <c r="C723" s="12" t="s">
        <v>119</v>
      </c>
      <c r="D723" s="12" t="s">
        <v>119</v>
      </c>
      <c r="E723" s="14" t="s">
        <v>119</v>
      </c>
      <c r="F723" s="37" t="s">
        <v>119</v>
      </c>
      <c r="G723" s="37" t="s">
        <v>119</v>
      </c>
      <c r="H723" s="34" t="s">
        <v>119</v>
      </c>
      <c r="I723" s="31" t="s">
        <v>119</v>
      </c>
      <c r="J723" s="31" t="s">
        <v>119</v>
      </c>
      <c r="K723" s="31" t="s">
        <v>119</v>
      </c>
      <c r="L723" s="31" t="s">
        <v>119</v>
      </c>
      <c r="M723" s="31" t="s">
        <v>134</v>
      </c>
      <c r="N723" s="14" t="s">
        <v>119</v>
      </c>
      <c r="O723" s="28" t="s">
        <v>119</v>
      </c>
      <c r="P723" s="106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t="s">
        <v>119</v>
      </c>
      <c r="W723" s="11" t="s">
        <v>134</v>
      </c>
      <c r="X723" s="11" t="s">
        <v>134</v>
      </c>
    </row>
    <row r="724" spans="1:24" s="11" customFormat="1" x14ac:dyDescent="0.3">
      <c r="A724" s="14" t="s">
        <v>987</v>
      </c>
      <c r="B724" s="18" t="s">
        <v>119</v>
      </c>
      <c r="C724" s="12" t="s">
        <v>119</v>
      </c>
      <c r="D724" s="12" t="s">
        <v>119</v>
      </c>
      <c r="E724" s="14" t="s">
        <v>119</v>
      </c>
      <c r="F724" s="37">
        <v>1</v>
      </c>
      <c r="G724" s="37" t="s">
        <v>119</v>
      </c>
      <c r="H724" s="34" t="s">
        <v>119</v>
      </c>
      <c r="I724" s="31" t="s">
        <v>119</v>
      </c>
      <c r="J724" s="31" t="s">
        <v>119</v>
      </c>
      <c r="K724" s="31" t="s">
        <v>119</v>
      </c>
      <c r="L724" s="31" t="s">
        <v>119</v>
      </c>
      <c r="M724" s="31" t="s">
        <v>119</v>
      </c>
      <c r="N724" s="14" t="s">
        <v>119</v>
      </c>
      <c r="O724" s="28" t="s">
        <v>119</v>
      </c>
      <c r="P724" s="106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t="s">
        <v>119</v>
      </c>
      <c r="W724" s="11" t="s">
        <v>119</v>
      </c>
      <c r="X724" s="11" t="s">
        <v>134</v>
      </c>
    </row>
    <row r="725" spans="1:24" s="11" customFormat="1" x14ac:dyDescent="0.3">
      <c r="A725" s="14" t="s">
        <v>546</v>
      </c>
      <c r="B725" s="18" t="s">
        <v>119</v>
      </c>
      <c r="C725" s="12" t="s">
        <v>119</v>
      </c>
      <c r="D725" s="12" t="s">
        <v>119</v>
      </c>
      <c r="E725" s="14" t="s">
        <v>119</v>
      </c>
      <c r="F725" s="37" t="s">
        <v>119</v>
      </c>
      <c r="G725" s="37" t="s">
        <v>119</v>
      </c>
      <c r="H725" s="34" t="s">
        <v>119</v>
      </c>
      <c r="I725" s="31" t="s">
        <v>119</v>
      </c>
      <c r="J725" s="31" t="s">
        <v>119</v>
      </c>
      <c r="K725" s="31" t="s">
        <v>119</v>
      </c>
      <c r="L725" s="31" t="s">
        <v>119</v>
      </c>
      <c r="M725" s="31" t="s">
        <v>134</v>
      </c>
      <c r="N725" s="14" t="s">
        <v>119</v>
      </c>
      <c r="O725" s="28" t="s">
        <v>119</v>
      </c>
      <c r="P725" s="106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t="s">
        <v>119</v>
      </c>
      <c r="W725" s="11" t="s">
        <v>134</v>
      </c>
      <c r="X725" s="11" t="s">
        <v>119</v>
      </c>
    </row>
    <row r="726" spans="1:24" s="11" customFormat="1" x14ac:dyDescent="0.3">
      <c r="A726" s="14" t="s">
        <v>772</v>
      </c>
      <c r="B726" s="18" t="s">
        <v>119</v>
      </c>
      <c r="C726" s="12" t="s">
        <v>119</v>
      </c>
      <c r="D726" s="12" t="s">
        <v>119</v>
      </c>
      <c r="E726" s="14" t="s">
        <v>119</v>
      </c>
      <c r="F726" s="37" t="s">
        <v>119</v>
      </c>
      <c r="G726" s="37" t="s">
        <v>119</v>
      </c>
      <c r="H726" s="34" t="s">
        <v>119</v>
      </c>
      <c r="I726" s="31" t="s">
        <v>119</v>
      </c>
      <c r="J726" s="31" t="s">
        <v>119</v>
      </c>
      <c r="K726" s="31" t="s">
        <v>119</v>
      </c>
      <c r="L726" s="31" t="s">
        <v>119</v>
      </c>
      <c r="M726" s="31" t="s">
        <v>119</v>
      </c>
      <c r="N726" s="14" t="s">
        <v>119</v>
      </c>
      <c r="O726" s="28" t="s">
        <v>119</v>
      </c>
      <c r="P726" s="106" t="s">
        <v>119</v>
      </c>
      <c r="Q726" s="106" t="s">
        <v>119</v>
      </c>
      <c r="R726" s="106" t="s">
        <v>119</v>
      </c>
      <c r="S726" s="106">
        <v>1</v>
      </c>
      <c r="T726" s="106" t="s">
        <v>119</v>
      </c>
      <c r="U726" s="106" t="s">
        <v>119</v>
      </c>
      <c r="V726" t="s">
        <v>119</v>
      </c>
      <c r="W726" s="11" t="str">
        <f t="shared" si="11"/>
        <v>X</v>
      </c>
      <c r="X726" s="11" t="s">
        <v>119</v>
      </c>
    </row>
    <row r="727" spans="1:24" s="11" customFormat="1" x14ac:dyDescent="0.3">
      <c r="A727" s="14" t="s">
        <v>547</v>
      </c>
      <c r="B727" s="18" t="s">
        <v>119</v>
      </c>
      <c r="C727" s="12" t="s">
        <v>119</v>
      </c>
      <c r="D727" s="12" t="s">
        <v>119</v>
      </c>
      <c r="E727" s="14" t="s">
        <v>119</v>
      </c>
      <c r="F727" s="37" t="s">
        <v>119</v>
      </c>
      <c r="G727" s="37" t="s">
        <v>119</v>
      </c>
      <c r="H727" s="34" t="s">
        <v>119</v>
      </c>
      <c r="I727" s="31" t="s">
        <v>119</v>
      </c>
      <c r="J727" s="31" t="s">
        <v>119</v>
      </c>
      <c r="K727" s="31" t="s">
        <v>119</v>
      </c>
      <c r="L727" s="31" t="s">
        <v>119</v>
      </c>
      <c r="M727" s="31" t="s">
        <v>134</v>
      </c>
      <c r="N727" s="14" t="s">
        <v>119</v>
      </c>
      <c r="O727" s="28" t="s">
        <v>119</v>
      </c>
      <c r="P727" s="106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t="s">
        <v>119</v>
      </c>
      <c r="W727" s="11" t="s">
        <v>134</v>
      </c>
      <c r="X727" s="11" t="s">
        <v>134</v>
      </c>
    </row>
    <row r="728" spans="1:24" s="11" customFormat="1" x14ac:dyDescent="0.3">
      <c r="A728" s="14" t="s">
        <v>548</v>
      </c>
      <c r="B728" s="18" t="s">
        <v>119</v>
      </c>
      <c r="C728" s="12" t="s">
        <v>119</v>
      </c>
      <c r="D728" s="12" t="s">
        <v>119</v>
      </c>
      <c r="E728" s="14" t="s">
        <v>119</v>
      </c>
      <c r="F728" s="37" t="s">
        <v>119</v>
      </c>
      <c r="G728" s="37" t="s">
        <v>119</v>
      </c>
      <c r="H728" s="34" t="s">
        <v>119</v>
      </c>
      <c r="I728" s="31" t="s">
        <v>119</v>
      </c>
      <c r="J728" s="31" t="s">
        <v>119</v>
      </c>
      <c r="K728" s="31" t="s">
        <v>119</v>
      </c>
      <c r="L728" s="31" t="s">
        <v>119</v>
      </c>
      <c r="M728" s="31" t="s">
        <v>134</v>
      </c>
      <c r="N728" s="14" t="s">
        <v>119</v>
      </c>
      <c r="O728" s="28" t="s">
        <v>119</v>
      </c>
      <c r="P728" s="106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t="s">
        <v>119</v>
      </c>
      <c r="W728" s="11" t="s">
        <v>134</v>
      </c>
      <c r="X728" s="11" t="s">
        <v>134</v>
      </c>
    </row>
    <row r="729" spans="1:24" x14ac:dyDescent="0.3">
      <c r="A729" s="1" t="s">
        <v>147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>
        <v>2</v>
      </c>
      <c r="I729" s="28">
        <v>6</v>
      </c>
      <c r="J729" s="28" t="s">
        <v>119</v>
      </c>
      <c r="K729" s="28">
        <v>1</v>
      </c>
      <c r="L729" s="28">
        <v>2</v>
      </c>
      <c r="M729" s="28">
        <v>1</v>
      </c>
      <c r="N729" s="1" t="s">
        <v>119</v>
      </c>
      <c r="O729" s="28" t="s">
        <v>119</v>
      </c>
      <c r="P729" s="106" t="s">
        <v>119</v>
      </c>
      <c r="Q729" s="106" t="s">
        <v>119</v>
      </c>
      <c r="R729" s="106">
        <v>1</v>
      </c>
      <c r="S729" s="106">
        <v>2</v>
      </c>
      <c r="T729" s="106" t="s">
        <v>119</v>
      </c>
      <c r="U729" s="106">
        <v>9</v>
      </c>
      <c r="V729" t="s">
        <v>119</v>
      </c>
      <c r="W729" s="11" t="str">
        <f t="shared" si="11"/>
        <v>X</v>
      </c>
      <c r="X729" s="11" t="s">
        <v>119</v>
      </c>
    </row>
    <row r="730" spans="1:24" x14ac:dyDescent="0.3">
      <c r="A730" s="1" t="s">
        <v>30</v>
      </c>
      <c r="B730" s="2">
        <v>12</v>
      </c>
      <c r="C730" s="4">
        <v>34</v>
      </c>
      <c r="D730" s="4">
        <v>0</v>
      </c>
      <c r="E730" s="1">
        <v>1</v>
      </c>
      <c r="F730" s="37" t="s">
        <v>119</v>
      </c>
      <c r="G730" s="37" t="s">
        <v>119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106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t="s">
        <v>119</v>
      </c>
      <c r="W730" s="11" t="s">
        <v>134</v>
      </c>
      <c r="X730" s="11" t="s">
        <v>134</v>
      </c>
    </row>
    <row r="731" spans="1:24" x14ac:dyDescent="0.3">
      <c r="A731" s="12" t="s">
        <v>1106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>
        <v>1</v>
      </c>
      <c r="L731" s="28" t="s">
        <v>119</v>
      </c>
      <c r="M731" s="28" t="s">
        <v>119</v>
      </c>
      <c r="N731" s="1" t="s">
        <v>119</v>
      </c>
      <c r="O731" s="28" t="s">
        <v>119</v>
      </c>
      <c r="P731" s="106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t="s">
        <v>119</v>
      </c>
      <c r="W731" s="11" t="s">
        <v>119</v>
      </c>
      <c r="X731" s="11" t="s">
        <v>119</v>
      </c>
    </row>
    <row r="732" spans="1:24" x14ac:dyDescent="0.3">
      <c r="A732" s="12" t="s">
        <v>549</v>
      </c>
      <c r="B732" s="2" t="s">
        <v>119</v>
      </c>
      <c r="C732" s="4" t="s">
        <v>119</v>
      </c>
      <c r="D732" s="4" t="s">
        <v>119</v>
      </c>
      <c r="E732" s="1" t="s">
        <v>119</v>
      </c>
      <c r="F732" s="37" t="s">
        <v>119</v>
      </c>
      <c r="G732" s="37" t="s">
        <v>119</v>
      </c>
      <c r="H732" s="28" t="s">
        <v>119</v>
      </c>
      <c r="I732" s="28" t="s">
        <v>119</v>
      </c>
      <c r="J732" s="28" t="s">
        <v>119</v>
      </c>
      <c r="K732" s="28" t="s">
        <v>119</v>
      </c>
      <c r="L732" s="28" t="s">
        <v>119</v>
      </c>
      <c r="M732" s="28" t="s">
        <v>134</v>
      </c>
      <c r="N732" s="1" t="s">
        <v>119</v>
      </c>
      <c r="O732" s="28" t="s">
        <v>119</v>
      </c>
      <c r="P732" s="106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t="s">
        <v>119</v>
      </c>
      <c r="W732" s="11" t="s">
        <v>134</v>
      </c>
      <c r="X732" s="11" t="s">
        <v>134</v>
      </c>
    </row>
    <row r="733" spans="1:24" x14ac:dyDescent="0.3">
      <c r="A733" s="1" t="s">
        <v>294</v>
      </c>
      <c r="B733" s="2" t="s">
        <v>119</v>
      </c>
      <c r="C733" s="4" t="s">
        <v>119</v>
      </c>
      <c r="D733" s="4" t="s">
        <v>119</v>
      </c>
      <c r="E733" s="1" t="s">
        <v>119</v>
      </c>
      <c r="F733" s="37" t="s">
        <v>119</v>
      </c>
      <c r="G733" s="37" t="s">
        <v>119</v>
      </c>
      <c r="H733" s="28">
        <v>1</v>
      </c>
      <c r="I733" s="28">
        <v>5</v>
      </c>
      <c r="J733" s="28">
        <v>5</v>
      </c>
      <c r="K733" s="28">
        <v>1</v>
      </c>
      <c r="L733" s="28">
        <v>4</v>
      </c>
      <c r="M733" s="28" t="s">
        <v>134</v>
      </c>
      <c r="N733" s="1" t="s">
        <v>119</v>
      </c>
      <c r="O733" s="28" t="s">
        <v>119</v>
      </c>
      <c r="P733" s="106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t="s">
        <v>119</v>
      </c>
      <c r="W733" s="11" t="s">
        <v>134</v>
      </c>
      <c r="X733" s="11" t="s">
        <v>134</v>
      </c>
    </row>
    <row r="734" spans="1:24" x14ac:dyDescent="0.3">
      <c r="A734" s="4" t="s">
        <v>550</v>
      </c>
      <c r="B734" s="2" t="s">
        <v>119</v>
      </c>
      <c r="C734" s="4" t="s">
        <v>119</v>
      </c>
      <c r="D734" s="4" t="s">
        <v>119</v>
      </c>
      <c r="E734" s="1" t="s">
        <v>119</v>
      </c>
      <c r="F734" s="37" t="s">
        <v>119</v>
      </c>
      <c r="G734" s="37" t="s">
        <v>119</v>
      </c>
      <c r="H734" s="28" t="s">
        <v>119</v>
      </c>
      <c r="I734" s="28" t="s">
        <v>119</v>
      </c>
      <c r="J734" s="28" t="s">
        <v>119</v>
      </c>
      <c r="K734" s="28" t="s">
        <v>119</v>
      </c>
      <c r="L734" s="28" t="s">
        <v>119</v>
      </c>
      <c r="M734" s="28" t="s">
        <v>134</v>
      </c>
      <c r="N734" s="1" t="s">
        <v>119</v>
      </c>
      <c r="O734" s="28" t="s">
        <v>119</v>
      </c>
      <c r="P734" s="106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t="s">
        <v>119</v>
      </c>
      <c r="W734" s="11" t="s">
        <v>134</v>
      </c>
      <c r="X734" s="11" t="s">
        <v>134</v>
      </c>
    </row>
    <row r="735" spans="1:24" x14ac:dyDescent="0.3">
      <c r="A735" s="4" t="s">
        <v>1107</v>
      </c>
      <c r="B735" s="2" t="s">
        <v>119</v>
      </c>
      <c r="C735" s="4" t="s">
        <v>119</v>
      </c>
      <c r="D735" s="4" t="s">
        <v>119</v>
      </c>
      <c r="E735" s="1" t="s">
        <v>119</v>
      </c>
      <c r="F735" s="37" t="s">
        <v>119</v>
      </c>
      <c r="G735" s="37" t="s">
        <v>119</v>
      </c>
      <c r="H735" s="28" t="s">
        <v>119</v>
      </c>
      <c r="I735" s="28" t="s">
        <v>119</v>
      </c>
      <c r="J735" s="28" t="s">
        <v>119</v>
      </c>
      <c r="K735" s="28">
        <v>2</v>
      </c>
      <c r="L735" s="28" t="s">
        <v>119</v>
      </c>
      <c r="M735" s="28" t="s">
        <v>119</v>
      </c>
      <c r="N735" s="1" t="s">
        <v>119</v>
      </c>
      <c r="O735" s="28" t="s">
        <v>119</v>
      </c>
      <c r="P735" s="106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t="s">
        <v>119</v>
      </c>
      <c r="W735" s="11" t="s">
        <v>119</v>
      </c>
      <c r="X735" s="11" t="s">
        <v>134</v>
      </c>
    </row>
    <row r="736" spans="1:24" x14ac:dyDescent="0.3">
      <c r="A736" s="4" t="s">
        <v>551</v>
      </c>
      <c r="B736" s="2" t="s">
        <v>119</v>
      </c>
      <c r="C736" s="4" t="s">
        <v>119</v>
      </c>
      <c r="D736" s="4" t="s">
        <v>119</v>
      </c>
      <c r="E736" s="1" t="s">
        <v>119</v>
      </c>
      <c r="F736" s="37" t="s">
        <v>119</v>
      </c>
      <c r="G736" s="37" t="s">
        <v>119</v>
      </c>
      <c r="H736" s="28" t="s">
        <v>119</v>
      </c>
      <c r="I736" s="28" t="s">
        <v>119</v>
      </c>
      <c r="J736" s="28" t="s">
        <v>119</v>
      </c>
      <c r="K736" s="28" t="s">
        <v>119</v>
      </c>
      <c r="L736" s="28" t="s">
        <v>119</v>
      </c>
      <c r="M736" s="28">
        <f>1+83+114+1+2</f>
        <v>201</v>
      </c>
      <c r="N736" s="1" t="s">
        <v>119</v>
      </c>
      <c r="O736" s="28" t="s">
        <v>119</v>
      </c>
      <c r="P736" s="106" t="s">
        <v>119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t="s">
        <v>119</v>
      </c>
      <c r="W736" s="11" t="s">
        <v>134</v>
      </c>
      <c r="X736" s="11" t="s">
        <v>134</v>
      </c>
    </row>
    <row r="737" spans="1:24" x14ac:dyDescent="0.3">
      <c r="A737" s="4" t="s">
        <v>552</v>
      </c>
      <c r="B737" s="2" t="s">
        <v>119</v>
      </c>
      <c r="C737" s="4" t="s">
        <v>119</v>
      </c>
      <c r="D737" s="4" t="s">
        <v>119</v>
      </c>
      <c r="E737" s="1" t="s">
        <v>119</v>
      </c>
      <c r="F737" s="37" t="s">
        <v>119</v>
      </c>
      <c r="G737" s="37" t="s">
        <v>119</v>
      </c>
      <c r="H737" s="28" t="s">
        <v>119</v>
      </c>
      <c r="I737" s="28" t="s">
        <v>119</v>
      </c>
      <c r="J737" s="28" t="s">
        <v>119</v>
      </c>
      <c r="K737" s="28" t="s">
        <v>119</v>
      </c>
      <c r="L737" s="28" t="s">
        <v>119</v>
      </c>
      <c r="M737" s="28" t="s">
        <v>134</v>
      </c>
      <c r="N737" s="1" t="s">
        <v>119</v>
      </c>
      <c r="O737" s="28" t="s">
        <v>119</v>
      </c>
      <c r="P737" s="106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 t="s">
        <v>119</v>
      </c>
      <c r="V737" t="s">
        <v>119</v>
      </c>
      <c r="W737" s="11" t="s">
        <v>1274</v>
      </c>
      <c r="X737" s="11" t="s">
        <v>1274</v>
      </c>
    </row>
    <row r="738" spans="1:24" x14ac:dyDescent="0.3">
      <c r="A738" s="4" t="s">
        <v>553</v>
      </c>
      <c r="B738" s="2" t="s">
        <v>119</v>
      </c>
      <c r="C738" s="4" t="s">
        <v>119</v>
      </c>
      <c r="D738" s="4" t="s">
        <v>119</v>
      </c>
      <c r="E738" s="1" t="s">
        <v>119</v>
      </c>
      <c r="F738" s="37" t="s">
        <v>119</v>
      </c>
      <c r="G738" s="37" t="s">
        <v>119</v>
      </c>
      <c r="H738" s="28" t="s">
        <v>119</v>
      </c>
      <c r="I738" s="28" t="s">
        <v>119</v>
      </c>
      <c r="J738" s="28" t="s">
        <v>119</v>
      </c>
      <c r="K738" s="28" t="s">
        <v>119</v>
      </c>
      <c r="L738" s="28" t="s">
        <v>119</v>
      </c>
      <c r="M738" s="28" t="s">
        <v>134</v>
      </c>
      <c r="N738" s="1" t="s">
        <v>119</v>
      </c>
      <c r="O738" s="28" t="s">
        <v>119</v>
      </c>
      <c r="P738" s="106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 t="s">
        <v>119</v>
      </c>
      <c r="V738" t="s">
        <v>119</v>
      </c>
      <c r="W738" s="11" t="s">
        <v>134</v>
      </c>
      <c r="X738" s="11" t="s">
        <v>134</v>
      </c>
    </row>
    <row r="739" spans="1:24" x14ac:dyDescent="0.3">
      <c r="A739" s="4" t="s">
        <v>1287</v>
      </c>
      <c r="B739" s="2" t="s">
        <v>119</v>
      </c>
      <c r="C739" s="4" t="s">
        <v>119</v>
      </c>
      <c r="D739" s="4" t="s">
        <v>119</v>
      </c>
      <c r="E739" s="1" t="s">
        <v>119</v>
      </c>
      <c r="F739" s="37">
        <f>15+1+1+10+6</f>
        <v>33</v>
      </c>
      <c r="G739" s="37" t="s">
        <v>119</v>
      </c>
      <c r="H739" s="28" t="s">
        <v>119</v>
      </c>
      <c r="I739" s="28" t="s">
        <v>119</v>
      </c>
      <c r="J739" s="28" t="s">
        <v>119</v>
      </c>
      <c r="K739" s="28" t="s">
        <v>119</v>
      </c>
      <c r="L739" s="28" t="s">
        <v>119</v>
      </c>
      <c r="M739" s="28" t="s">
        <v>119</v>
      </c>
      <c r="N739" s="1" t="s">
        <v>119</v>
      </c>
      <c r="O739" s="28" t="s">
        <v>119</v>
      </c>
      <c r="P739" s="106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t="s">
        <v>119</v>
      </c>
      <c r="W739" s="11" t="s">
        <v>119</v>
      </c>
      <c r="X739" s="11" t="s">
        <v>119</v>
      </c>
    </row>
    <row r="740" spans="1:24" s="86" customFormat="1" x14ac:dyDescent="0.3">
      <c r="A740" s="1" t="s">
        <v>149</v>
      </c>
      <c r="B740" s="17" t="s">
        <v>119</v>
      </c>
      <c r="C740" s="4" t="s">
        <v>119</v>
      </c>
      <c r="D740" s="4" t="s">
        <v>119</v>
      </c>
      <c r="E740" s="1" t="s">
        <v>119</v>
      </c>
      <c r="F740" s="37">
        <v>1</v>
      </c>
      <c r="G740" s="37">
        <v>10</v>
      </c>
      <c r="H740" s="28">
        <v>9</v>
      </c>
      <c r="I740" s="28" t="s">
        <v>119</v>
      </c>
      <c r="J740" s="28" t="s">
        <v>119</v>
      </c>
      <c r="K740" s="28">
        <v>10</v>
      </c>
      <c r="L740" s="27" t="s">
        <v>119</v>
      </c>
      <c r="M740" s="27" t="s">
        <v>134</v>
      </c>
      <c r="N740" s="4">
        <v>1</v>
      </c>
      <c r="O740" s="28">
        <v>3</v>
      </c>
      <c r="P740" s="106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t="s">
        <v>119</v>
      </c>
      <c r="W740" s="11" t="s">
        <v>1274</v>
      </c>
      <c r="X740" s="88" t="s">
        <v>1274</v>
      </c>
    </row>
    <row r="741" spans="1:24" s="86" customFormat="1" x14ac:dyDescent="0.3">
      <c r="A741" s="4" t="s">
        <v>554</v>
      </c>
      <c r="B741" s="17" t="s">
        <v>119</v>
      </c>
      <c r="C741" s="4" t="s">
        <v>119</v>
      </c>
      <c r="D741" s="4" t="s">
        <v>119</v>
      </c>
      <c r="E741" s="1" t="s">
        <v>119</v>
      </c>
      <c r="F741" s="37" t="s">
        <v>119</v>
      </c>
      <c r="G741" s="37" t="s">
        <v>119</v>
      </c>
      <c r="H741" s="28" t="s">
        <v>119</v>
      </c>
      <c r="I741" s="28" t="s">
        <v>119</v>
      </c>
      <c r="J741" s="28" t="s">
        <v>119</v>
      </c>
      <c r="K741" s="28" t="s">
        <v>119</v>
      </c>
      <c r="L741" s="27" t="s">
        <v>119</v>
      </c>
      <c r="M741" s="27" t="s">
        <v>134</v>
      </c>
      <c r="N741" s="4" t="s">
        <v>119</v>
      </c>
      <c r="O741" s="28" t="s">
        <v>119</v>
      </c>
      <c r="P741" s="106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t="s">
        <v>119</v>
      </c>
      <c r="W741" s="11" t="s">
        <v>134</v>
      </c>
      <c r="X741" s="88" t="s">
        <v>134</v>
      </c>
    </row>
    <row r="742" spans="1:24" s="64" customFormat="1" x14ac:dyDescent="0.3">
      <c r="A742" s="1" t="s">
        <v>176</v>
      </c>
      <c r="B742" s="2" t="s">
        <v>119</v>
      </c>
      <c r="C742" s="4" t="s">
        <v>119</v>
      </c>
      <c r="D742" s="4" t="s">
        <v>119</v>
      </c>
      <c r="E742" s="1" t="s">
        <v>119</v>
      </c>
      <c r="F742" s="37" t="s">
        <v>119</v>
      </c>
      <c r="G742" s="37" t="s">
        <v>119</v>
      </c>
      <c r="H742" s="28" t="s">
        <v>119</v>
      </c>
      <c r="I742" s="28">
        <v>2</v>
      </c>
      <c r="J742" s="28" t="s">
        <v>119</v>
      </c>
      <c r="K742" s="28" t="s">
        <v>119</v>
      </c>
      <c r="L742" s="27" t="s">
        <v>119</v>
      </c>
      <c r="M742" s="27">
        <v>2</v>
      </c>
      <c r="N742" s="4" t="s">
        <v>119</v>
      </c>
      <c r="O742" s="28" t="s">
        <v>119</v>
      </c>
      <c r="P742" s="106" t="s">
        <v>119</v>
      </c>
      <c r="Q742" s="106" t="s">
        <v>119</v>
      </c>
      <c r="R742" s="106" t="s">
        <v>119</v>
      </c>
      <c r="S742" s="106" t="s">
        <v>119</v>
      </c>
      <c r="T742" s="106" t="s">
        <v>119</v>
      </c>
      <c r="U742" s="106" t="s">
        <v>119</v>
      </c>
      <c r="V742" t="s">
        <v>119</v>
      </c>
      <c r="W742" s="11" t="s">
        <v>134</v>
      </c>
      <c r="X742" s="88" t="s">
        <v>134</v>
      </c>
    </row>
    <row r="743" spans="1:24" s="64" customFormat="1" x14ac:dyDescent="0.3">
      <c r="A743" s="1" t="s">
        <v>236</v>
      </c>
      <c r="B743" s="2" t="s">
        <v>119</v>
      </c>
      <c r="C743" s="4" t="s">
        <v>119</v>
      </c>
      <c r="D743" s="4" t="s">
        <v>119</v>
      </c>
      <c r="E743" s="1" t="s">
        <v>134</v>
      </c>
      <c r="F743" s="37">
        <f>37+3+2+2</f>
        <v>44</v>
      </c>
      <c r="G743" s="37">
        <v>1</v>
      </c>
      <c r="H743" s="28" t="s">
        <v>119</v>
      </c>
      <c r="I743" s="28" t="s">
        <v>119</v>
      </c>
      <c r="J743" s="28">
        <v>15</v>
      </c>
      <c r="K743" s="28" t="s">
        <v>119</v>
      </c>
      <c r="L743" s="27" t="s">
        <v>119</v>
      </c>
      <c r="M743" s="27">
        <f>1+3+1+1</f>
        <v>6</v>
      </c>
      <c r="N743" s="4" t="s">
        <v>119</v>
      </c>
      <c r="O743" s="28" t="s">
        <v>119</v>
      </c>
      <c r="P743" s="106">
        <v>5</v>
      </c>
      <c r="Q743" s="106" t="s">
        <v>119</v>
      </c>
      <c r="R743" s="106">
        <v>2</v>
      </c>
      <c r="S743" s="106">
        <v>5</v>
      </c>
      <c r="T743" s="106">
        <v>4</v>
      </c>
      <c r="U743" s="106" t="s">
        <v>119</v>
      </c>
      <c r="V743" t="s">
        <v>119</v>
      </c>
      <c r="W743" s="11" t="str">
        <f t="shared" si="11"/>
        <v>X</v>
      </c>
      <c r="X743" s="88" t="s">
        <v>1274</v>
      </c>
    </row>
    <row r="744" spans="1:24" s="64" customFormat="1" x14ac:dyDescent="0.3">
      <c r="A744" s="4" t="s">
        <v>555</v>
      </c>
      <c r="B744" s="2" t="s">
        <v>119</v>
      </c>
      <c r="C744" s="4" t="s">
        <v>119</v>
      </c>
      <c r="D744" s="4" t="s">
        <v>119</v>
      </c>
      <c r="E744" s="1" t="s">
        <v>119</v>
      </c>
      <c r="F744" s="37" t="s">
        <v>119</v>
      </c>
      <c r="G744" s="37" t="s">
        <v>119</v>
      </c>
      <c r="H744" s="28" t="s">
        <v>119</v>
      </c>
      <c r="I744" s="28" t="s">
        <v>119</v>
      </c>
      <c r="J744" s="28" t="s">
        <v>119</v>
      </c>
      <c r="K744" s="28" t="s">
        <v>119</v>
      </c>
      <c r="L744" s="27" t="s">
        <v>119</v>
      </c>
      <c r="M744" s="27" t="s">
        <v>134</v>
      </c>
      <c r="N744" s="4" t="s">
        <v>119</v>
      </c>
      <c r="O744" s="28" t="s">
        <v>119</v>
      </c>
      <c r="P744" s="106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t="s">
        <v>119</v>
      </c>
      <c r="W744" s="11" t="s">
        <v>134</v>
      </c>
      <c r="X744" s="88" t="s">
        <v>119</v>
      </c>
    </row>
    <row r="745" spans="1:24" s="64" customFormat="1" x14ac:dyDescent="0.3">
      <c r="A745" s="4" t="s">
        <v>556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 t="s">
        <v>119</v>
      </c>
      <c r="I745" s="28" t="s">
        <v>119</v>
      </c>
      <c r="J745" s="28" t="s">
        <v>119</v>
      </c>
      <c r="K745" s="28" t="s">
        <v>119</v>
      </c>
      <c r="L745" s="27" t="s">
        <v>119</v>
      </c>
      <c r="M745" s="27" t="s">
        <v>134</v>
      </c>
      <c r="N745" s="4" t="s">
        <v>119</v>
      </c>
      <c r="O745" s="28" t="s">
        <v>119</v>
      </c>
      <c r="P745" s="106" t="s">
        <v>119</v>
      </c>
      <c r="Q745" s="106" t="s">
        <v>119</v>
      </c>
      <c r="R745" s="106" t="s">
        <v>119</v>
      </c>
      <c r="S745" s="106" t="s">
        <v>119</v>
      </c>
      <c r="T745" s="106" t="s">
        <v>119</v>
      </c>
      <c r="U745" s="106" t="s">
        <v>119</v>
      </c>
      <c r="V745" t="s">
        <v>119</v>
      </c>
      <c r="W745" s="11" t="s">
        <v>134</v>
      </c>
      <c r="X745" s="88" t="s">
        <v>134</v>
      </c>
    </row>
    <row r="746" spans="1:24" s="64" customFormat="1" x14ac:dyDescent="0.3">
      <c r="A746" s="4" t="s">
        <v>557</v>
      </c>
      <c r="B746" s="2" t="s">
        <v>119</v>
      </c>
      <c r="C746" s="4" t="s">
        <v>119</v>
      </c>
      <c r="D746" s="4" t="s">
        <v>119</v>
      </c>
      <c r="E746" s="1" t="s">
        <v>119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7" t="s">
        <v>119</v>
      </c>
      <c r="M746" s="27" t="s">
        <v>134</v>
      </c>
      <c r="N746" s="4" t="s">
        <v>119</v>
      </c>
      <c r="O746" s="28" t="s">
        <v>119</v>
      </c>
      <c r="P746" s="106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t="s">
        <v>119</v>
      </c>
      <c r="W746" s="11" t="s">
        <v>134</v>
      </c>
      <c r="X746" s="88" t="s">
        <v>134</v>
      </c>
    </row>
    <row r="747" spans="1:24" s="64" customFormat="1" x14ac:dyDescent="0.3">
      <c r="A747" s="1" t="s">
        <v>31</v>
      </c>
      <c r="B747" s="2">
        <v>0</v>
      </c>
      <c r="C747" s="4">
        <v>0</v>
      </c>
      <c r="D747" s="4">
        <v>0</v>
      </c>
      <c r="E747" s="1">
        <v>3</v>
      </c>
      <c r="F747" s="37" t="s">
        <v>119</v>
      </c>
      <c r="G747" s="37" t="s">
        <v>119</v>
      </c>
      <c r="H747" s="27">
        <v>1</v>
      </c>
      <c r="I747" s="28" t="s">
        <v>119</v>
      </c>
      <c r="J747" s="28">
        <v>6</v>
      </c>
      <c r="K747" s="28" t="s">
        <v>119</v>
      </c>
      <c r="L747" s="34" t="s">
        <v>119</v>
      </c>
      <c r="M747" s="34">
        <v>2</v>
      </c>
      <c r="N747" s="104" t="s">
        <v>119</v>
      </c>
      <c r="O747" s="28" t="s">
        <v>134</v>
      </c>
      <c r="P747" s="106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t="s">
        <v>119</v>
      </c>
      <c r="W747" s="11" t="s">
        <v>134</v>
      </c>
      <c r="X747" s="88" t="s">
        <v>134</v>
      </c>
    </row>
    <row r="748" spans="1:24" s="64" customFormat="1" x14ac:dyDescent="0.3">
      <c r="A748" s="4" t="s">
        <v>558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7" t="s">
        <v>119</v>
      </c>
      <c r="I748" s="28" t="s">
        <v>119</v>
      </c>
      <c r="J748" s="28" t="s">
        <v>119</v>
      </c>
      <c r="K748" s="28" t="s">
        <v>119</v>
      </c>
      <c r="L748" s="34" t="s">
        <v>119</v>
      </c>
      <c r="M748" s="34" t="s">
        <v>134</v>
      </c>
      <c r="N748" s="104" t="s">
        <v>119</v>
      </c>
      <c r="O748" s="28" t="s">
        <v>119</v>
      </c>
      <c r="P748" s="106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t="s">
        <v>119</v>
      </c>
      <c r="W748" s="11" t="s">
        <v>134</v>
      </c>
      <c r="X748" s="88" t="s">
        <v>119</v>
      </c>
    </row>
    <row r="749" spans="1:24" s="64" customFormat="1" x14ac:dyDescent="0.3">
      <c r="A749" s="4" t="s">
        <v>559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7" t="s">
        <v>119</v>
      </c>
      <c r="I749" s="28">
        <v>3</v>
      </c>
      <c r="J749" s="28" t="s">
        <v>119</v>
      </c>
      <c r="K749" s="28" t="s">
        <v>119</v>
      </c>
      <c r="L749" s="34" t="s">
        <v>119</v>
      </c>
      <c r="M749" s="34" t="s">
        <v>134</v>
      </c>
      <c r="N749" s="104" t="s">
        <v>119</v>
      </c>
      <c r="O749" s="28" t="s">
        <v>119</v>
      </c>
      <c r="P749" s="106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t="s">
        <v>119</v>
      </c>
      <c r="W749" s="11" t="s">
        <v>134</v>
      </c>
      <c r="X749" s="88" t="s">
        <v>134</v>
      </c>
    </row>
    <row r="750" spans="1:24" x14ac:dyDescent="0.3">
      <c r="A750" s="1" t="s">
        <v>29</v>
      </c>
      <c r="B750" s="2">
        <v>0</v>
      </c>
      <c r="C750" s="4">
        <v>0</v>
      </c>
      <c r="D750" s="4">
        <v>0</v>
      </c>
      <c r="E750" s="1">
        <v>1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119</v>
      </c>
      <c r="N750" s="1" t="s">
        <v>119</v>
      </c>
      <c r="O750" s="28" t="s">
        <v>119</v>
      </c>
      <c r="P750" s="106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t="s">
        <v>119</v>
      </c>
      <c r="W750" s="11" t="s">
        <v>134</v>
      </c>
      <c r="X750" s="11" t="s">
        <v>134</v>
      </c>
    </row>
    <row r="751" spans="1:24" x14ac:dyDescent="0.3">
      <c r="A751" s="4" t="s">
        <v>560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 t="s">
        <v>119</v>
      </c>
      <c r="L751" s="28" t="s">
        <v>119</v>
      </c>
      <c r="M751" s="28">
        <v>8</v>
      </c>
      <c r="N751" s="1" t="s">
        <v>119</v>
      </c>
      <c r="O751" s="28" t="s">
        <v>119</v>
      </c>
      <c r="P751" s="106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t="s">
        <v>119</v>
      </c>
      <c r="W751" s="11" t="s">
        <v>134</v>
      </c>
      <c r="X751" s="11" t="s">
        <v>134</v>
      </c>
    </row>
    <row r="752" spans="1:24" s="5" customFormat="1" x14ac:dyDescent="0.3">
      <c r="A752" s="7" t="s">
        <v>1312</v>
      </c>
      <c r="B752" s="6" t="s">
        <v>119</v>
      </c>
      <c r="C752" s="7" t="s">
        <v>119</v>
      </c>
      <c r="D752" s="7" t="s">
        <v>119</v>
      </c>
      <c r="E752" s="10" t="s">
        <v>119</v>
      </c>
      <c r="F752" s="29">
        <v>1</v>
      </c>
      <c r="G752" s="29" t="s">
        <v>119</v>
      </c>
      <c r="H752" s="29" t="s">
        <v>119</v>
      </c>
      <c r="I752" s="29" t="s">
        <v>119</v>
      </c>
      <c r="J752" s="29" t="s">
        <v>119</v>
      </c>
      <c r="K752" s="29" t="s">
        <v>119</v>
      </c>
      <c r="L752" s="29" t="s">
        <v>119</v>
      </c>
      <c r="M752" s="29" t="s">
        <v>119</v>
      </c>
      <c r="N752" s="10" t="s">
        <v>119</v>
      </c>
      <c r="O752" s="29" t="s">
        <v>119</v>
      </c>
      <c r="P752" s="107" t="s">
        <v>119</v>
      </c>
      <c r="Q752" s="107" t="s">
        <v>119</v>
      </c>
      <c r="R752" s="107" t="s">
        <v>119</v>
      </c>
      <c r="S752" s="107" t="s">
        <v>119</v>
      </c>
      <c r="T752" s="107" t="s">
        <v>119</v>
      </c>
      <c r="U752" s="107" t="s">
        <v>119</v>
      </c>
      <c r="V752" s="5" t="s">
        <v>119</v>
      </c>
      <c r="W752" s="5" t="s">
        <v>119</v>
      </c>
      <c r="X752" s="5" t="s">
        <v>119</v>
      </c>
    </row>
    <row r="753" spans="1:24" s="5" customFormat="1" x14ac:dyDescent="0.3">
      <c r="A753" s="7" t="s">
        <v>988</v>
      </c>
      <c r="B753" s="6" t="s">
        <v>119</v>
      </c>
      <c r="C753" s="7" t="s">
        <v>119</v>
      </c>
      <c r="D753" s="7" t="s">
        <v>119</v>
      </c>
      <c r="E753" s="10" t="s">
        <v>119</v>
      </c>
      <c r="F753" s="29">
        <v>1</v>
      </c>
      <c r="G753" s="29" t="s">
        <v>119</v>
      </c>
      <c r="H753" s="29" t="s">
        <v>119</v>
      </c>
      <c r="I753" s="29" t="s">
        <v>119</v>
      </c>
      <c r="J753" s="29" t="s">
        <v>119</v>
      </c>
      <c r="K753" s="29" t="s">
        <v>119</v>
      </c>
      <c r="L753" s="29" t="s">
        <v>119</v>
      </c>
      <c r="M753" s="29" t="s">
        <v>119</v>
      </c>
      <c r="N753" s="10" t="s">
        <v>119</v>
      </c>
      <c r="O753" s="28" t="s">
        <v>119</v>
      </c>
      <c r="P753" s="107" t="s">
        <v>119</v>
      </c>
      <c r="Q753" s="107" t="s">
        <v>119</v>
      </c>
      <c r="R753" s="107" t="s">
        <v>119</v>
      </c>
      <c r="S753" s="107" t="s">
        <v>119</v>
      </c>
      <c r="T753" s="106" t="s">
        <v>119</v>
      </c>
      <c r="U753" s="106" t="s">
        <v>119</v>
      </c>
      <c r="V753" t="s">
        <v>119</v>
      </c>
      <c r="W753" s="11" t="s">
        <v>119</v>
      </c>
      <c r="X753" s="11" t="s">
        <v>119</v>
      </c>
    </row>
    <row r="754" spans="1:24" x14ac:dyDescent="0.3">
      <c r="A754" s="4" t="s">
        <v>561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>
        <v>2</v>
      </c>
      <c r="N754" s="1" t="s">
        <v>119</v>
      </c>
      <c r="O754" s="28" t="s">
        <v>119</v>
      </c>
      <c r="P754" s="106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t="s">
        <v>119</v>
      </c>
      <c r="W754" s="11" t="s">
        <v>1274</v>
      </c>
      <c r="X754" s="11" t="s">
        <v>1274</v>
      </c>
    </row>
    <row r="755" spans="1:24" x14ac:dyDescent="0.3">
      <c r="A755" s="1" t="s">
        <v>237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 t="s">
        <v>119</v>
      </c>
      <c r="G755" s="37" t="s">
        <v>119</v>
      </c>
      <c r="H755" s="27" t="s">
        <v>119</v>
      </c>
      <c r="I755" s="28" t="s">
        <v>119</v>
      </c>
      <c r="J755" s="28">
        <f>31+8+29+1+1+2+2+5+4+1+1+11+3+1+2+4+7+1</f>
        <v>114</v>
      </c>
      <c r="K755" s="28">
        <v>4</v>
      </c>
      <c r="L755" s="28" t="s">
        <v>119</v>
      </c>
      <c r="M755" s="28" t="s">
        <v>134</v>
      </c>
      <c r="N755" s="1" t="s">
        <v>119</v>
      </c>
      <c r="O755" s="28" t="s">
        <v>119</v>
      </c>
      <c r="P755" s="106" t="s">
        <v>119</v>
      </c>
      <c r="Q755" s="106">
        <v>1</v>
      </c>
      <c r="R755" s="106" t="s">
        <v>119</v>
      </c>
      <c r="S755" s="106" t="s">
        <v>119</v>
      </c>
      <c r="T755" s="106">
        <v>1</v>
      </c>
      <c r="U755" s="106">
        <v>1</v>
      </c>
      <c r="V755" t="s">
        <v>119</v>
      </c>
      <c r="W755" s="11" t="str">
        <f t="shared" si="11"/>
        <v>X</v>
      </c>
      <c r="X755" s="11" t="s">
        <v>134</v>
      </c>
    </row>
    <row r="756" spans="1:24" x14ac:dyDescent="0.3">
      <c r="A756" s="1" t="s">
        <v>32</v>
      </c>
      <c r="B756" s="2">
        <v>193</v>
      </c>
      <c r="C756" s="4">
        <v>22</v>
      </c>
      <c r="D756" s="4">
        <v>12</v>
      </c>
      <c r="E756" s="1">
        <v>5</v>
      </c>
      <c r="F756" s="37" t="s">
        <v>119</v>
      </c>
      <c r="G756" s="37">
        <v>1</v>
      </c>
      <c r="H756" s="27">
        <v>35</v>
      </c>
      <c r="I756" s="27">
        <f>5+2+1+2+1+1+2</f>
        <v>14</v>
      </c>
      <c r="J756" s="28" t="s">
        <v>119</v>
      </c>
      <c r="K756" s="29">
        <f>2+8+3+4+1</f>
        <v>18</v>
      </c>
      <c r="L756" s="28">
        <f>1+3+2+3+5</f>
        <v>14</v>
      </c>
      <c r="M756" s="28" t="s">
        <v>119</v>
      </c>
      <c r="N756" s="1">
        <v>9</v>
      </c>
      <c r="O756" s="28">
        <v>6</v>
      </c>
      <c r="P756" s="106" t="s">
        <v>119</v>
      </c>
      <c r="Q756" s="106">
        <v>2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t="s">
        <v>119</v>
      </c>
      <c r="W756" s="11" t="str">
        <f t="shared" si="11"/>
        <v>X</v>
      </c>
      <c r="X756" s="11" t="s">
        <v>1274</v>
      </c>
    </row>
    <row r="757" spans="1:24" x14ac:dyDescent="0.3">
      <c r="A757" s="1" t="s">
        <v>150</v>
      </c>
      <c r="B757" s="2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7">
        <v>1</v>
      </c>
      <c r="I757" s="28" t="s">
        <v>119</v>
      </c>
      <c r="J757" s="28" t="s">
        <v>119</v>
      </c>
      <c r="K757" s="29" t="s">
        <v>119</v>
      </c>
      <c r="L757" s="28" t="s">
        <v>119</v>
      </c>
      <c r="M757" s="28" t="s">
        <v>119</v>
      </c>
      <c r="N757" s="1" t="s">
        <v>119</v>
      </c>
      <c r="O757" s="28" t="s">
        <v>119</v>
      </c>
      <c r="P757" s="106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t="s">
        <v>119</v>
      </c>
      <c r="W757" s="11" t="s">
        <v>1274</v>
      </c>
      <c r="X757" s="11" t="s">
        <v>1274</v>
      </c>
    </row>
    <row r="758" spans="1:24" s="51" customFormat="1" x14ac:dyDescent="0.3">
      <c r="A758" s="42" t="s">
        <v>562</v>
      </c>
      <c r="B758" s="48"/>
      <c r="C758" s="49"/>
      <c r="D758" s="49"/>
      <c r="E758" s="49"/>
      <c r="F758" s="92"/>
      <c r="G758" s="92"/>
      <c r="H758" s="50"/>
      <c r="I758" s="50"/>
      <c r="J758" s="50"/>
      <c r="K758" s="87"/>
      <c r="L758" s="50"/>
      <c r="M758" s="50"/>
      <c r="N758" s="49"/>
      <c r="O758" s="50"/>
      <c r="P758" s="105"/>
      <c r="Q758" s="105"/>
      <c r="R758" s="105"/>
      <c r="S758" s="105"/>
      <c r="T758" s="106" t="s">
        <v>119</v>
      </c>
      <c r="U758" s="106" t="s">
        <v>119</v>
      </c>
      <c r="V758" t="s">
        <v>119</v>
      </c>
      <c r="W758" s="11" t="str">
        <f t="shared" si="11"/>
        <v/>
      </c>
      <c r="X758" s="84"/>
    </row>
    <row r="759" spans="1:24" x14ac:dyDescent="0.3">
      <c r="A759" s="4" t="s">
        <v>563</v>
      </c>
      <c r="B759" s="2" t="s">
        <v>119</v>
      </c>
      <c r="C759" s="4" t="s">
        <v>119</v>
      </c>
      <c r="D759" s="4" t="s">
        <v>119</v>
      </c>
      <c r="E759" s="1" t="s">
        <v>119</v>
      </c>
      <c r="F759" s="37" t="s">
        <v>119</v>
      </c>
      <c r="G759" s="37" t="s">
        <v>119</v>
      </c>
      <c r="H759" s="27" t="s">
        <v>119</v>
      </c>
      <c r="I759" s="28" t="s">
        <v>119</v>
      </c>
      <c r="J759" s="28" t="s">
        <v>119</v>
      </c>
      <c r="K759" s="29" t="s">
        <v>119</v>
      </c>
      <c r="L759" s="28" t="s">
        <v>119</v>
      </c>
      <c r="M759" s="28" t="s">
        <v>134</v>
      </c>
      <c r="N759" s="1" t="s">
        <v>119</v>
      </c>
      <c r="O759" s="28" t="s">
        <v>119</v>
      </c>
      <c r="P759" s="106" t="s">
        <v>119</v>
      </c>
      <c r="Q759" s="106" t="s">
        <v>119</v>
      </c>
      <c r="R759" s="106" t="s">
        <v>119</v>
      </c>
      <c r="S759" s="106" t="s">
        <v>119</v>
      </c>
      <c r="T759" s="106" t="s">
        <v>119</v>
      </c>
      <c r="U759" s="106" t="s">
        <v>119</v>
      </c>
      <c r="V759" t="s">
        <v>119</v>
      </c>
      <c r="W759" s="11" t="s">
        <v>134</v>
      </c>
      <c r="X759" s="11" t="s">
        <v>119</v>
      </c>
    </row>
    <row r="760" spans="1:24" s="51" customFormat="1" x14ac:dyDescent="0.3">
      <c r="A760" s="70" t="s">
        <v>590</v>
      </c>
      <c r="B760" s="52"/>
      <c r="C760" s="53"/>
      <c r="D760" s="53"/>
      <c r="E760" s="53"/>
      <c r="F760" s="92"/>
      <c r="G760" s="92"/>
      <c r="H760" s="54"/>
      <c r="I760" s="54"/>
      <c r="J760" s="54"/>
      <c r="K760" s="54"/>
      <c r="L760" s="54"/>
      <c r="M760" s="54"/>
      <c r="N760" s="53"/>
      <c r="O760" s="54"/>
      <c r="P760" s="105"/>
      <c r="Q760" s="105"/>
      <c r="R760" s="105"/>
      <c r="S760" s="105"/>
      <c r="T760" s="106" t="s">
        <v>119</v>
      </c>
      <c r="U760" s="106" t="s">
        <v>119</v>
      </c>
      <c r="V760" t="s">
        <v>119</v>
      </c>
      <c r="W760" s="11" t="str">
        <f t="shared" si="11"/>
        <v/>
      </c>
      <c r="X760" s="84"/>
    </row>
    <row r="761" spans="1:24" s="88" customFormat="1" x14ac:dyDescent="0.3">
      <c r="A761" s="74" t="s">
        <v>1128</v>
      </c>
      <c r="B761" s="19" t="s">
        <v>119</v>
      </c>
      <c r="C761" s="25" t="s">
        <v>119</v>
      </c>
      <c r="D761" s="25" t="s">
        <v>119</v>
      </c>
      <c r="E761" s="25" t="s">
        <v>119</v>
      </c>
      <c r="F761" s="37" t="s">
        <v>119</v>
      </c>
      <c r="G761" s="37" t="s">
        <v>119</v>
      </c>
      <c r="H761" s="32" t="s">
        <v>119</v>
      </c>
      <c r="I761" s="32" t="s">
        <v>119</v>
      </c>
      <c r="J761" s="32" t="s">
        <v>119</v>
      </c>
      <c r="K761" s="32" t="s">
        <v>119</v>
      </c>
      <c r="L761" s="32" t="s">
        <v>119</v>
      </c>
      <c r="M761" s="33" t="s">
        <v>134</v>
      </c>
      <c r="N761" s="25" t="s">
        <v>119</v>
      </c>
      <c r="O761" s="32" t="s">
        <v>119</v>
      </c>
      <c r="P761" s="106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t="s">
        <v>134</v>
      </c>
      <c r="W761" s="11" t="s">
        <v>119</v>
      </c>
      <c r="X761" s="88" t="s">
        <v>119</v>
      </c>
    </row>
    <row r="762" spans="1:24" s="89" customFormat="1" x14ac:dyDescent="0.3">
      <c r="A762" s="74" t="s">
        <v>1129</v>
      </c>
      <c r="B762" s="19" t="s">
        <v>119</v>
      </c>
      <c r="C762" s="25" t="s">
        <v>119</v>
      </c>
      <c r="D762" s="25" t="s">
        <v>119</v>
      </c>
      <c r="E762" s="25" t="s">
        <v>119</v>
      </c>
      <c r="F762" s="37" t="s">
        <v>119</v>
      </c>
      <c r="G762" s="37" t="s">
        <v>119</v>
      </c>
      <c r="H762" s="32" t="s">
        <v>119</v>
      </c>
      <c r="I762" s="32" t="s">
        <v>119</v>
      </c>
      <c r="J762" s="32" t="s">
        <v>119</v>
      </c>
      <c r="K762" s="32" t="s">
        <v>119</v>
      </c>
      <c r="L762" s="32" t="s">
        <v>119</v>
      </c>
      <c r="M762" s="33" t="s">
        <v>134</v>
      </c>
      <c r="N762" s="25" t="s">
        <v>119</v>
      </c>
      <c r="O762" s="32" t="s">
        <v>119</v>
      </c>
      <c r="P762" s="106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t="s">
        <v>134</v>
      </c>
      <c r="W762" s="11" t="s">
        <v>119</v>
      </c>
      <c r="X762" s="88" t="s">
        <v>119</v>
      </c>
    </row>
    <row r="763" spans="1:24" x14ac:dyDescent="0.3">
      <c r="A763" s="74" t="s">
        <v>1130</v>
      </c>
      <c r="B763" s="19" t="s">
        <v>119</v>
      </c>
      <c r="C763" s="25" t="s">
        <v>119</v>
      </c>
      <c r="D763" s="25" t="s">
        <v>119</v>
      </c>
      <c r="E763" s="25" t="s">
        <v>119</v>
      </c>
      <c r="F763" s="37" t="s">
        <v>119</v>
      </c>
      <c r="G763" s="37" t="s">
        <v>119</v>
      </c>
      <c r="H763" s="32" t="s">
        <v>119</v>
      </c>
      <c r="I763" s="32" t="s">
        <v>119</v>
      </c>
      <c r="J763" s="32" t="s">
        <v>119</v>
      </c>
      <c r="K763" s="32" t="s">
        <v>119</v>
      </c>
      <c r="L763" s="32" t="s">
        <v>119</v>
      </c>
      <c r="M763" s="33" t="s">
        <v>134</v>
      </c>
      <c r="N763" s="25" t="s">
        <v>119</v>
      </c>
      <c r="O763" s="32" t="s">
        <v>119</v>
      </c>
      <c r="P763" s="106" t="s">
        <v>119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t="s">
        <v>134</v>
      </c>
      <c r="W763" s="11" t="s">
        <v>119</v>
      </c>
      <c r="X763" s="11" t="s">
        <v>119</v>
      </c>
    </row>
    <row r="764" spans="1:24" x14ac:dyDescent="0.3">
      <c r="A764" s="74" t="s">
        <v>1127</v>
      </c>
      <c r="B764" s="19" t="s">
        <v>119</v>
      </c>
      <c r="C764" s="25" t="s">
        <v>119</v>
      </c>
      <c r="D764" s="25" t="s">
        <v>119</v>
      </c>
      <c r="E764" s="25" t="s">
        <v>119</v>
      </c>
      <c r="F764" s="37" t="s">
        <v>119</v>
      </c>
      <c r="G764" s="37" t="s">
        <v>119</v>
      </c>
      <c r="H764" s="32" t="s">
        <v>119</v>
      </c>
      <c r="I764" s="32" t="s">
        <v>119</v>
      </c>
      <c r="J764" s="32" t="s">
        <v>119</v>
      </c>
      <c r="K764" s="32" t="s">
        <v>119</v>
      </c>
      <c r="L764" s="32" t="s">
        <v>119</v>
      </c>
      <c r="M764" s="33" t="s">
        <v>134</v>
      </c>
      <c r="N764" s="25" t="s">
        <v>119</v>
      </c>
      <c r="O764" s="32" t="s">
        <v>119</v>
      </c>
      <c r="P764" s="106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t="s">
        <v>134</v>
      </c>
      <c r="W764" s="11" t="s">
        <v>119</v>
      </c>
      <c r="X764" s="11" t="s">
        <v>119</v>
      </c>
    </row>
    <row r="765" spans="1:24" x14ac:dyDescent="0.3">
      <c r="A765" s="74" t="s">
        <v>1126</v>
      </c>
      <c r="B765" s="19" t="s">
        <v>119</v>
      </c>
      <c r="C765" s="25" t="s">
        <v>119</v>
      </c>
      <c r="D765" s="25" t="s">
        <v>119</v>
      </c>
      <c r="E765" s="25" t="s">
        <v>119</v>
      </c>
      <c r="F765" s="37" t="s">
        <v>119</v>
      </c>
      <c r="G765" s="37" t="s">
        <v>119</v>
      </c>
      <c r="H765" s="32" t="s">
        <v>119</v>
      </c>
      <c r="I765" s="32" t="s">
        <v>119</v>
      </c>
      <c r="J765" s="32" t="s">
        <v>119</v>
      </c>
      <c r="K765" s="32" t="s">
        <v>119</v>
      </c>
      <c r="L765" s="32" t="s">
        <v>119</v>
      </c>
      <c r="M765" s="33" t="s">
        <v>134</v>
      </c>
      <c r="N765" s="25" t="s">
        <v>119</v>
      </c>
      <c r="O765" s="32" t="s">
        <v>119</v>
      </c>
      <c r="P765" s="106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t="s">
        <v>134</v>
      </c>
      <c r="W765" s="11" t="s">
        <v>119</v>
      </c>
      <c r="X765" s="11" t="s">
        <v>119</v>
      </c>
    </row>
    <row r="766" spans="1:24" s="11" customFormat="1" x14ac:dyDescent="0.3">
      <c r="A766" s="74" t="s">
        <v>1125</v>
      </c>
      <c r="B766" s="19" t="s">
        <v>119</v>
      </c>
      <c r="C766" s="25" t="s">
        <v>119</v>
      </c>
      <c r="D766" s="25" t="s">
        <v>119</v>
      </c>
      <c r="E766" s="25" t="s">
        <v>119</v>
      </c>
      <c r="F766" s="37" t="s">
        <v>119</v>
      </c>
      <c r="G766" s="37" t="s">
        <v>119</v>
      </c>
      <c r="H766" s="32" t="s">
        <v>119</v>
      </c>
      <c r="I766" s="32" t="s">
        <v>119</v>
      </c>
      <c r="J766" s="32" t="s">
        <v>119</v>
      </c>
      <c r="K766" s="32" t="s">
        <v>119</v>
      </c>
      <c r="L766" s="32" t="s">
        <v>119</v>
      </c>
      <c r="M766" s="33" t="s">
        <v>134</v>
      </c>
      <c r="N766" s="25" t="s">
        <v>119</v>
      </c>
      <c r="O766" s="32" t="s">
        <v>119</v>
      </c>
      <c r="P766" s="106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t="s">
        <v>134</v>
      </c>
      <c r="W766" s="11" t="s">
        <v>119</v>
      </c>
      <c r="X766" s="11" t="s">
        <v>119</v>
      </c>
    </row>
    <row r="767" spans="1:24" s="11" customFormat="1" x14ac:dyDescent="0.3">
      <c r="A767" s="11" t="s">
        <v>591</v>
      </c>
      <c r="B767" s="18" t="s">
        <v>119</v>
      </c>
      <c r="C767" s="14" t="s">
        <v>119</v>
      </c>
      <c r="D767" s="14" t="s">
        <v>119</v>
      </c>
      <c r="E767" s="14" t="s">
        <v>119</v>
      </c>
      <c r="F767" s="37" t="s">
        <v>119</v>
      </c>
      <c r="G767" s="37" t="s">
        <v>119</v>
      </c>
      <c r="H767" s="31" t="s">
        <v>119</v>
      </c>
      <c r="I767" s="31" t="s">
        <v>119</v>
      </c>
      <c r="J767" s="31" t="s">
        <v>119</v>
      </c>
      <c r="K767" s="31" t="s">
        <v>119</v>
      </c>
      <c r="L767" s="31" t="s">
        <v>119</v>
      </c>
      <c r="M767" s="31" t="s">
        <v>134</v>
      </c>
      <c r="N767" s="14" t="s">
        <v>119</v>
      </c>
      <c r="O767" s="31" t="s">
        <v>119</v>
      </c>
      <c r="P767" s="106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t="s">
        <v>119</v>
      </c>
      <c r="W767" s="11" t="s">
        <v>134</v>
      </c>
      <c r="X767" s="11" t="s">
        <v>119</v>
      </c>
    </row>
    <row r="768" spans="1:24" s="11" customFormat="1" x14ac:dyDescent="0.3">
      <c r="A768" s="11" t="s">
        <v>1124</v>
      </c>
      <c r="B768" s="18" t="s">
        <v>119</v>
      </c>
      <c r="C768" s="14" t="s">
        <v>119</v>
      </c>
      <c r="D768" s="14" t="s">
        <v>119</v>
      </c>
      <c r="E768" s="14" t="s">
        <v>119</v>
      </c>
      <c r="F768" s="37" t="s">
        <v>119</v>
      </c>
      <c r="G768" s="37" t="s">
        <v>119</v>
      </c>
      <c r="H768" s="31" t="s">
        <v>119</v>
      </c>
      <c r="I768" s="31" t="s">
        <v>119</v>
      </c>
      <c r="J768" s="31" t="s">
        <v>119</v>
      </c>
      <c r="K768" s="31">
        <v>11</v>
      </c>
      <c r="L768" s="31" t="s">
        <v>119</v>
      </c>
      <c r="M768" s="31" t="s">
        <v>119</v>
      </c>
      <c r="N768" s="14" t="s">
        <v>119</v>
      </c>
      <c r="O768" s="31" t="s">
        <v>119</v>
      </c>
      <c r="P768" s="106" t="s">
        <v>119</v>
      </c>
      <c r="Q768" s="106" t="s">
        <v>119</v>
      </c>
      <c r="R768" s="106" t="s">
        <v>119</v>
      </c>
      <c r="S768" s="106" t="s">
        <v>119</v>
      </c>
      <c r="T768" s="106" t="s">
        <v>119</v>
      </c>
      <c r="U768" s="106" t="s">
        <v>119</v>
      </c>
      <c r="V768" t="s">
        <v>134</v>
      </c>
      <c r="W768" s="11" t="s">
        <v>119</v>
      </c>
      <c r="X768" s="11" t="s">
        <v>119</v>
      </c>
    </row>
    <row r="769" spans="1:24" s="11" customFormat="1" x14ac:dyDescent="0.3">
      <c r="A769" s="5" t="s">
        <v>668</v>
      </c>
      <c r="B769" s="6" t="s">
        <v>119</v>
      </c>
      <c r="C769" s="10" t="s">
        <v>119</v>
      </c>
      <c r="D769" s="10" t="s">
        <v>119</v>
      </c>
      <c r="E769" s="10" t="s">
        <v>119</v>
      </c>
      <c r="F769" s="37" t="s">
        <v>119</v>
      </c>
      <c r="G769" s="37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>
        <v>3</v>
      </c>
      <c r="O769" s="29" t="s">
        <v>119</v>
      </c>
      <c r="P769" s="106" t="s">
        <v>119</v>
      </c>
      <c r="Q769" s="106" t="s">
        <v>119</v>
      </c>
      <c r="R769" s="106" t="s">
        <v>119</v>
      </c>
      <c r="S769" s="106" t="s">
        <v>119</v>
      </c>
      <c r="T769" s="106" t="s">
        <v>119</v>
      </c>
      <c r="U769" s="106" t="s">
        <v>119</v>
      </c>
      <c r="V769" t="s">
        <v>119</v>
      </c>
      <c r="W769" s="11" t="s">
        <v>119</v>
      </c>
      <c r="X769" s="11" t="s">
        <v>119</v>
      </c>
    </row>
    <row r="770" spans="1:24" s="51" customFormat="1" x14ac:dyDescent="0.3">
      <c r="A770" s="63" t="s">
        <v>295</v>
      </c>
      <c r="B770" s="67"/>
      <c r="C770" s="68"/>
      <c r="D770" s="68"/>
      <c r="E770" s="68"/>
      <c r="F770" s="92"/>
      <c r="G770" s="92"/>
      <c r="H770" s="69"/>
      <c r="I770" s="69"/>
      <c r="J770" s="69"/>
      <c r="K770" s="50"/>
      <c r="L770" s="50"/>
      <c r="M770" s="50"/>
      <c r="N770" s="49"/>
      <c r="O770" s="50"/>
      <c r="P770" s="105"/>
      <c r="Q770" s="105"/>
      <c r="R770" s="105"/>
      <c r="S770" s="105"/>
      <c r="T770" s="106" t="s">
        <v>119</v>
      </c>
      <c r="U770" s="106" t="s">
        <v>119</v>
      </c>
      <c r="V770" t="s">
        <v>119</v>
      </c>
      <c r="W770" s="11" t="str">
        <f t="shared" si="11"/>
        <v/>
      </c>
      <c r="X770" s="84"/>
    </row>
    <row r="771" spans="1:24" s="11" customFormat="1" x14ac:dyDescent="0.3">
      <c r="A771" s="44" t="s">
        <v>564</v>
      </c>
      <c r="B771" s="47" t="s">
        <v>119</v>
      </c>
      <c r="C771" s="12" t="s">
        <v>119</v>
      </c>
      <c r="D771" s="12" t="s">
        <v>119</v>
      </c>
      <c r="E771" s="12" t="s">
        <v>119</v>
      </c>
      <c r="F771" s="37" t="s">
        <v>119</v>
      </c>
      <c r="G771" s="37" t="s">
        <v>119</v>
      </c>
      <c r="H771" s="34" t="s">
        <v>119</v>
      </c>
      <c r="I771" s="34" t="s">
        <v>119</v>
      </c>
      <c r="J771" s="34" t="s">
        <v>119</v>
      </c>
      <c r="K771" s="34" t="s">
        <v>119</v>
      </c>
      <c r="L771" s="34" t="s">
        <v>119</v>
      </c>
      <c r="M771" s="34" t="s">
        <v>134</v>
      </c>
      <c r="N771" s="12" t="s">
        <v>119</v>
      </c>
      <c r="O771" s="34" t="s">
        <v>119</v>
      </c>
      <c r="P771" s="106" t="s">
        <v>119</v>
      </c>
      <c r="Q771" s="106" t="s">
        <v>119</v>
      </c>
      <c r="R771" s="106" t="s">
        <v>119</v>
      </c>
      <c r="S771" s="106" t="s">
        <v>119</v>
      </c>
      <c r="T771" s="106" t="s">
        <v>119</v>
      </c>
      <c r="U771" s="106" t="s">
        <v>119</v>
      </c>
      <c r="V771" t="s">
        <v>119</v>
      </c>
      <c r="W771" s="11" t="s">
        <v>134</v>
      </c>
      <c r="X771" s="11" t="s">
        <v>119</v>
      </c>
    </row>
    <row r="772" spans="1:24" x14ac:dyDescent="0.3">
      <c r="A772" s="20" t="s">
        <v>1148</v>
      </c>
      <c r="B772" s="56" t="s">
        <v>119</v>
      </c>
      <c r="C772" s="20" t="s">
        <v>119</v>
      </c>
      <c r="D772" s="20" t="s">
        <v>119</v>
      </c>
      <c r="E772" s="20" t="s">
        <v>119</v>
      </c>
      <c r="F772" s="37" t="s">
        <v>119</v>
      </c>
      <c r="G772" s="37" t="s">
        <v>119</v>
      </c>
      <c r="H772" s="45" t="s">
        <v>119</v>
      </c>
      <c r="I772" s="45" t="s">
        <v>119</v>
      </c>
      <c r="J772" s="45" t="s">
        <v>119</v>
      </c>
      <c r="K772" s="45" t="s">
        <v>119</v>
      </c>
      <c r="L772" s="45" t="s">
        <v>119</v>
      </c>
      <c r="M772" s="57">
        <v>1</v>
      </c>
      <c r="N772" s="20" t="s">
        <v>119</v>
      </c>
      <c r="O772" s="34" t="s">
        <v>119</v>
      </c>
      <c r="P772" s="106" t="s">
        <v>119</v>
      </c>
      <c r="Q772" s="106" t="s">
        <v>119</v>
      </c>
      <c r="R772" s="106" t="s">
        <v>119</v>
      </c>
      <c r="S772" s="106" t="s">
        <v>119</v>
      </c>
      <c r="T772" s="106" t="s">
        <v>119</v>
      </c>
      <c r="U772" s="106" t="s">
        <v>119</v>
      </c>
      <c r="V772" t="s">
        <v>134</v>
      </c>
      <c r="W772" s="11" t="s">
        <v>119</v>
      </c>
      <c r="X772" s="11" t="s">
        <v>119</v>
      </c>
    </row>
    <row r="773" spans="1:24" x14ac:dyDescent="0.3">
      <c r="A773" s="20" t="s">
        <v>1147</v>
      </c>
      <c r="B773" s="56" t="s">
        <v>119</v>
      </c>
      <c r="C773" s="20" t="s">
        <v>119</v>
      </c>
      <c r="D773" s="20" t="s">
        <v>119</v>
      </c>
      <c r="E773" s="20" t="s">
        <v>119</v>
      </c>
      <c r="F773" s="37" t="s">
        <v>119</v>
      </c>
      <c r="G773" s="37" t="s">
        <v>119</v>
      </c>
      <c r="H773" s="45" t="s">
        <v>119</v>
      </c>
      <c r="I773" s="45" t="s">
        <v>119</v>
      </c>
      <c r="J773" s="45" t="s">
        <v>119</v>
      </c>
      <c r="K773" s="45" t="s">
        <v>119</v>
      </c>
      <c r="L773" s="45" t="s">
        <v>119</v>
      </c>
      <c r="M773" s="57" t="s">
        <v>119</v>
      </c>
      <c r="N773" s="20" t="s">
        <v>119</v>
      </c>
      <c r="O773" s="45">
        <v>8</v>
      </c>
      <c r="P773" s="106" t="s">
        <v>119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t="s">
        <v>134</v>
      </c>
      <c r="W773" s="11" t="s">
        <v>119</v>
      </c>
      <c r="X773" s="11" t="s">
        <v>119</v>
      </c>
    </row>
    <row r="774" spans="1:24" x14ac:dyDescent="0.3">
      <c r="A774" s="7" t="s">
        <v>296</v>
      </c>
      <c r="B774" s="2" t="s">
        <v>119</v>
      </c>
      <c r="C774" s="1" t="s">
        <v>119</v>
      </c>
      <c r="D774" s="1" t="s">
        <v>119</v>
      </c>
      <c r="E774" s="1" t="s">
        <v>119</v>
      </c>
      <c r="F774" s="37" t="s">
        <v>119</v>
      </c>
      <c r="G774" s="37" t="s">
        <v>119</v>
      </c>
      <c r="H774" s="28" t="s">
        <v>119</v>
      </c>
      <c r="I774" s="28" t="s">
        <v>119</v>
      </c>
      <c r="J774" s="28" t="s">
        <v>119</v>
      </c>
      <c r="K774" s="28">
        <v>1</v>
      </c>
      <c r="L774" s="28" t="s">
        <v>119</v>
      </c>
      <c r="M774" s="28" t="s">
        <v>119</v>
      </c>
      <c r="N774" s="1" t="s">
        <v>119</v>
      </c>
      <c r="O774" s="34" t="s">
        <v>119</v>
      </c>
      <c r="P774" s="106" t="s">
        <v>119</v>
      </c>
      <c r="Q774" s="106" t="s">
        <v>119</v>
      </c>
      <c r="R774" s="106" t="s">
        <v>119</v>
      </c>
      <c r="S774" s="106" t="s">
        <v>119</v>
      </c>
      <c r="T774" s="106" t="s">
        <v>119</v>
      </c>
      <c r="U774" s="106" t="s">
        <v>119</v>
      </c>
      <c r="V774" t="s">
        <v>119</v>
      </c>
      <c r="W774" s="11" t="s">
        <v>119</v>
      </c>
      <c r="X774" s="11" t="s">
        <v>119</v>
      </c>
    </row>
    <row r="775" spans="1:24" x14ac:dyDescent="0.3">
      <c r="A775" s="7" t="s">
        <v>732</v>
      </c>
      <c r="B775" s="2" t="s">
        <v>119</v>
      </c>
      <c r="C775" s="1" t="s">
        <v>119</v>
      </c>
      <c r="D775" s="1" t="s">
        <v>119</v>
      </c>
      <c r="E775" s="1" t="s">
        <v>119</v>
      </c>
      <c r="F775" s="37" t="s">
        <v>119</v>
      </c>
      <c r="G775" s="37" t="s">
        <v>119</v>
      </c>
      <c r="H775" s="28" t="s">
        <v>119</v>
      </c>
      <c r="I775" s="28">
        <v>3</v>
      </c>
      <c r="J775" s="28" t="s">
        <v>119</v>
      </c>
      <c r="K775" s="28" t="s">
        <v>119</v>
      </c>
      <c r="L775" s="28" t="s">
        <v>119</v>
      </c>
      <c r="M775" s="28" t="s">
        <v>119</v>
      </c>
      <c r="N775" s="1" t="s">
        <v>119</v>
      </c>
      <c r="O775" s="34" t="s">
        <v>119</v>
      </c>
      <c r="P775" s="106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t="s">
        <v>119</v>
      </c>
      <c r="W775" s="11" t="s">
        <v>119</v>
      </c>
      <c r="X775" s="11" t="s">
        <v>119</v>
      </c>
    </row>
    <row r="776" spans="1:24" x14ac:dyDescent="0.3">
      <c r="A776" s="7" t="s">
        <v>298</v>
      </c>
      <c r="B776" s="2" t="s">
        <v>119</v>
      </c>
      <c r="C776" s="1" t="s">
        <v>119</v>
      </c>
      <c r="D776" s="1" t="s">
        <v>119</v>
      </c>
      <c r="E776" s="1" t="s">
        <v>119</v>
      </c>
      <c r="F776" s="37" t="s">
        <v>119</v>
      </c>
      <c r="G776" s="37" t="s">
        <v>119</v>
      </c>
      <c r="H776" s="28" t="s">
        <v>134</v>
      </c>
      <c r="I776" s="28" t="s">
        <v>119</v>
      </c>
      <c r="J776" s="28" t="s">
        <v>119</v>
      </c>
      <c r="K776" s="28" t="s">
        <v>119</v>
      </c>
      <c r="L776" s="28" t="s">
        <v>119</v>
      </c>
      <c r="M776" s="28" t="s">
        <v>119</v>
      </c>
      <c r="N776" s="1" t="s">
        <v>119</v>
      </c>
      <c r="O776" s="34" t="s">
        <v>119</v>
      </c>
      <c r="P776" s="106" t="s">
        <v>119</v>
      </c>
      <c r="Q776" s="106" t="s">
        <v>119</v>
      </c>
      <c r="R776" s="106" t="s">
        <v>119</v>
      </c>
      <c r="S776" s="106" t="s">
        <v>119</v>
      </c>
      <c r="T776" s="106" t="s">
        <v>119</v>
      </c>
      <c r="U776" s="106" t="s">
        <v>119</v>
      </c>
      <c r="V776" t="s">
        <v>119</v>
      </c>
      <c r="W776" s="11" t="s">
        <v>119</v>
      </c>
      <c r="X776" s="11" t="s">
        <v>119</v>
      </c>
    </row>
    <row r="777" spans="1:24" x14ac:dyDescent="0.3">
      <c r="A777" s="7" t="s">
        <v>299</v>
      </c>
      <c r="B777" s="2" t="s">
        <v>119</v>
      </c>
      <c r="C777" s="1" t="s">
        <v>119</v>
      </c>
      <c r="D777" s="1" t="s">
        <v>119</v>
      </c>
      <c r="E777" s="1" t="s">
        <v>119</v>
      </c>
      <c r="F777" s="37" t="s">
        <v>119</v>
      </c>
      <c r="G777" s="37" t="s">
        <v>119</v>
      </c>
      <c r="H777" s="28" t="s">
        <v>134</v>
      </c>
      <c r="I777" s="28" t="s">
        <v>119</v>
      </c>
      <c r="J777" s="28" t="s">
        <v>119</v>
      </c>
      <c r="K777" s="28" t="s">
        <v>119</v>
      </c>
      <c r="L777" s="28" t="s">
        <v>119</v>
      </c>
      <c r="M777" s="28" t="s">
        <v>119</v>
      </c>
      <c r="N777" s="1" t="s">
        <v>119</v>
      </c>
      <c r="O777" s="34" t="s">
        <v>119</v>
      </c>
      <c r="P777" s="106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t="s">
        <v>119</v>
      </c>
      <c r="W777" s="11" t="s">
        <v>119</v>
      </c>
      <c r="X777" s="11" t="s">
        <v>119</v>
      </c>
    </row>
    <row r="778" spans="1:24" x14ac:dyDescent="0.3">
      <c r="A778" s="7" t="s">
        <v>697</v>
      </c>
      <c r="B778" s="2" t="s">
        <v>119</v>
      </c>
      <c r="C778" s="1" t="s">
        <v>119</v>
      </c>
      <c r="D778" s="1" t="s">
        <v>119</v>
      </c>
      <c r="E778" s="1" t="s">
        <v>119</v>
      </c>
      <c r="F778" s="37" t="s">
        <v>119</v>
      </c>
      <c r="G778" s="37" t="s">
        <v>134</v>
      </c>
      <c r="H778" s="28" t="s">
        <v>119</v>
      </c>
      <c r="I778" s="28" t="s">
        <v>119</v>
      </c>
      <c r="J778" s="28" t="s">
        <v>119</v>
      </c>
      <c r="K778" s="28" t="s">
        <v>119</v>
      </c>
      <c r="L778" s="28" t="s">
        <v>119</v>
      </c>
      <c r="M778" s="28" t="s">
        <v>119</v>
      </c>
      <c r="N778" s="1" t="s">
        <v>119</v>
      </c>
      <c r="O778" s="34" t="s">
        <v>119</v>
      </c>
      <c r="P778" s="106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t="s">
        <v>119</v>
      </c>
      <c r="W778" s="11" t="s">
        <v>119</v>
      </c>
      <c r="X778" s="11" t="s">
        <v>119</v>
      </c>
    </row>
    <row r="779" spans="1:24" x14ac:dyDescent="0.3">
      <c r="A779" s="7" t="s">
        <v>733</v>
      </c>
      <c r="B779" s="2" t="s">
        <v>119</v>
      </c>
      <c r="C779" s="1" t="s">
        <v>119</v>
      </c>
      <c r="D779" s="1" t="s">
        <v>119</v>
      </c>
      <c r="E779" s="1" t="s">
        <v>119</v>
      </c>
      <c r="F779" s="37" t="s">
        <v>119</v>
      </c>
      <c r="G779" s="37" t="s">
        <v>119</v>
      </c>
      <c r="H779" s="28" t="s">
        <v>119</v>
      </c>
      <c r="I779" s="28">
        <v>1</v>
      </c>
      <c r="J779" s="28" t="s">
        <v>119</v>
      </c>
      <c r="K779" s="28" t="s">
        <v>119</v>
      </c>
      <c r="L779" s="28" t="s">
        <v>119</v>
      </c>
      <c r="M779" s="28" t="s">
        <v>119</v>
      </c>
      <c r="N779" s="1" t="s">
        <v>119</v>
      </c>
      <c r="O779" s="34" t="s">
        <v>119</v>
      </c>
      <c r="P779" s="106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t="s">
        <v>119</v>
      </c>
      <c r="W779" s="11" t="s">
        <v>119</v>
      </c>
      <c r="X779" s="11" t="s">
        <v>119</v>
      </c>
    </row>
    <row r="780" spans="1:24" x14ac:dyDescent="0.3">
      <c r="A780" s="12" t="s">
        <v>565</v>
      </c>
      <c r="B780" s="18" t="s">
        <v>119</v>
      </c>
      <c r="C780" s="14" t="s">
        <v>119</v>
      </c>
      <c r="D780" s="14" t="s">
        <v>119</v>
      </c>
      <c r="E780" s="14" t="s">
        <v>119</v>
      </c>
      <c r="F780" s="37" t="s">
        <v>119</v>
      </c>
      <c r="G780" s="37" t="s">
        <v>119</v>
      </c>
      <c r="H780" s="31" t="s">
        <v>119</v>
      </c>
      <c r="I780" s="31" t="s">
        <v>119</v>
      </c>
      <c r="J780" s="31" t="s">
        <v>119</v>
      </c>
      <c r="K780" s="31" t="s">
        <v>119</v>
      </c>
      <c r="L780" s="31" t="s">
        <v>119</v>
      </c>
      <c r="M780" s="31">
        <v>4</v>
      </c>
      <c r="N780" s="14" t="s">
        <v>119</v>
      </c>
      <c r="O780" s="34" t="s">
        <v>119</v>
      </c>
      <c r="P780" s="106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t="s">
        <v>119</v>
      </c>
      <c r="W780" s="11" t="s">
        <v>119</v>
      </c>
      <c r="X780" s="11" t="s">
        <v>134</v>
      </c>
    </row>
    <row r="781" spans="1:24" x14ac:dyDescent="0.3">
      <c r="A781" s="12" t="s">
        <v>566</v>
      </c>
      <c r="B781" s="18" t="s">
        <v>119</v>
      </c>
      <c r="C781" s="14" t="s">
        <v>119</v>
      </c>
      <c r="D781" s="14" t="s">
        <v>119</v>
      </c>
      <c r="E781" s="14" t="s">
        <v>119</v>
      </c>
      <c r="F781" s="37" t="s">
        <v>119</v>
      </c>
      <c r="G781" s="37" t="s">
        <v>119</v>
      </c>
      <c r="H781" s="31" t="s">
        <v>119</v>
      </c>
      <c r="I781" s="31" t="s">
        <v>119</v>
      </c>
      <c r="J781" s="31" t="s">
        <v>119</v>
      </c>
      <c r="K781" s="31" t="s">
        <v>119</v>
      </c>
      <c r="L781" s="31" t="s">
        <v>119</v>
      </c>
      <c r="M781" s="31" t="s">
        <v>134</v>
      </c>
      <c r="N781" s="14" t="s">
        <v>119</v>
      </c>
      <c r="O781" s="34" t="s">
        <v>119</v>
      </c>
      <c r="P781" s="106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t="s">
        <v>119</v>
      </c>
      <c r="W781" s="11" t="s">
        <v>1274</v>
      </c>
      <c r="X781" s="11" t="s">
        <v>1274</v>
      </c>
    </row>
    <row r="782" spans="1:24" x14ac:dyDescent="0.3">
      <c r="A782" s="7" t="s">
        <v>300</v>
      </c>
      <c r="B782" s="2" t="s">
        <v>119</v>
      </c>
      <c r="C782" s="1" t="s">
        <v>119</v>
      </c>
      <c r="D782" s="1" t="s">
        <v>119</v>
      </c>
      <c r="E782" s="1" t="s">
        <v>119</v>
      </c>
      <c r="F782" s="37" t="s">
        <v>119</v>
      </c>
      <c r="G782" s="37" t="s">
        <v>119</v>
      </c>
      <c r="H782" s="28" t="s">
        <v>134</v>
      </c>
      <c r="I782" s="28" t="s">
        <v>119</v>
      </c>
      <c r="J782" s="28" t="s">
        <v>119</v>
      </c>
      <c r="K782" s="28" t="s">
        <v>119</v>
      </c>
      <c r="L782" s="28" t="s">
        <v>119</v>
      </c>
      <c r="M782" s="28" t="s">
        <v>119</v>
      </c>
      <c r="N782" s="1" t="s">
        <v>119</v>
      </c>
      <c r="O782" s="34" t="s">
        <v>119</v>
      </c>
      <c r="P782" s="106" t="s">
        <v>119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t="s">
        <v>119</v>
      </c>
      <c r="W782" s="11" t="s">
        <v>119</v>
      </c>
      <c r="X782" s="11" t="s">
        <v>119</v>
      </c>
    </row>
    <row r="783" spans="1:24" x14ac:dyDescent="0.3">
      <c r="A783" s="12" t="s">
        <v>567</v>
      </c>
      <c r="B783" s="18" t="s">
        <v>119</v>
      </c>
      <c r="C783" s="14" t="s">
        <v>119</v>
      </c>
      <c r="D783" s="14" t="s">
        <v>119</v>
      </c>
      <c r="E783" s="14" t="s">
        <v>119</v>
      </c>
      <c r="F783" s="37" t="s">
        <v>119</v>
      </c>
      <c r="G783" s="37" t="s">
        <v>119</v>
      </c>
      <c r="H783" s="31" t="s">
        <v>119</v>
      </c>
      <c r="I783" s="31" t="s">
        <v>119</v>
      </c>
      <c r="J783" s="31" t="s">
        <v>119</v>
      </c>
      <c r="K783" s="31" t="s">
        <v>119</v>
      </c>
      <c r="L783" s="31" t="s">
        <v>119</v>
      </c>
      <c r="M783" s="31" t="s">
        <v>134</v>
      </c>
      <c r="N783" s="14" t="s">
        <v>119</v>
      </c>
      <c r="O783" s="34" t="s">
        <v>119</v>
      </c>
      <c r="P783" s="106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t="s">
        <v>119</v>
      </c>
      <c r="W783" s="11" t="s">
        <v>1274</v>
      </c>
      <c r="X783" s="11" t="s">
        <v>1274</v>
      </c>
    </row>
    <row r="784" spans="1:24" x14ac:dyDescent="0.3">
      <c r="A784" s="12" t="s">
        <v>1134</v>
      </c>
      <c r="B784" s="2" t="s">
        <v>119</v>
      </c>
      <c r="C784" s="1" t="s">
        <v>119</v>
      </c>
      <c r="D784" s="1" t="s">
        <v>119</v>
      </c>
      <c r="E784" s="1" t="s">
        <v>119</v>
      </c>
      <c r="F784" s="37" t="s">
        <v>119</v>
      </c>
      <c r="G784" s="37" t="s">
        <v>119</v>
      </c>
      <c r="H784" s="28" t="s">
        <v>119</v>
      </c>
      <c r="I784" s="28" t="s">
        <v>119</v>
      </c>
      <c r="J784" s="28" t="s">
        <v>119</v>
      </c>
      <c r="K784" s="28">
        <v>3</v>
      </c>
      <c r="L784" s="28" t="s">
        <v>119</v>
      </c>
      <c r="M784" s="28" t="s">
        <v>119</v>
      </c>
      <c r="N784" s="1" t="s">
        <v>119</v>
      </c>
      <c r="O784" s="34" t="s">
        <v>119</v>
      </c>
      <c r="P784" s="106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t="s">
        <v>134</v>
      </c>
      <c r="W784" s="11" t="s">
        <v>119</v>
      </c>
      <c r="X784" s="11" t="s">
        <v>119</v>
      </c>
    </row>
    <row r="785" spans="1:24" x14ac:dyDescent="0.3">
      <c r="A785" s="12" t="s">
        <v>568</v>
      </c>
      <c r="B785" s="2" t="s">
        <v>119</v>
      </c>
      <c r="C785" s="1" t="s">
        <v>119</v>
      </c>
      <c r="D785" s="1" t="s">
        <v>119</v>
      </c>
      <c r="E785" s="1" t="s">
        <v>119</v>
      </c>
      <c r="F785" s="37" t="s">
        <v>119</v>
      </c>
      <c r="G785" s="37" t="s">
        <v>119</v>
      </c>
      <c r="H785" s="28" t="s">
        <v>119</v>
      </c>
      <c r="I785" s="28" t="s">
        <v>119</v>
      </c>
      <c r="J785" s="28" t="s">
        <v>119</v>
      </c>
      <c r="K785" s="28" t="s">
        <v>119</v>
      </c>
      <c r="L785" s="28" t="s">
        <v>119</v>
      </c>
      <c r="M785" s="28" t="s">
        <v>134</v>
      </c>
      <c r="N785" s="1" t="s">
        <v>119</v>
      </c>
      <c r="O785" s="34" t="s">
        <v>119</v>
      </c>
      <c r="P785" s="106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t="s">
        <v>119</v>
      </c>
      <c r="W785" s="11" t="s">
        <v>134</v>
      </c>
      <c r="X785" s="11" t="s">
        <v>119</v>
      </c>
    </row>
    <row r="786" spans="1:24" x14ac:dyDescent="0.3">
      <c r="A786" s="12" t="s">
        <v>302</v>
      </c>
      <c r="B786" s="2" t="s">
        <v>119</v>
      </c>
      <c r="C786" s="1" t="s">
        <v>119</v>
      </c>
      <c r="D786" s="1" t="s">
        <v>119</v>
      </c>
      <c r="E786" s="1" t="s">
        <v>119</v>
      </c>
      <c r="F786" s="37" t="s">
        <v>119</v>
      </c>
      <c r="G786" s="37" t="s">
        <v>119</v>
      </c>
      <c r="H786" s="28" t="s">
        <v>134</v>
      </c>
      <c r="I786" s="28" t="s">
        <v>119</v>
      </c>
      <c r="J786" s="28" t="s">
        <v>119</v>
      </c>
      <c r="K786" s="28" t="s">
        <v>119</v>
      </c>
      <c r="L786" s="28" t="s">
        <v>119</v>
      </c>
      <c r="M786" s="28" t="s">
        <v>119</v>
      </c>
      <c r="N786" s="1" t="s">
        <v>119</v>
      </c>
      <c r="O786" s="34" t="s">
        <v>119</v>
      </c>
      <c r="P786" s="106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t="s">
        <v>119</v>
      </c>
      <c r="W786" s="11" t="s">
        <v>134</v>
      </c>
      <c r="X786" s="11" t="s">
        <v>134</v>
      </c>
    </row>
    <row r="787" spans="1:24" x14ac:dyDescent="0.3">
      <c r="A787" s="12" t="s">
        <v>569</v>
      </c>
      <c r="B787" s="2" t="s">
        <v>119</v>
      </c>
      <c r="C787" s="1" t="s">
        <v>119</v>
      </c>
      <c r="D787" s="1" t="s">
        <v>119</v>
      </c>
      <c r="E787" s="1" t="s">
        <v>119</v>
      </c>
      <c r="F787" s="37" t="s">
        <v>119</v>
      </c>
      <c r="G787" s="37" t="s">
        <v>119</v>
      </c>
      <c r="H787" s="28" t="s">
        <v>119</v>
      </c>
      <c r="I787" s="28" t="s">
        <v>119</v>
      </c>
      <c r="J787" s="28" t="s">
        <v>119</v>
      </c>
      <c r="K787" s="28" t="s">
        <v>119</v>
      </c>
      <c r="L787" s="28" t="s">
        <v>119</v>
      </c>
      <c r="M787" s="28">
        <v>1</v>
      </c>
      <c r="N787" s="1" t="s">
        <v>119</v>
      </c>
      <c r="O787" s="34" t="s">
        <v>119</v>
      </c>
      <c r="P787" s="106" t="s">
        <v>119</v>
      </c>
      <c r="Q787" s="106" t="s">
        <v>119</v>
      </c>
      <c r="R787" s="106" t="s">
        <v>119</v>
      </c>
      <c r="S787" s="106" t="s">
        <v>119</v>
      </c>
      <c r="T787" s="106" t="s">
        <v>119</v>
      </c>
      <c r="U787" s="106" t="s">
        <v>119</v>
      </c>
      <c r="V787" t="s">
        <v>119</v>
      </c>
      <c r="W787" s="11" t="s">
        <v>134</v>
      </c>
      <c r="X787" s="11" t="s">
        <v>134</v>
      </c>
    </row>
    <row r="788" spans="1:24" s="74" customFormat="1" x14ac:dyDescent="0.3">
      <c r="A788" s="20" t="s">
        <v>1143</v>
      </c>
      <c r="B788" s="19" t="s">
        <v>119</v>
      </c>
      <c r="C788" s="25" t="s">
        <v>119</v>
      </c>
      <c r="D788" s="25" t="s">
        <v>119</v>
      </c>
      <c r="E788" s="25" t="s">
        <v>119</v>
      </c>
      <c r="F788" s="32" t="s">
        <v>119</v>
      </c>
      <c r="G788" s="32" t="s">
        <v>119</v>
      </c>
      <c r="H788" s="32" t="s">
        <v>119</v>
      </c>
      <c r="I788" s="32" t="s">
        <v>119</v>
      </c>
      <c r="J788" s="32" t="s">
        <v>119</v>
      </c>
      <c r="K788" s="32" t="s">
        <v>119</v>
      </c>
      <c r="L788" s="32" t="s">
        <v>119</v>
      </c>
      <c r="M788" s="32" t="s">
        <v>119</v>
      </c>
      <c r="N788" s="25" t="s">
        <v>119</v>
      </c>
      <c r="O788" s="45">
        <v>5</v>
      </c>
      <c r="P788" s="128" t="s">
        <v>119</v>
      </c>
      <c r="Q788" s="128" t="s">
        <v>119</v>
      </c>
      <c r="R788" s="128" t="s">
        <v>119</v>
      </c>
      <c r="S788" s="128" t="s">
        <v>119</v>
      </c>
      <c r="T788" s="128" t="s">
        <v>119</v>
      </c>
      <c r="U788" s="128" t="s">
        <v>119</v>
      </c>
      <c r="V788" s="74" t="s">
        <v>134</v>
      </c>
      <c r="W788" s="11" t="s">
        <v>119</v>
      </c>
      <c r="X788" s="11" t="s">
        <v>119</v>
      </c>
    </row>
    <row r="789" spans="1:24" x14ac:dyDescent="0.3">
      <c r="A789" s="12" t="s">
        <v>570</v>
      </c>
      <c r="B789" s="2" t="s">
        <v>119</v>
      </c>
      <c r="C789" s="1" t="s">
        <v>119</v>
      </c>
      <c r="D789" s="1" t="s">
        <v>119</v>
      </c>
      <c r="E789" s="1" t="s">
        <v>119</v>
      </c>
      <c r="F789" s="37" t="s">
        <v>119</v>
      </c>
      <c r="G789" s="37" t="s">
        <v>119</v>
      </c>
      <c r="H789" s="28" t="s">
        <v>119</v>
      </c>
      <c r="I789" s="28" t="s">
        <v>119</v>
      </c>
      <c r="J789" s="28" t="s">
        <v>119</v>
      </c>
      <c r="K789" s="28" t="s">
        <v>119</v>
      </c>
      <c r="L789" s="28" t="s">
        <v>119</v>
      </c>
      <c r="M789" s="28" t="s">
        <v>134</v>
      </c>
      <c r="N789" s="1" t="s">
        <v>119</v>
      </c>
      <c r="O789" s="34" t="s">
        <v>119</v>
      </c>
      <c r="P789" s="106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t="s">
        <v>119</v>
      </c>
      <c r="W789" s="11" t="s">
        <v>134</v>
      </c>
      <c r="X789" s="11" t="s">
        <v>119</v>
      </c>
    </row>
    <row r="790" spans="1:24" x14ac:dyDescent="0.3">
      <c r="A790" s="12" t="s">
        <v>571</v>
      </c>
      <c r="B790" s="2" t="s">
        <v>119</v>
      </c>
      <c r="C790" s="1" t="s">
        <v>119</v>
      </c>
      <c r="D790" s="1" t="s">
        <v>119</v>
      </c>
      <c r="E790" s="1" t="s">
        <v>119</v>
      </c>
      <c r="F790" s="37" t="s">
        <v>119</v>
      </c>
      <c r="G790" s="37" t="s">
        <v>119</v>
      </c>
      <c r="H790" s="28" t="s">
        <v>119</v>
      </c>
      <c r="I790" s="28" t="s">
        <v>119</v>
      </c>
      <c r="J790" s="28" t="s">
        <v>119</v>
      </c>
      <c r="K790" s="28" t="s">
        <v>119</v>
      </c>
      <c r="L790" s="28" t="s">
        <v>119</v>
      </c>
      <c r="M790" s="28" t="s">
        <v>134</v>
      </c>
      <c r="N790" s="1" t="s">
        <v>119</v>
      </c>
      <c r="O790" s="34" t="s">
        <v>119</v>
      </c>
      <c r="P790" s="106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t="s">
        <v>119</v>
      </c>
      <c r="W790" s="11" t="s">
        <v>134</v>
      </c>
      <c r="X790" s="11" t="s">
        <v>119</v>
      </c>
    </row>
    <row r="791" spans="1:24" x14ac:dyDescent="0.3">
      <c r="A791" s="12" t="s">
        <v>572</v>
      </c>
      <c r="B791" s="2" t="s">
        <v>119</v>
      </c>
      <c r="C791" s="1" t="s">
        <v>119</v>
      </c>
      <c r="D791" s="1" t="s">
        <v>119</v>
      </c>
      <c r="E791" s="1" t="s">
        <v>119</v>
      </c>
      <c r="F791" s="37" t="s">
        <v>119</v>
      </c>
      <c r="G791" s="37" t="s">
        <v>119</v>
      </c>
      <c r="H791" s="28" t="s">
        <v>119</v>
      </c>
      <c r="I791" s="28" t="s">
        <v>119</v>
      </c>
      <c r="J791" s="28" t="s">
        <v>119</v>
      </c>
      <c r="K791" s="28" t="s">
        <v>119</v>
      </c>
      <c r="L791" s="28" t="s">
        <v>119</v>
      </c>
      <c r="M791" s="28">
        <v>3</v>
      </c>
      <c r="N791" s="1" t="s">
        <v>119</v>
      </c>
      <c r="O791" s="34" t="s">
        <v>119</v>
      </c>
      <c r="P791" s="106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t="s">
        <v>119</v>
      </c>
      <c r="W791" s="11" t="s">
        <v>134</v>
      </c>
      <c r="X791" s="11" t="s">
        <v>119</v>
      </c>
    </row>
    <row r="792" spans="1:24" x14ac:dyDescent="0.3">
      <c r="A792" s="12" t="s">
        <v>1135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106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t="s">
        <v>134</v>
      </c>
      <c r="W792" s="11" t="s">
        <v>119</v>
      </c>
      <c r="X792" s="11" t="s">
        <v>119</v>
      </c>
    </row>
    <row r="793" spans="1:24" s="11" customFormat="1" x14ac:dyDescent="0.3">
      <c r="A793" s="12" t="s">
        <v>573</v>
      </c>
      <c r="B793" s="2" t="s">
        <v>119</v>
      </c>
      <c r="C793" s="1" t="s">
        <v>119</v>
      </c>
      <c r="D793" s="1" t="s">
        <v>119</v>
      </c>
      <c r="E793" s="1" t="s">
        <v>119</v>
      </c>
      <c r="F793" s="37" t="s">
        <v>119</v>
      </c>
      <c r="G793" s="37" t="s">
        <v>119</v>
      </c>
      <c r="H793" s="28" t="s">
        <v>119</v>
      </c>
      <c r="I793" s="28" t="s">
        <v>119</v>
      </c>
      <c r="J793" s="28" t="s">
        <v>119</v>
      </c>
      <c r="K793" s="28" t="s">
        <v>119</v>
      </c>
      <c r="L793" s="28" t="s">
        <v>119</v>
      </c>
      <c r="M793" s="28" t="s">
        <v>134</v>
      </c>
      <c r="N793" s="1" t="s">
        <v>119</v>
      </c>
      <c r="O793" s="34" t="s">
        <v>119</v>
      </c>
      <c r="P793" s="106" t="s">
        <v>119</v>
      </c>
      <c r="Q793" s="106" t="s">
        <v>119</v>
      </c>
      <c r="R793" s="106" t="s">
        <v>119</v>
      </c>
      <c r="S793" s="106" t="s">
        <v>119</v>
      </c>
      <c r="T793" s="106" t="s">
        <v>119</v>
      </c>
      <c r="U793" s="106" t="s">
        <v>119</v>
      </c>
      <c r="V793" t="s">
        <v>119</v>
      </c>
      <c r="W793" s="11" t="s">
        <v>134</v>
      </c>
      <c r="X793" s="11" t="s">
        <v>119</v>
      </c>
    </row>
    <row r="794" spans="1:24" s="11" customFormat="1" x14ac:dyDescent="0.3">
      <c r="A794" s="12" t="s">
        <v>1131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 t="s">
        <v>119</v>
      </c>
      <c r="J794" s="28" t="s">
        <v>119</v>
      </c>
      <c r="K794" s="28">
        <v>2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106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t="s">
        <v>134</v>
      </c>
      <c r="W794" s="11" t="s">
        <v>119</v>
      </c>
      <c r="X794" s="11" t="s">
        <v>119</v>
      </c>
    </row>
    <row r="795" spans="1:24" x14ac:dyDescent="0.3">
      <c r="A795" s="7" t="s">
        <v>301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>
        <v>3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>
        <v>1</v>
      </c>
      <c r="P795" s="106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t="s">
        <v>119</v>
      </c>
      <c r="W795" s="11" t="s">
        <v>119</v>
      </c>
      <c r="X795" s="11" t="s">
        <v>119</v>
      </c>
    </row>
    <row r="796" spans="1:24" x14ac:dyDescent="0.3">
      <c r="A796" s="7" t="s">
        <v>734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119</v>
      </c>
      <c r="I796" s="28">
        <v>1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106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t="s">
        <v>119</v>
      </c>
      <c r="W796" s="11" t="s">
        <v>119</v>
      </c>
      <c r="X796" s="11" t="s">
        <v>119</v>
      </c>
    </row>
    <row r="797" spans="1:24" x14ac:dyDescent="0.3">
      <c r="A797" s="7" t="s">
        <v>321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119</v>
      </c>
      <c r="H797" s="28" t="s">
        <v>119</v>
      </c>
      <c r="I797" s="28" t="s">
        <v>119</v>
      </c>
      <c r="J797" s="28" t="s">
        <v>119</v>
      </c>
      <c r="K797" s="28">
        <v>2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106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t="s">
        <v>119</v>
      </c>
      <c r="W797" s="11" t="s">
        <v>119</v>
      </c>
      <c r="X797" s="11" t="s">
        <v>119</v>
      </c>
    </row>
    <row r="798" spans="1:24" s="11" customFormat="1" x14ac:dyDescent="0.3">
      <c r="A798" s="7" t="s">
        <v>303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119">
        <v>9</v>
      </c>
      <c r="I798" s="28" t="s">
        <v>119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106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t="s">
        <v>119</v>
      </c>
      <c r="W798" s="11" t="s">
        <v>119</v>
      </c>
      <c r="X798" s="11" t="s">
        <v>119</v>
      </c>
    </row>
    <row r="799" spans="1:24" s="11" customFormat="1" x14ac:dyDescent="0.3">
      <c r="A799" s="7" t="s">
        <v>304</v>
      </c>
      <c r="B799" s="2" t="s">
        <v>119</v>
      </c>
      <c r="C799" s="1" t="s">
        <v>119</v>
      </c>
      <c r="D799" s="1" t="s">
        <v>119</v>
      </c>
      <c r="E799" s="1" t="s">
        <v>119</v>
      </c>
      <c r="F799" s="37" t="s">
        <v>119</v>
      </c>
      <c r="G799" s="37" t="s">
        <v>119</v>
      </c>
      <c r="H799" s="119">
        <v>4</v>
      </c>
      <c r="I799" s="28" t="s">
        <v>119</v>
      </c>
      <c r="J799" s="28" t="s">
        <v>119</v>
      </c>
      <c r="K799" s="28" t="s">
        <v>119</v>
      </c>
      <c r="L799" s="28" t="s">
        <v>119</v>
      </c>
      <c r="M799" s="28" t="s">
        <v>119</v>
      </c>
      <c r="N799" s="1" t="s">
        <v>119</v>
      </c>
      <c r="O799" s="34" t="s">
        <v>119</v>
      </c>
      <c r="P799" s="106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t="s">
        <v>119</v>
      </c>
      <c r="W799" s="11" t="s">
        <v>119</v>
      </c>
      <c r="X799" s="11" t="s">
        <v>119</v>
      </c>
    </row>
    <row r="800" spans="1:24" s="11" customFormat="1" x14ac:dyDescent="0.3">
      <c r="A800" s="7" t="s">
        <v>305</v>
      </c>
      <c r="B800" s="2" t="s">
        <v>119</v>
      </c>
      <c r="C800" s="1" t="s">
        <v>119</v>
      </c>
      <c r="D800" s="1" t="s">
        <v>119</v>
      </c>
      <c r="E800" s="1" t="s">
        <v>119</v>
      </c>
      <c r="F800" s="37" t="s">
        <v>119</v>
      </c>
      <c r="G800" s="37" t="s">
        <v>119</v>
      </c>
      <c r="H800" s="119" t="s">
        <v>134</v>
      </c>
      <c r="I800" s="28" t="s">
        <v>119</v>
      </c>
      <c r="J800" s="28" t="s">
        <v>119</v>
      </c>
      <c r="K800" s="28" t="s">
        <v>119</v>
      </c>
      <c r="L800" s="28" t="s">
        <v>119</v>
      </c>
      <c r="M800" s="28" t="s">
        <v>119</v>
      </c>
      <c r="N800" s="1" t="s">
        <v>119</v>
      </c>
      <c r="O800" s="34" t="s">
        <v>119</v>
      </c>
      <c r="P800" s="106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t="s">
        <v>119</v>
      </c>
      <c r="W800" s="11" t="s">
        <v>119</v>
      </c>
      <c r="X800" s="11" t="s">
        <v>119</v>
      </c>
    </row>
    <row r="801" spans="1:24" x14ac:dyDescent="0.3">
      <c r="A801" s="7" t="s">
        <v>306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119">
        <v>3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106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t="s">
        <v>119</v>
      </c>
      <c r="W801" s="11" t="s">
        <v>119</v>
      </c>
      <c r="X801" s="11" t="s">
        <v>119</v>
      </c>
    </row>
    <row r="802" spans="1:24" x14ac:dyDescent="0.3">
      <c r="A802" s="12" t="s">
        <v>574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106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t="s">
        <v>119</v>
      </c>
      <c r="W802" s="11" t="s">
        <v>134</v>
      </c>
      <c r="X802" s="11" t="s">
        <v>134</v>
      </c>
    </row>
    <row r="803" spans="1:24" s="64" customFormat="1" x14ac:dyDescent="0.3">
      <c r="A803" s="12" t="s">
        <v>575</v>
      </c>
      <c r="B803" s="18" t="s">
        <v>119</v>
      </c>
      <c r="C803" s="14" t="s">
        <v>119</v>
      </c>
      <c r="D803" s="14" t="s">
        <v>119</v>
      </c>
      <c r="E803" s="14" t="s">
        <v>119</v>
      </c>
      <c r="F803" s="37" t="s">
        <v>119</v>
      </c>
      <c r="G803" s="37" t="s">
        <v>119</v>
      </c>
      <c r="H803" s="31" t="s">
        <v>119</v>
      </c>
      <c r="I803" s="31" t="s">
        <v>119</v>
      </c>
      <c r="J803" s="31" t="s">
        <v>119</v>
      </c>
      <c r="K803" s="31" t="s">
        <v>119</v>
      </c>
      <c r="L803" s="31" t="s">
        <v>119</v>
      </c>
      <c r="M803" s="31" t="s">
        <v>134</v>
      </c>
      <c r="N803" s="14" t="s">
        <v>119</v>
      </c>
      <c r="O803" s="34" t="s">
        <v>119</v>
      </c>
      <c r="P803" s="106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t="s">
        <v>119</v>
      </c>
      <c r="W803" s="11" t="s">
        <v>134</v>
      </c>
      <c r="X803" s="88" t="s">
        <v>119</v>
      </c>
    </row>
    <row r="804" spans="1:24" s="64" customFormat="1" x14ac:dyDescent="0.3">
      <c r="A804" s="12" t="s">
        <v>1192</v>
      </c>
      <c r="B804" s="18" t="s">
        <v>119</v>
      </c>
      <c r="C804" s="18" t="s">
        <v>119</v>
      </c>
      <c r="D804" s="18" t="s">
        <v>119</v>
      </c>
      <c r="E804" s="18" t="s">
        <v>119</v>
      </c>
      <c r="F804" s="18" t="s">
        <v>119</v>
      </c>
      <c r="G804" s="18" t="s">
        <v>119</v>
      </c>
      <c r="H804" s="18" t="s">
        <v>119</v>
      </c>
      <c r="I804" s="18" t="s">
        <v>119</v>
      </c>
      <c r="J804" s="31" t="s">
        <v>134</v>
      </c>
      <c r="K804" s="31" t="s">
        <v>119</v>
      </c>
      <c r="L804" s="31" t="s">
        <v>119</v>
      </c>
      <c r="M804" s="31" t="s">
        <v>119</v>
      </c>
      <c r="N804" s="31" t="s">
        <v>119</v>
      </c>
      <c r="O804" s="31" t="s">
        <v>119</v>
      </c>
      <c r="P804" s="106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98" t="s">
        <v>134</v>
      </c>
      <c r="W804" s="11" t="s">
        <v>119</v>
      </c>
      <c r="X804" s="88" t="s">
        <v>119</v>
      </c>
    </row>
    <row r="805" spans="1:24" x14ac:dyDescent="0.3">
      <c r="A805" s="7" t="s">
        <v>307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106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t="s">
        <v>119</v>
      </c>
      <c r="W805" s="11" t="s">
        <v>119</v>
      </c>
      <c r="X805" s="11" t="s">
        <v>119</v>
      </c>
    </row>
    <row r="806" spans="1:24" x14ac:dyDescent="0.3">
      <c r="A806" s="7" t="s">
        <v>576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4</v>
      </c>
      <c r="N806" s="1" t="s">
        <v>119</v>
      </c>
      <c r="O806" s="34" t="s">
        <v>119</v>
      </c>
      <c r="P806" s="106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t="s">
        <v>119</v>
      </c>
      <c r="W806" s="11" t="s">
        <v>119</v>
      </c>
      <c r="X806" s="11" t="s">
        <v>119</v>
      </c>
    </row>
    <row r="807" spans="1:24" x14ac:dyDescent="0.3">
      <c r="A807" s="12" t="s">
        <v>577</v>
      </c>
      <c r="B807" s="18" t="s">
        <v>119</v>
      </c>
      <c r="C807" s="14" t="s">
        <v>119</v>
      </c>
      <c r="D807" s="14" t="s">
        <v>119</v>
      </c>
      <c r="E807" s="14" t="s">
        <v>119</v>
      </c>
      <c r="F807" s="37" t="s">
        <v>119</v>
      </c>
      <c r="G807" s="37" t="s">
        <v>119</v>
      </c>
      <c r="H807" s="31" t="s">
        <v>119</v>
      </c>
      <c r="I807" s="31" t="s">
        <v>119</v>
      </c>
      <c r="J807" s="31" t="s">
        <v>119</v>
      </c>
      <c r="K807" s="31" t="s">
        <v>119</v>
      </c>
      <c r="L807" s="31" t="s">
        <v>119</v>
      </c>
      <c r="M807" s="31">
        <v>13</v>
      </c>
      <c r="N807" s="14" t="s">
        <v>119</v>
      </c>
      <c r="O807" s="34" t="s">
        <v>119</v>
      </c>
      <c r="P807" s="106" t="s">
        <v>119</v>
      </c>
      <c r="Q807" s="106" t="s">
        <v>119</v>
      </c>
      <c r="R807" s="106" t="s">
        <v>119</v>
      </c>
      <c r="S807" s="106" t="s">
        <v>119</v>
      </c>
      <c r="T807" s="106" t="s">
        <v>119</v>
      </c>
      <c r="U807" s="106" t="s">
        <v>119</v>
      </c>
      <c r="V807" t="s">
        <v>119</v>
      </c>
      <c r="W807" s="11" t="s">
        <v>134</v>
      </c>
      <c r="X807" s="11" t="s">
        <v>134</v>
      </c>
    </row>
    <row r="808" spans="1:24" s="64" customFormat="1" x14ac:dyDescent="0.3">
      <c r="A808" s="12" t="s">
        <v>578</v>
      </c>
      <c r="B808" s="18" t="s">
        <v>119</v>
      </c>
      <c r="C808" s="14" t="s">
        <v>119</v>
      </c>
      <c r="D808" s="14" t="s">
        <v>119</v>
      </c>
      <c r="E808" s="14" t="s">
        <v>119</v>
      </c>
      <c r="F808" s="37" t="s">
        <v>119</v>
      </c>
      <c r="G808" s="37" t="s">
        <v>119</v>
      </c>
      <c r="H808" s="31" t="s">
        <v>119</v>
      </c>
      <c r="I808" s="31" t="s">
        <v>119</v>
      </c>
      <c r="J808" s="31" t="s">
        <v>119</v>
      </c>
      <c r="K808" s="31" t="s">
        <v>119</v>
      </c>
      <c r="L808" s="31" t="s">
        <v>119</v>
      </c>
      <c r="M808" s="31">
        <v>2</v>
      </c>
      <c r="N808" s="14" t="s">
        <v>119</v>
      </c>
      <c r="O808" s="34" t="s">
        <v>119</v>
      </c>
      <c r="P808" s="106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t="s">
        <v>119</v>
      </c>
      <c r="W808" s="11" t="s">
        <v>134</v>
      </c>
      <c r="X808" s="88" t="s">
        <v>119</v>
      </c>
    </row>
    <row r="809" spans="1:24" s="64" customFormat="1" x14ac:dyDescent="0.3">
      <c r="A809" s="12" t="s">
        <v>735</v>
      </c>
      <c r="B809" s="18" t="s">
        <v>119</v>
      </c>
      <c r="C809" s="14" t="s">
        <v>119</v>
      </c>
      <c r="D809" s="14" t="s">
        <v>119</v>
      </c>
      <c r="E809" s="14" t="s">
        <v>119</v>
      </c>
      <c r="F809" s="37" t="s">
        <v>119</v>
      </c>
      <c r="G809" s="37" t="s">
        <v>119</v>
      </c>
      <c r="H809" s="31" t="s">
        <v>119</v>
      </c>
      <c r="I809" s="31">
        <v>2</v>
      </c>
      <c r="J809" s="31" t="s">
        <v>119</v>
      </c>
      <c r="K809" s="31" t="s">
        <v>119</v>
      </c>
      <c r="L809" s="31" t="s">
        <v>119</v>
      </c>
      <c r="M809" s="31" t="s">
        <v>119</v>
      </c>
      <c r="N809" s="14" t="s">
        <v>119</v>
      </c>
      <c r="O809" s="34" t="s">
        <v>119</v>
      </c>
      <c r="P809" s="106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t="s">
        <v>119</v>
      </c>
      <c r="W809" s="11" t="s">
        <v>119</v>
      </c>
      <c r="X809" s="88" t="s">
        <v>134</v>
      </c>
    </row>
    <row r="810" spans="1:24" s="64" customFormat="1" x14ac:dyDescent="0.3">
      <c r="A810" s="12" t="s">
        <v>579</v>
      </c>
      <c r="B810" s="18" t="s">
        <v>119</v>
      </c>
      <c r="C810" s="14" t="s">
        <v>119</v>
      </c>
      <c r="D810" s="14" t="s">
        <v>119</v>
      </c>
      <c r="E810" s="14" t="s">
        <v>119</v>
      </c>
      <c r="F810" s="37" t="s">
        <v>119</v>
      </c>
      <c r="G810" s="37" t="s">
        <v>119</v>
      </c>
      <c r="H810" s="31" t="s">
        <v>119</v>
      </c>
      <c r="I810" s="31" t="s">
        <v>119</v>
      </c>
      <c r="J810" s="31" t="s">
        <v>119</v>
      </c>
      <c r="K810" s="31" t="s">
        <v>119</v>
      </c>
      <c r="L810" s="31" t="s">
        <v>119</v>
      </c>
      <c r="M810" s="31">
        <v>1</v>
      </c>
      <c r="N810" s="14" t="s">
        <v>119</v>
      </c>
      <c r="O810" s="34" t="s">
        <v>119</v>
      </c>
      <c r="P810" s="106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t="s">
        <v>119</v>
      </c>
      <c r="W810" s="11" t="s">
        <v>134</v>
      </c>
      <c r="X810" s="88" t="s">
        <v>119</v>
      </c>
    </row>
    <row r="811" spans="1:24" s="64" customFormat="1" x14ac:dyDescent="0.3">
      <c r="A811" s="12" t="s">
        <v>669</v>
      </c>
      <c r="B811" s="18" t="s">
        <v>119</v>
      </c>
      <c r="C811" s="14" t="s">
        <v>119</v>
      </c>
      <c r="D811" s="14" t="s">
        <v>119</v>
      </c>
      <c r="E811" s="14" t="s">
        <v>119</v>
      </c>
      <c r="F811" s="37" t="s">
        <v>119</v>
      </c>
      <c r="G811" s="37" t="s">
        <v>119</v>
      </c>
      <c r="H811" s="31" t="s">
        <v>119</v>
      </c>
      <c r="I811" s="31" t="s">
        <v>119</v>
      </c>
      <c r="J811" s="31" t="s">
        <v>119</v>
      </c>
      <c r="K811" s="31" t="s">
        <v>119</v>
      </c>
      <c r="L811" s="31" t="s">
        <v>119</v>
      </c>
      <c r="M811" s="31" t="s">
        <v>119</v>
      </c>
      <c r="N811" s="14">
        <f>3+1+1+1+1+2+3+1</f>
        <v>13</v>
      </c>
      <c r="O811" s="34" t="s">
        <v>119</v>
      </c>
      <c r="P811" s="106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t="s">
        <v>119</v>
      </c>
      <c r="W811" s="11" t="s">
        <v>119</v>
      </c>
      <c r="X811" s="88" t="s">
        <v>134</v>
      </c>
    </row>
    <row r="812" spans="1:24" s="64" customFormat="1" x14ac:dyDescent="0.3">
      <c r="A812" s="12" t="s">
        <v>698</v>
      </c>
      <c r="B812" s="18" t="s">
        <v>119</v>
      </c>
      <c r="C812" s="14" t="s">
        <v>119</v>
      </c>
      <c r="D812" s="14" t="s">
        <v>119</v>
      </c>
      <c r="E812" s="14" t="s">
        <v>119</v>
      </c>
      <c r="F812" s="37" t="s">
        <v>119</v>
      </c>
      <c r="G812" s="37" t="s">
        <v>134</v>
      </c>
      <c r="H812" s="31">
        <v>2</v>
      </c>
      <c r="I812" s="31" t="s">
        <v>119</v>
      </c>
      <c r="J812" s="31" t="s">
        <v>119</v>
      </c>
      <c r="K812" s="31" t="s">
        <v>119</v>
      </c>
      <c r="L812" s="31" t="s">
        <v>119</v>
      </c>
      <c r="M812" s="31" t="s">
        <v>119</v>
      </c>
      <c r="N812" s="14" t="s">
        <v>119</v>
      </c>
      <c r="O812" s="34" t="s">
        <v>119</v>
      </c>
      <c r="P812" s="106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t="s">
        <v>119</v>
      </c>
      <c r="W812" s="11" t="s">
        <v>134</v>
      </c>
      <c r="X812" s="88" t="s">
        <v>119</v>
      </c>
    </row>
    <row r="813" spans="1:24" s="64" customFormat="1" x14ac:dyDescent="0.3">
      <c r="A813" s="7" t="s">
        <v>308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>
        <v>1</v>
      </c>
      <c r="G813" s="37" t="s">
        <v>119</v>
      </c>
      <c r="H813" s="28" t="s">
        <v>134</v>
      </c>
      <c r="I813" s="28" t="s">
        <v>119</v>
      </c>
      <c r="J813" s="28" t="s">
        <v>119</v>
      </c>
      <c r="K813" s="28" t="s">
        <v>119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106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t="s">
        <v>119</v>
      </c>
      <c r="W813" s="11" t="s">
        <v>119</v>
      </c>
      <c r="X813" s="88" t="s">
        <v>119</v>
      </c>
    </row>
    <row r="814" spans="1:24" s="64" customFormat="1" x14ac:dyDescent="0.3">
      <c r="A814" s="7" t="s">
        <v>309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 t="s">
        <v>119</v>
      </c>
      <c r="I814" s="28" t="s">
        <v>119</v>
      </c>
      <c r="J814" s="28">
        <v>5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 t="s">
        <v>119</v>
      </c>
      <c r="P814" s="106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t="s">
        <v>119</v>
      </c>
      <c r="W814" s="11" t="s">
        <v>119</v>
      </c>
      <c r="X814" s="88" t="s">
        <v>119</v>
      </c>
    </row>
    <row r="815" spans="1:24" x14ac:dyDescent="0.3">
      <c r="A815" s="11" t="s">
        <v>297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 t="s">
        <v>119</v>
      </c>
      <c r="J815" s="28">
        <v>1</v>
      </c>
      <c r="K815" s="28">
        <v>7</v>
      </c>
      <c r="L815" s="27" t="s">
        <v>119</v>
      </c>
      <c r="M815" s="27" t="s">
        <v>119</v>
      </c>
      <c r="N815" s="4" t="s">
        <v>119</v>
      </c>
      <c r="O815" s="34" t="s">
        <v>119</v>
      </c>
      <c r="P815" s="106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t="s">
        <v>119</v>
      </c>
      <c r="W815" s="11" t="s">
        <v>119</v>
      </c>
      <c r="X815" s="11" t="s">
        <v>134</v>
      </c>
    </row>
    <row r="816" spans="1:24" x14ac:dyDescent="0.3">
      <c r="A816" s="5" t="s">
        <v>699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>
        <v>7</v>
      </c>
      <c r="I816" s="28" t="s">
        <v>119</v>
      </c>
      <c r="J816" s="28" t="s">
        <v>119</v>
      </c>
      <c r="K816" s="28" t="s">
        <v>119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106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t="s">
        <v>119</v>
      </c>
      <c r="W816" s="11" t="s">
        <v>119</v>
      </c>
      <c r="X816" s="11" t="s">
        <v>119</v>
      </c>
    </row>
    <row r="817" spans="1:24" x14ac:dyDescent="0.3">
      <c r="A817" s="5" t="s">
        <v>700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>
        <v>1</v>
      </c>
      <c r="H817" s="28" t="s">
        <v>119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106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t="s">
        <v>119</v>
      </c>
      <c r="W817" s="11" t="s">
        <v>119</v>
      </c>
      <c r="X817" s="11" t="s">
        <v>119</v>
      </c>
    </row>
    <row r="818" spans="1:24" s="11" customFormat="1" x14ac:dyDescent="0.3">
      <c r="A818" s="11" t="s">
        <v>1193</v>
      </c>
      <c r="B818" s="19" t="s">
        <v>119</v>
      </c>
      <c r="C818" s="19" t="s">
        <v>119</v>
      </c>
      <c r="D818" s="19" t="s">
        <v>119</v>
      </c>
      <c r="E818" s="19" t="s">
        <v>119</v>
      </c>
      <c r="F818" s="19" t="s">
        <v>119</v>
      </c>
      <c r="G818" s="19" t="s">
        <v>119</v>
      </c>
      <c r="H818" s="19" t="s">
        <v>119</v>
      </c>
      <c r="I818" s="19" t="s">
        <v>119</v>
      </c>
      <c r="J818" s="31" t="s">
        <v>134</v>
      </c>
      <c r="K818" s="32" t="s">
        <v>119</v>
      </c>
      <c r="L818" s="32" t="s">
        <v>119</v>
      </c>
      <c r="M818" s="32" t="s">
        <v>119</v>
      </c>
      <c r="N818" s="32" t="s">
        <v>119</v>
      </c>
      <c r="O818" s="32" t="s">
        <v>119</v>
      </c>
      <c r="P818" s="106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1" t="s">
        <v>134</v>
      </c>
      <c r="W818" s="11" t="s">
        <v>119</v>
      </c>
      <c r="X818" s="11" t="s">
        <v>119</v>
      </c>
    </row>
    <row r="819" spans="1:24" s="74" customFormat="1" x14ac:dyDescent="0.3">
      <c r="A819" s="74" t="s">
        <v>1144</v>
      </c>
      <c r="B819" s="19" t="s">
        <v>119</v>
      </c>
      <c r="C819" s="25" t="s">
        <v>119</v>
      </c>
      <c r="D819" s="25" t="s">
        <v>119</v>
      </c>
      <c r="E819" s="25" t="s">
        <v>119</v>
      </c>
      <c r="F819" s="32" t="s">
        <v>119</v>
      </c>
      <c r="G819" s="32" t="s">
        <v>119</v>
      </c>
      <c r="H819" s="32" t="s">
        <v>119</v>
      </c>
      <c r="I819" s="32" t="s">
        <v>119</v>
      </c>
      <c r="J819" s="32" t="s">
        <v>119</v>
      </c>
      <c r="K819" s="32" t="s">
        <v>119</v>
      </c>
      <c r="L819" s="32" t="s">
        <v>119</v>
      </c>
      <c r="M819" s="32" t="s">
        <v>119</v>
      </c>
      <c r="N819" s="25" t="s">
        <v>119</v>
      </c>
      <c r="O819" s="45">
        <v>13</v>
      </c>
      <c r="P819" s="128" t="s">
        <v>119</v>
      </c>
      <c r="Q819" s="128" t="s">
        <v>119</v>
      </c>
      <c r="R819" s="128" t="s">
        <v>119</v>
      </c>
      <c r="S819" s="128" t="s">
        <v>119</v>
      </c>
      <c r="T819" s="128" t="s">
        <v>119</v>
      </c>
      <c r="U819" s="128" t="s">
        <v>119</v>
      </c>
      <c r="V819" s="74" t="s">
        <v>134</v>
      </c>
      <c r="W819" s="11" t="s">
        <v>119</v>
      </c>
      <c r="X819" s="11" t="s">
        <v>119</v>
      </c>
    </row>
    <row r="820" spans="1:24" s="5" customFormat="1" x14ac:dyDescent="0.3">
      <c r="A820" s="11" t="s">
        <v>1194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28" t="s">
        <v>119</v>
      </c>
      <c r="I820" s="28" t="s">
        <v>119</v>
      </c>
      <c r="J820" s="28">
        <v>1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106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t="s">
        <v>134</v>
      </c>
      <c r="W820" s="11" t="s">
        <v>119</v>
      </c>
      <c r="X820" s="11" t="s">
        <v>119</v>
      </c>
    </row>
    <row r="821" spans="1:24" s="11" customFormat="1" x14ac:dyDescent="0.3">
      <c r="A821" s="11" t="s">
        <v>580</v>
      </c>
      <c r="B821" s="2" t="s">
        <v>119</v>
      </c>
      <c r="C821" s="1" t="s">
        <v>119</v>
      </c>
      <c r="D821" s="1" t="s">
        <v>119</v>
      </c>
      <c r="E821" s="1" t="s">
        <v>119</v>
      </c>
      <c r="F821" s="37" t="s">
        <v>119</v>
      </c>
      <c r="G821" s="37" t="s">
        <v>119</v>
      </c>
      <c r="H821" s="28" t="s">
        <v>119</v>
      </c>
      <c r="I821" s="28" t="s">
        <v>119</v>
      </c>
      <c r="J821" s="28" t="s">
        <v>119</v>
      </c>
      <c r="K821" s="28" t="s">
        <v>119</v>
      </c>
      <c r="L821" s="28" t="s">
        <v>119</v>
      </c>
      <c r="M821" s="28">
        <v>1</v>
      </c>
      <c r="N821" s="1" t="s">
        <v>119</v>
      </c>
      <c r="O821" s="34" t="s">
        <v>119</v>
      </c>
      <c r="P821" s="106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t="s">
        <v>119</v>
      </c>
      <c r="W821" s="11" t="s">
        <v>134</v>
      </c>
      <c r="X821" s="11" t="s">
        <v>119</v>
      </c>
    </row>
    <row r="822" spans="1:24" s="74" customFormat="1" x14ac:dyDescent="0.3">
      <c r="A822" s="11" t="s">
        <v>1132</v>
      </c>
      <c r="B822" s="2" t="s">
        <v>119</v>
      </c>
      <c r="C822" s="1" t="s">
        <v>119</v>
      </c>
      <c r="D822" s="1" t="s">
        <v>119</v>
      </c>
      <c r="E822" s="1" t="s">
        <v>119</v>
      </c>
      <c r="F822" s="37" t="s">
        <v>119</v>
      </c>
      <c r="G822" s="37" t="s">
        <v>119</v>
      </c>
      <c r="H822" s="28" t="s">
        <v>119</v>
      </c>
      <c r="I822" s="28" t="s">
        <v>119</v>
      </c>
      <c r="J822" s="28" t="s">
        <v>119</v>
      </c>
      <c r="K822" s="28">
        <v>2</v>
      </c>
      <c r="L822" s="27" t="s">
        <v>119</v>
      </c>
      <c r="M822" s="27" t="s">
        <v>119</v>
      </c>
      <c r="N822" s="1" t="s">
        <v>119</v>
      </c>
      <c r="O822" s="34" t="s">
        <v>119</v>
      </c>
      <c r="P822" s="106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t="s">
        <v>134</v>
      </c>
      <c r="W822" s="11" t="s">
        <v>119</v>
      </c>
      <c r="X822" s="11" t="s">
        <v>119</v>
      </c>
    </row>
    <row r="823" spans="1:24" s="5" customFormat="1" x14ac:dyDescent="0.3">
      <c r="A823" s="11" t="s">
        <v>581</v>
      </c>
      <c r="B823" s="2" t="s">
        <v>119</v>
      </c>
      <c r="C823" s="1" t="s">
        <v>119</v>
      </c>
      <c r="D823" s="1" t="s">
        <v>119</v>
      </c>
      <c r="E823" s="1" t="s">
        <v>119</v>
      </c>
      <c r="F823" s="37" t="s">
        <v>119</v>
      </c>
      <c r="G823" s="37" t="s">
        <v>119</v>
      </c>
      <c r="H823" s="28" t="s">
        <v>119</v>
      </c>
      <c r="I823" s="28" t="s">
        <v>119</v>
      </c>
      <c r="J823" s="28" t="s">
        <v>119</v>
      </c>
      <c r="K823" s="28" t="s">
        <v>119</v>
      </c>
      <c r="L823" s="27" t="s">
        <v>119</v>
      </c>
      <c r="M823" s="27" t="s">
        <v>134</v>
      </c>
      <c r="N823" s="1" t="s">
        <v>119</v>
      </c>
      <c r="O823" s="34" t="s">
        <v>119</v>
      </c>
      <c r="P823" s="106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t="s">
        <v>119</v>
      </c>
      <c r="W823" s="11" t="s">
        <v>134</v>
      </c>
      <c r="X823" s="11" t="s">
        <v>119</v>
      </c>
    </row>
    <row r="824" spans="1:24" s="5" customFormat="1" x14ac:dyDescent="0.3">
      <c r="A824" s="11" t="s">
        <v>1196</v>
      </c>
      <c r="B824" s="2" t="s">
        <v>119</v>
      </c>
      <c r="C824" s="2" t="s">
        <v>119</v>
      </c>
      <c r="D824" s="2" t="s">
        <v>119</v>
      </c>
      <c r="E824" s="2" t="s">
        <v>119</v>
      </c>
      <c r="F824" s="2" t="s">
        <v>119</v>
      </c>
      <c r="G824" s="2" t="s">
        <v>119</v>
      </c>
      <c r="H824" s="2" t="s">
        <v>119</v>
      </c>
      <c r="I824" s="2" t="s">
        <v>119</v>
      </c>
      <c r="J824" s="28" t="s">
        <v>134</v>
      </c>
      <c r="K824" s="28" t="s">
        <v>119</v>
      </c>
      <c r="L824" s="28" t="s">
        <v>119</v>
      </c>
      <c r="M824" s="28" t="s">
        <v>119</v>
      </c>
      <c r="N824" s="28" t="s">
        <v>119</v>
      </c>
      <c r="O824" s="28" t="s">
        <v>119</v>
      </c>
      <c r="P824" s="106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t="s">
        <v>134</v>
      </c>
      <c r="W824" s="11" t="s">
        <v>119</v>
      </c>
      <c r="X824" s="11" t="s">
        <v>119</v>
      </c>
    </row>
    <row r="825" spans="1:24" s="5" customFormat="1" x14ac:dyDescent="0.3">
      <c r="A825" s="11" t="s">
        <v>582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7" t="s">
        <v>119</v>
      </c>
      <c r="M825" s="27" t="s">
        <v>134</v>
      </c>
      <c r="N825" s="1" t="s">
        <v>119</v>
      </c>
      <c r="O825" s="34" t="s">
        <v>119</v>
      </c>
      <c r="P825" s="106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t="s">
        <v>119</v>
      </c>
      <c r="W825" s="11" t="s">
        <v>134</v>
      </c>
      <c r="X825" s="11" t="s">
        <v>119</v>
      </c>
    </row>
    <row r="826" spans="1:24" s="5" customFormat="1" x14ac:dyDescent="0.3">
      <c r="A826" s="11" t="s">
        <v>1195</v>
      </c>
      <c r="B826" s="2" t="s">
        <v>119</v>
      </c>
      <c r="C826" s="2" t="s">
        <v>119</v>
      </c>
      <c r="D826" s="2" t="s">
        <v>119</v>
      </c>
      <c r="E826" s="2" t="s">
        <v>119</v>
      </c>
      <c r="F826" s="2" t="s">
        <v>119</v>
      </c>
      <c r="G826" s="2" t="s">
        <v>119</v>
      </c>
      <c r="H826" s="2" t="s">
        <v>119</v>
      </c>
      <c r="I826" s="2" t="s">
        <v>119</v>
      </c>
      <c r="J826" s="28" t="s">
        <v>134</v>
      </c>
      <c r="K826" s="28" t="s">
        <v>119</v>
      </c>
      <c r="L826" s="28" t="s">
        <v>119</v>
      </c>
      <c r="M826" s="28" t="s">
        <v>119</v>
      </c>
      <c r="N826" s="28" t="s">
        <v>119</v>
      </c>
      <c r="O826" s="28" t="s">
        <v>119</v>
      </c>
      <c r="P826" s="106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t="s">
        <v>134</v>
      </c>
      <c r="W826" s="11" t="s">
        <v>119</v>
      </c>
      <c r="X826" s="11" t="s">
        <v>119</v>
      </c>
    </row>
    <row r="827" spans="1:24" s="5" customFormat="1" x14ac:dyDescent="0.3">
      <c r="A827" s="11" t="s">
        <v>583</v>
      </c>
      <c r="B827" s="2" t="s">
        <v>119</v>
      </c>
      <c r="C827" s="1" t="s">
        <v>119</v>
      </c>
      <c r="D827" s="1" t="s">
        <v>119</v>
      </c>
      <c r="E827" s="1" t="s">
        <v>119</v>
      </c>
      <c r="F827" s="37" t="s">
        <v>119</v>
      </c>
      <c r="G827" s="37" t="s">
        <v>119</v>
      </c>
      <c r="H827" s="28" t="s">
        <v>119</v>
      </c>
      <c r="I827" s="28" t="s">
        <v>119</v>
      </c>
      <c r="J827" s="28" t="s">
        <v>119</v>
      </c>
      <c r="K827" s="28" t="s">
        <v>119</v>
      </c>
      <c r="L827" s="27" t="s">
        <v>119</v>
      </c>
      <c r="M827" s="27">
        <f>1+2+7+1+1</f>
        <v>12</v>
      </c>
      <c r="N827" s="1" t="s">
        <v>119</v>
      </c>
      <c r="O827" s="34" t="s">
        <v>119</v>
      </c>
      <c r="P827" s="106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t="s">
        <v>119</v>
      </c>
      <c r="W827" s="11" t="s">
        <v>134</v>
      </c>
      <c r="X827" s="11" t="s">
        <v>119</v>
      </c>
    </row>
    <row r="828" spans="1:24" s="88" customFormat="1" x14ac:dyDescent="0.3">
      <c r="A828" s="11" t="s">
        <v>1197</v>
      </c>
      <c r="B828" s="2" t="s">
        <v>119</v>
      </c>
      <c r="C828" s="1" t="s">
        <v>119</v>
      </c>
      <c r="D828" s="1" t="s">
        <v>119</v>
      </c>
      <c r="E828" s="1" t="s">
        <v>119</v>
      </c>
      <c r="F828" s="37" t="s">
        <v>119</v>
      </c>
      <c r="G828" s="37" t="s">
        <v>119</v>
      </c>
      <c r="H828" s="28" t="s">
        <v>119</v>
      </c>
      <c r="I828" s="28" t="s">
        <v>119</v>
      </c>
      <c r="J828" s="28">
        <v>19</v>
      </c>
      <c r="K828" s="28" t="s">
        <v>119</v>
      </c>
      <c r="L828" s="28" t="s">
        <v>119</v>
      </c>
      <c r="M828" s="28" t="s">
        <v>119</v>
      </c>
      <c r="N828" s="1" t="s">
        <v>119</v>
      </c>
      <c r="O828" s="34" t="s">
        <v>119</v>
      </c>
      <c r="P828" s="106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t="s">
        <v>134</v>
      </c>
      <c r="W828" s="11" t="s">
        <v>119</v>
      </c>
      <c r="X828" s="88" t="s">
        <v>119</v>
      </c>
    </row>
    <row r="829" spans="1:24" s="74" customFormat="1" x14ac:dyDescent="0.3">
      <c r="A829" s="11" t="s">
        <v>584</v>
      </c>
      <c r="B829" s="2" t="s">
        <v>119</v>
      </c>
      <c r="C829" s="1" t="s">
        <v>119</v>
      </c>
      <c r="D829" s="1" t="s">
        <v>119</v>
      </c>
      <c r="E829" s="1" t="s">
        <v>119</v>
      </c>
      <c r="F829" s="37" t="s">
        <v>119</v>
      </c>
      <c r="G829" s="37" t="s">
        <v>119</v>
      </c>
      <c r="H829" s="28" t="s">
        <v>119</v>
      </c>
      <c r="I829" s="28" t="s">
        <v>119</v>
      </c>
      <c r="J829" s="28" t="s">
        <v>119</v>
      </c>
      <c r="K829" s="28" t="s">
        <v>119</v>
      </c>
      <c r="L829" s="28" t="s">
        <v>119</v>
      </c>
      <c r="M829" s="28" t="s">
        <v>134</v>
      </c>
      <c r="N829" s="1" t="s">
        <v>119</v>
      </c>
      <c r="O829" s="34" t="s">
        <v>119</v>
      </c>
      <c r="P829" s="106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t="s">
        <v>119</v>
      </c>
      <c r="W829" s="11" t="s">
        <v>134</v>
      </c>
      <c r="X829" s="11" t="s">
        <v>119</v>
      </c>
    </row>
    <row r="830" spans="1:24" s="74" customFormat="1" x14ac:dyDescent="0.3">
      <c r="A830" s="11" t="s">
        <v>1198</v>
      </c>
      <c r="B830" s="2" t="s">
        <v>119</v>
      </c>
      <c r="C830" s="2" t="s">
        <v>119</v>
      </c>
      <c r="D830" s="2" t="s">
        <v>119</v>
      </c>
      <c r="E830" s="2" t="s">
        <v>119</v>
      </c>
      <c r="F830" s="2" t="s">
        <v>119</v>
      </c>
      <c r="G830" s="2" t="s">
        <v>119</v>
      </c>
      <c r="H830" s="2" t="s">
        <v>119</v>
      </c>
      <c r="I830" s="2" t="s">
        <v>119</v>
      </c>
      <c r="J830" s="28" t="s">
        <v>134</v>
      </c>
      <c r="K830" s="28" t="s">
        <v>119</v>
      </c>
      <c r="L830" s="28" t="s">
        <v>119</v>
      </c>
      <c r="M830" s="28" t="s">
        <v>119</v>
      </c>
      <c r="N830" s="28" t="s">
        <v>119</v>
      </c>
      <c r="O830" s="28" t="s">
        <v>119</v>
      </c>
      <c r="P830" s="106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t="s">
        <v>134</v>
      </c>
      <c r="W830" s="11" t="s">
        <v>119</v>
      </c>
      <c r="X830" s="11" t="s">
        <v>119</v>
      </c>
    </row>
    <row r="831" spans="1:24" s="74" customFormat="1" x14ac:dyDescent="0.3">
      <c r="A831" s="74" t="s">
        <v>1145</v>
      </c>
      <c r="B831" s="19" t="s">
        <v>119</v>
      </c>
      <c r="C831" s="25" t="s">
        <v>119</v>
      </c>
      <c r="D831" s="25" t="s">
        <v>119</v>
      </c>
      <c r="E831" s="25" t="s">
        <v>119</v>
      </c>
      <c r="F831" s="32" t="s">
        <v>119</v>
      </c>
      <c r="G831" s="32" t="s">
        <v>119</v>
      </c>
      <c r="H831" s="32" t="s">
        <v>119</v>
      </c>
      <c r="I831" s="32" t="s">
        <v>119</v>
      </c>
      <c r="J831" s="32" t="s">
        <v>119</v>
      </c>
      <c r="K831" s="32" t="s">
        <v>119</v>
      </c>
      <c r="L831" s="32" t="s">
        <v>119</v>
      </c>
      <c r="M831" s="32" t="s">
        <v>119</v>
      </c>
      <c r="N831" s="25" t="s">
        <v>119</v>
      </c>
      <c r="O831" s="45">
        <v>4</v>
      </c>
      <c r="P831" s="128" t="s">
        <v>119</v>
      </c>
      <c r="Q831" s="128" t="s">
        <v>119</v>
      </c>
      <c r="R831" s="128" t="s">
        <v>119</v>
      </c>
      <c r="S831" s="128" t="s">
        <v>119</v>
      </c>
      <c r="T831" s="128" t="s">
        <v>119</v>
      </c>
      <c r="U831" s="128" t="s">
        <v>119</v>
      </c>
      <c r="V831" s="74" t="s">
        <v>134</v>
      </c>
      <c r="W831" s="11" t="s">
        <v>119</v>
      </c>
      <c r="X831" s="11" t="s">
        <v>119</v>
      </c>
    </row>
    <row r="832" spans="1:24" s="74" customFormat="1" x14ac:dyDescent="0.3">
      <c r="A832" s="74" t="s">
        <v>1245</v>
      </c>
      <c r="B832" s="19" t="s">
        <v>119</v>
      </c>
      <c r="C832" s="25" t="s">
        <v>119</v>
      </c>
      <c r="D832" s="25" t="s">
        <v>119</v>
      </c>
      <c r="E832" s="25" t="s">
        <v>119</v>
      </c>
      <c r="F832" s="37" t="s">
        <v>119</v>
      </c>
      <c r="G832" s="32" t="s">
        <v>119</v>
      </c>
      <c r="H832" s="32" t="s">
        <v>119</v>
      </c>
      <c r="I832" s="33">
        <f>1+1+2+2+1+1+1+1+1</f>
        <v>11</v>
      </c>
      <c r="J832" s="32" t="s">
        <v>119</v>
      </c>
      <c r="K832" s="32" t="s">
        <v>119</v>
      </c>
      <c r="L832" s="32" t="s">
        <v>119</v>
      </c>
      <c r="M832" s="32" t="s">
        <v>119</v>
      </c>
      <c r="N832" s="25" t="s">
        <v>119</v>
      </c>
      <c r="O832" s="34" t="s">
        <v>119</v>
      </c>
      <c r="P832" s="106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t="s">
        <v>134</v>
      </c>
      <c r="W832" s="11" t="s">
        <v>119</v>
      </c>
      <c r="X832" s="11" t="s">
        <v>119</v>
      </c>
    </row>
    <row r="833" spans="1:24" s="74" customFormat="1" x14ac:dyDescent="0.3">
      <c r="A833" s="5" t="s">
        <v>585</v>
      </c>
      <c r="B833" s="6" t="s">
        <v>119</v>
      </c>
      <c r="C833" s="10" t="s">
        <v>119</v>
      </c>
      <c r="D833" s="10" t="s">
        <v>119</v>
      </c>
      <c r="E833" s="10" t="s">
        <v>119</v>
      </c>
      <c r="F833" s="37" t="s">
        <v>119</v>
      </c>
      <c r="G833" s="37" t="s">
        <v>119</v>
      </c>
      <c r="H833" s="29" t="s">
        <v>119</v>
      </c>
      <c r="I833" s="29" t="s">
        <v>119</v>
      </c>
      <c r="J833" s="29">
        <v>2</v>
      </c>
      <c r="K833" s="29" t="s">
        <v>119</v>
      </c>
      <c r="L833" s="29">
        <v>1</v>
      </c>
      <c r="M833" s="29" t="s">
        <v>119</v>
      </c>
      <c r="N833" s="1" t="s">
        <v>119</v>
      </c>
      <c r="O833" s="34" t="s">
        <v>119</v>
      </c>
      <c r="P833" s="106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t="s">
        <v>119</v>
      </c>
      <c r="W833" s="11" t="s">
        <v>119</v>
      </c>
      <c r="X833" s="11" t="s">
        <v>119</v>
      </c>
    </row>
    <row r="834" spans="1:24" s="74" customFormat="1" x14ac:dyDescent="0.3">
      <c r="A834" s="11" t="s">
        <v>586</v>
      </c>
      <c r="B834" s="18" t="s">
        <v>119</v>
      </c>
      <c r="C834" s="14" t="s">
        <v>119</v>
      </c>
      <c r="D834" s="14" t="s">
        <v>119</v>
      </c>
      <c r="E834" s="14" t="s">
        <v>119</v>
      </c>
      <c r="F834" s="37" t="s">
        <v>119</v>
      </c>
      <c r="G834" s="37" t="s">
        <v>119</v>
      </c>
      <c r="H834" s="31" t="s">
        <v>119</v>
      </c>
      <c r="I834" s="31">
        <v>4</v>
      </c>
      <c r="J834" s="31" t="s">
        <v>119</v>
      </c>
      <c r="K834" s="31" t="s">
        <v>119</v>
      </c>
      <c r="L834" s="31" t="s">
        <v>119</v>
      </c>
      <c r="M834" s="31">
        <v>1</v>
      </c>
      <c r="N834" s="1" t="s">
        <v>119</v>
      </c>
      <c r="O834" s="34" t="s">
        <v>119</v>
      </c>
      <c r="P834" s="106" t="s">
        <v>119</v>
      </c>
      <c r="Q834" s="106" t="s">
        <v>119</v>
      </c>
      <c r="R834" s="106" t="s">
        <v>119</v>
      </c>
      <c r="S834" s="106" t="s">
        <v>119</v>
      </c>
      <c r="T834" s="106" t="s">
        <v>119</v>
      </c>
      <c r="U834" s="106" t="s">
        <v>119</v>
      </c>
      <c r="V834" t="s">
        <v>119</v>
      </c>
      <c r="W834" s="11" t="s">
        <v>134</v>
      </c>
      <c r="X834" s="11" t="s">
        <v>119</v>
      </c>
    </row>
    <row r="835" spans="1:24" s="74" customFormat="1" x14ac:dyDescent="0.3">
      <c r="A835" s="74" t="s">
        <v>1246</v>
      </c>
      <c r="B835" s="19" t="s">
        <v>119</v>
      </c>
      <c r="C835" s="25" t="s">
        <v>119</v>
      </c>
      <c r="D835" s="25" t="s">
        <v>119</v>
      </c>
      <c r="E835" s="25" t="s">
        <v>119</v>
      </c>
      <c r="F835" s="37" t="s">
        <v>119</v>
      </c>
      <c r="G835" s="37" t="s">
        <v>119</v>
      </c>
      <c r="H835" s="32" t="s">
        <v>119</v>
      </c>
      <c r="I835" s="32" t="s">
        <v>119</v>
      </c>
      <c r="J835" s="32" t="s">
        <v>119</v>
      </c>
      <c r="K835" s="32" t="s">
        <v>119</v>
      </c>
      <c r="L835" s="32" t="s">
        <v>119</v>
      </c>
      <c r="M835" s="32" t="s">
        <v>134</v>
      </c>
      <c r="N835" s="1" t="s">
        <v>119</v>
      </c>
      <c r="O835" s="34" t="s">
        <v>119</v>
      </c>
      <c r="P835" s="106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t="s">
        <v>134</v>
      </c>
      <c r="W835" s="11" t="s">
        <v>119</v>
      </c>
      <c r="X835" s="11" t="s">
        <v>119</v>
      </c>
    </row>
    <row r="836" spans="1:24" s="5" customFormat="1" x14ac:dyDescent="0.3">
      <c r="A836" s="5" t="s">
        <v>736</v>
      </c>
      <c r="B836" s="6" t="s">
        <v>119</v>
      </c>
      <c r="C836" s="10" t="s">
        <v>119</v>
      </c>
      <c r="D836" s="10" t="s">
        <v>119</v>
      </c>
      <c r="E836" s="10" t="s">
        <v>119</v>
      </c>
      <c r="F836" s="37" t="s">
        <v>119</v>
      </c>
      <c r="G836" s="29" t="s">
        <v>119</v>
      </c>
      <c r="H836" s="29" t="s">
        <v>119</v>
      </c>
      <c r="I836" s="29">
        <v>2</v>
      </c>
      <c r="J836" s="29" t="s">
        <v>119</v>
      </c>
      <c r="K836" s="29" t="s">
        <v>119</v>
      </c>
      <c r="L836" s="29" t="s">
        <v>119</v>
      </c>
      <c r="M836" s="29" t="s">
        <v>119</v>
      </c>
      <c r="N836" s="10" t="s">
        <v>119</v>
      </c>
      <c r="O836" s="34" t="s">
        <v>119</v>
      </c>
      <c r="P836" s="106" t="s">
        <v>119</v>
      </c>
      <c r="Q836" s="106" t="s">
        <v>119</v>
      </c>
      <c r="R836" s="106" t="s">
        <v>119</v>
      </c>
      <c r="S836" s="106" t="s">
        <v>119</v>
      </c>
      <c r="T836" s="106" t="s">
        <v>119</v>
      </c>
      <c r="U836" s="106" t="s">
        <v>119</v>
      </c>
      <c r="V836" t="s">
        <v>119</v>
      </c>
      <c r="W836" s="11" t="s">
        <v>119</v>
      </c>
      <c r="X836" s="11" t="s">
        <v>119</v>
      </c>
    </row>
    <row r="837" spans="1:24" s="5" customFormat="1" x14ac:dyDescent="0.3">
      <c r="A837" s="5" t="s">
        <v>737</v>
      </c>
      <c r="B837" s="6" t="s">
        <v>119</v>
      </c>
      <c r="C837" s="10" t="s">
        <v>119</v>
      </c>
      <c r="D837" s="10" t="s">
        <v>119</v>
      </c>
      <c r="E837" s="10" t="s">
        <v>119</v>
      </c>
      <c r="F837" s="37" t="s">
        <v>119</v>
      </c>
      <c r="G837" s="29" t="s">
        <v>119</v>
      </c>
      <c r="H837" s="29" t="s">
        <v>119</v>
      </c>
      <c r="I837" s="29">
        <v>1</v>
      </c>
      <c r="J837" s="29" t="s">
        <v>119</v>
      </c>
      <c r="K837" s="29" t="s">
        <v>119</v>
      </c>
      <c r="L837" s="29" t="s">
        <v>119</v>
      </c>
      <c r="M837" s="29" t="s">
        <v>119</v>
      </c>
      <c r="N837" s="10" t="s">
        <v>119</v>
      </c>
      <c r="O837" s="34" t="s">
        <v>119</v>
      </c>
      <c r="P837" s="106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t="s">
        <v>119</v>
      </c>
      <c r="W837" s="11" t="s">
        <v>119</v>
      </c>
      <c r="X837" s="11" t="s">
        <v>119</v>
      </c>
    </row>
    <row r="838" spans="1:24" s="74" customFormat="1" x14ac:dyDescent="0.3">
      <c r="A838" s="5" t="s">
        <v>587</v>
      </c>
      <c r="B838" s="6" t="s">
        <v>119</v>
      </c>
      <c r="C838" s="10" t="s">
        <v>119</v>
      </c>
      <c r="D838" s="10" t="s">
        <v>119</v>
      </c>
      <c r="E838" s="10" t="s">
        <v>119</v>
      </c>
      <c r="F838" s="37" t="s">
        <v>119</v>
      </c>
      <c r="G838" s="37" t="s">
        <v>119</v>
      </c>
      <c r="H838" s="29" t="s">
        <v>134</v>
      </c>
      <c r="I838" s="29" t="s">
        <v>119</v>
      </c>
      <c r="J838" s="29" t="s">
        <v>119</v>
      </c>
      <c r="K838" s="30" t="s">
        <v>119</v>
      </c>
      <c r="L838" s="29" t="s">
        <v>119</v>
      </c>
      <c r="M838" s="29" t="s">
        <v>119</v>
      </c>
      <c r="N838" s="1" t="s">
        <v>119</v>
      </c>
      <c r="O838" s="34" t="s">
        <v>119</v>
      </c>
      <c r="P838" s="106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t="s">
        <v>119</v>
      </c>
      <c r="W838" s="11" t="s">
        <v>119</v>
      </c>
      <c r="X838" s="11" t="s">
        <v>119</v>
      </c>
    </row>
    <row r="839" spans="1:24" s="74" customFormat="1" x14ac:dyDescent="0.3">
      <c r="A839" s="5" t="s">
        <v>588</v>
      </c>
      <c r="B839" s="6" t="s">
        <v>119</v>
      </c>
      <c r="C839" s="10" t="s">
        <v>119</v>
      </c>
      <c r="D839" s="10" t="s">
        <v>119</v>
      </c>
      <c r="E839" s="10" t="s">
        <v>119</v>
      </c>
      <c r="F839" s="37" t="s">
        <v>119</v>
      </c>
      <c r="G839" s="37" t="s">
        <v>119</v>
      </c>
      <c r="H839" s="29" t="s">
        <v>134</v>
      </c>
      <c r="I839" s="29" t="s">
        <v>119</v>
      </c>
      <c r="J839" s="29" t="s">
        <v>119</v>
      </c>
      <c r="K839" s="29" t="s">
        <v>119</v>
      </c>
      <c r="L839" s="29" t="s">
        <v>119</v>
      </c>
      <c r="M839" s="29" t="s">
        <v>119</v>
      </c>
      <c r="N839" s="1" t="s">
        <v>119</v>
      </c>
      <c r="O839" s="34" t="s">
        <v>119</v>
      </c>
      <c r="P839" s="106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t="s">
        <v>119</v>
      </c>
      <c r="W839" s="11" t="s">
        <v>119</v>
      </c>
      <c r="X839" s="11" t="s">
        <v>119</v>
      </c>
    </row>
    <row r="840" spans="1:24" s="11" customFormat="1" x14ac:dyDescent="0.3">
      <c r="A840" s="5" t="s">
        <v>589</v>
      </c>
      <c r="B840" s="6" t="s">
        <v>119</v>
      </c>
      <c r="C840" s="10" t="s">
        <v>119</v>
      </c>
      <c r="D840" s="10" t="s">
        <v>119</v>
      </c>
      <c r="E840" s="10" t="s">
        <v>119</v>
      </c>
      <c r="F840" s="37" t="s">
        <v>119</v>
      </c>
      <c r="G840" s="37" t="s">
        <v>119</v>
      </c>
      <c r="H840" s="29">
        <v>1</v>
      </c>
      <c r="I840" s="29" t="s">
        <v>119</v>
      </c>
      <c r="J840" s="29" t="s">
        <v>119</v>
      </c>
      <c r="K840" s="29" t="s">
        <v>119</v>
      </c>
      <c r="L840" s="29" t="s">
        <v>119</v>
      </c>
      <c r="M840" s="29" t="s">
        <v>119</v>
      </c>
      <c r="N840" s="1" t="s">
        <v>119</v>
      </c>
      <c r="O840" s="34" t="s">
        <v>119</v>
      </c>
      <c r="P840" s="106" t="s">
        <v>119</v>
      </c>
      <c r="Q840" s="106" t="s">
        <v>119</v>
      </c>
      <c r="R840" s="106" t="s">
        <v>119</v>
      </c>
      <c r="S840" s="106" t="s">
        <v>119</v>
      </c>
      <c r="T840" s="106" t="s">
        <v>119</v>
      </c>
      <c r="U840" s="106" t="s">
        <v>119</v>
      </c>
      <c r="V840" t="s">
        <v>119</v>
      </c>
      <c r="W840" s="11" t="s">
        <v>119</v>
      </c>
      <c r="X840" s="11" t="s">
        <v>119</v>
      </c>
    </row>
    <row r="841" spans="1:24" s="51" customFormat="1" x14ac:dyDescent="0.3">
      <c r="A841" s="70" t="s">
        <v>312</v>
      </c>
      <c r="B841" s="48"/>
      <c r="C841" s="49"/>
      <c r="D841" s="49"/>
      <c r="E841" s="49"/>
      <c r="F841" s="92"/>
      <c r="G841" s="92"/>
      <c r="H841" s="50"/>
      <c r="I841" s="50"/>
      <c r="J841" s="50"/>
      <c r="K841" s="50"/>
      <c r="L841" s="50"/>
      <c r="M841" s="50"/>
      <c r="N841" s="49"/>
      <c r="O841" s="50"/>
      <c r="P841" s="105"/>
      <c r="Q841" s="105"/>
      <c r="R841" s="105"/>
      <c r="S841" s="105"/>
      <c r="T841" s="105"/>
      <c r="U841" s="105"/>
      <c r="V841" t="s">
        <v>119</v>
      </c>
      <c r="W841" s="11" t="str">
        <f t="shared" ref="W841:W844" si="12">IF(SUM(P841:U841)&gt;=1,"X","")</f>
        <v/>
      </c>
      <c r="X841" s="84"/>
    </row>
    <row r="842" spans="1:24" x14ac:dyDescent="0.3">
      <c r="A842" s="21" t="s">
        <v>1253</v>
      </c>
      <c r="B842" s="22">
        <v>7</v>
      </c>
      <c r="C842" s="24">
        <v>0</v>
      </c>
      <c r="D842" s="24">
        <v>0</v>
      </c>
      <c r="E842" s="24">
        <v>0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32" t="s">
        <v>119</v>
      </c>
      <c r="L842" s="28" t="s">
        <v>119</v>
      </c>
      <c r="M842" s="28" t="s">
        <v>119</v>
      </c>
      <c r="N842" s="1" t="s">
        <v>119</v>
      </c>
      <c r="O842" s="28" t="s">
        <v>119</v>
      </c>
      <c r="P842" s="106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t="s">
        <v>134</v>
      </c>
      <c r="W842" s="11" t="s">
        <v>119</v>
      </c>
      <c r="X842" s="11" t="s">
        <v>119</v>
      </c>
    </row>
    <row r="843" spans="1:24" x14ac:dyDescent="0.3">
      <c r="A843" s="3" t="s">
        <v>152</v>
      </c>
      <c r="B843" s="17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>
        <v>2</v>
      </c>
      <c r="I843" s="28" t="s">
        <v>119</v>
      </c>
      <c r="J843" s="28" t="s">
        <v>119</v>
      </c>
      <c r="K843" s="32" t="s">
        <v>119</v>
      </c>
      <c r="L843" s="28" t="s">
        <v>119</v>
      </c>
      <c r="M843" s="28" t="s">
        <v>119</v>
      </c>
      <c r="N843" s="1" t="s">
        <v>119</v>
      </c>
      <c r="O843" s="28" t="s">
        <v>119</v>
      </c>
      <c r="P843" s="106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t="s">
        <v>119</v>
      </c>
      <c r="W843" s="11" t="s">
        <v>134</v>
      </c>
      <c r="X843" s="11" t="s">
        <v>134</v>
      </c>
    </row>
    <row r="844" spans="1:24" s="51" customFormat="1" x14ac:dyDescent="0.3">
      <c r="A844" s="70" t="s">
        <v>313</v>
      </c>
      <c r="B844" s="48"/>
      <c r="C844" s="49"/>
      <c r="D844" s="49"/>
      <c r="E844" s="49"/>
      <c r="F844" s="92"/>
      <c r="G844" s="92"/>
      <c r="H844" s="50"/>
      <c r="I844" s="50"/>
      <c r="J844" s="50"/>
      <c r="K844" s="72"/>
      <c r="L844" s="50"/>
      <c r="M844" s="50"/>
      <c r="N844" s="49"/>
      <c r="O844" s="50"/>
      <c r="P844" s="105"/>
      <c r="Q844" s="105"/>
      <c r="R844" s="105"/>
      <c r="S844" s="105"/>
      <c r="T844" s="105"/>
      <c r="U844" s="105"/>
      <c r="V844" t="s">
        <v>119</v>
      </c>
      <c r="W844" s="11" t="str">
        <f t="shared" si="12"/>
        <v/>
      </c>
      <c r="X844" s="84"/>
    </row>
    <row r="845" spans="1:24" s="88" customFormat="1" x14ac:dyDescent="0.3">
      <c r="A845" s="88" t="s">
        <v>1108</v>
      </c>
      <c r="B845" s="47" t="s">
        <v>119</v>
      </c>
      <c r="C845" s="12" t="s">
        <v>119</v>
      </c>
      <c r="D845" s="12" t="s">
        <v>119</v>
      </c>
      <c r="E845" s="12" t="s">
        <v>119</v>
      </c>
      <c r="F845" s="34" t="s">
        <v>119</v>
      </c>
      <c r="G845" s="34" t="s">
        <v>119</v>
      </c>
      <c r="H845" s="34" t="s">
        <v>119</v>
      </c>
      <c r="I845" s="34" t="s">
        <v>119</v>
      </c>
      <c r="J845" s="34" t="s">
        <v>119</v>
      </c>
      <c r="K845" s="34">
        <v>1</v>
      </c>
      <c r="L845" s="34" t="s">
        <v>119</v>
      </c>
      <c r="M845" s="34" t="s">
        <v>119</v>
      </c>
      <c r="N845" s="12" t="s">
        <v>119</v>
      </c>
      <c r="O845" s="34" t="s">
        <v>119</v>
      </c>
      <c r="P845" s="108" t="s">
        <v>119</v>
      </c>
      <c r="Q845" s="108" t="s">
        <v>119</v>
      </c>
      <c r="R845" s="108" t="s">
        <v>119</v>
      </c>
      <c r="S845" s="108" t="s">
        <v>119</v>
      </c>
      <c r="T845" s="108" t="s">
        <v>119</v>
      </c>
      <c r="U845" s="108" t="s">
        <v>119</v>
      </c>
      <c r="V845" s="88" t="s">
        <v>119</v>
      </c>
      <c r="W845" s="11" t="s">
        <v>119</v>
      </c>
      <c r="X845" s="88" t="s">
        <v>119</v>
      </c>
    </row>
    <row r="846" spans="1:24" x14ac:dyDescent="0.3">
      <c r="A846" s="13" t="s">
        <v>180</v>
      </c>
      <c r="B846" s="18" t="s">
        <v>119</v>
      </c>
      <c r="C846" s="12" t="s">
        <v>119</v>
      </c>
      <c r="D846" s="12" t="s">
        <v>119</v>
      </c>
      <c r="E846" s="14" t="s">
        <v>119</v>
      </c>
      <c r="F846" s="37" t="s">
        <v>119</v>
      </c>
      <c r="G846" s="37" t="s">
        <v>119</v>
      </c>
      <c r="H846" s="31" t="s">
        <v>119</v>
      </c>
      <c r="I846" s="31">
        <v>1</v>
      </c>
      <c r="J846" s="31">
        <v>6</v>
      </c>
      <c r="K846" s="31" t="s">
        <v>119</v>
      </c>
      <c r="L846" s="28" t="s">
        <v>119</v>
      </c>
      <c r="M846" s="28">
        <v>43</v>
      </c>
      <c r="N846" s="1" t="s">
        <v>119</v>
      </c>
      <c r="O846" s="34" t="s">
        <v>119</v>
      </c>
      <c r="P846" s="106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t="s">
        <v>119</v>
      </c>
      <c r="W846" s="11" t="s">
        <v>119</v>
      </c>
      <c r="X846" s="11" t="s">
        <v>119</v>
      </c>
    </row>
    <row r="847" spans="1:24" x14ac:dyDescent="0.3">
      <c r="A847" s="13" t="s">
        <v>1117</v>
      </c>
      <c r="B847" s="18" t="s">
        <v>119</v>
      </c>
      <c r="C847" s="12" t="s">
        <v>119</v>
      </c>
      <c r="D847" s="12" t="s">
        <v>119</v>
      </c>
      <c r="E847" s="14" t="s">
        <v>119</v>
      </c>
      <c r="F847" s="37" t="s">
        <v>119</v>
      </c>
      <c r="G847" s="37" t="s">
        <v>119</v>
      </c>
      <c r="H847" s="31" t="s">
        <v>119</v>
      </c>
      <c r="I847" s="31" t="s">
        <v>119</v>
      </c>
      <c r="J847" s="31" t="s">
        <v>119</v>
      </c>
      <c r="K847" s="13" t="s">
        <v>119</v>
      </c>
      <c r="L847" s="28" t="s">
        <v>119</v>
      </c>
      <c r="M847" s="28">
        <v>2</v>
      </c>
      <c r="N847" s="1" t="s">
        <v>119</v>
      </c>
      <c r="O847" s="34" t="s">
        <v>119</v>
      </c>
      <c r="P847" s="106" t="s">
        <v>119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t="s">
        <v>119</v>
      </c>
      <c r="W847" s="11" t="s">
        <v>119</v>
      </c>
      <c r="X847" s="11" t="s">
        <v>134</v>
      </c>
    </row>
    <row r="848" spans="1:24" x14ac:dyDescent="0.3">
      <c r="A848" s="13" t="s">
        <v>1109</v>
      </c>
      <c r="B848" s="18" t="s">
        <v>119</v>
      </c>
      <c r="C848" s="12" t="s">
        <v>119</v>
      </c>
      <c r="D848" s="12" t="s">
        <v>119</v>
      </c>
      <c r="E848" s="14" t="s">
        <v>119</v>
      </c>
      <c r="F848" s="37" t="s">
        <v>119</v>
      </c>
      <c r="G848" s="37" t="s">
        <v>119</v>
      </c>
      <c r="H848" s="31" t="s">
        <v>119</v>
      </c>
      <c r="I848" s="31" t="s">
        <v>119</v>
      </c>
      <c r="J848" s="31" t="s">
        <v>119</v>
      </c>
      <c r="K848" s="13">
        <v>1</v>
      </c>
      <c r="L848" s="28" t="s">
        <v>119</v>
      </c>
      <c r="M848" s="28" t="s">
        <v>119</v>
      </c>
      <c r="N848" s="1" t="s">
        <v>119</v>
      </c>
      <c r="O848" s="34" t="s">
        <v>119</v>
      </c>
      <c r="P848" s="106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t="s">
        <v>119</v>
      </c>
      <c r="W848" s="11" t="s">
        <v>119</v>
      </c>
      <c r="X848" s="11" t="s">
        <v>134</v>
      </c>
    </row>
    <row r="849" spans="1:24" x14ac:dyDescent="0.3">
      <c r="A849" s="13" t="s">
        <v>332</v>
      </c>
      <c r="B849" s="18" t="s">
        <v>119</v>
      </c>
      <c r="C849" s="12" t="s">
        <v>119</v>
      </c>
      <c r="D849" s="12" t="s">
        <v>119</v>
      </c>
      <c r="E849" s="14" t="s">
        <v>119</v>
      </c>
      <c r="F849" s="37" t="s">
        <v>119</v>
      </c>
      <c r="G849" s="37" t="s">
        <v>119</v>
      </c>
      <c r="H849" s="31" t="s">
        <v>119</v>
      </c>
      <c r="I849" s="31" t="s">
        <v>119</v>
      </c>
      <c r="J849" s="31" t="s">
        <v>119</v>
      </c>
      <c r="K849" s="13" t="s">
        <v>119</v>
      </c>
      <c r="L849" s="28">
        <v>3</v>
      </c>
      <c r="M849" s="28" t="s">
        <v>119</v>
      </c>
      <c r="N849" s="1" t="s">
        <v>119</v>
      </c>
      <c r="O849" s="34" t="s">
        <v>119</v>
      </c>
      <c r="P849" s="106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t="s">
        <v>119</v>
      </c>
      <c r="W849" s="11" t="s">
        <v>134</v>
      </c>
      <c r="X849" s="11" t="s">
        <v>134</v>
      </c>
    </row>
    <row r="850" spans="1:24" x14ac:dyDescent="0.3">
      <c r="A850" s="3" t="s">
        <v>187</v>
      </c>
      <c r="B850" s="17" t="s">
        <v>119</v>
      </c>
      <c r="C850" s="4" t="s">
        <v>119</v>
      </c>
      <c r="D850" s="4" t="s">
        <v>119</v>
      </c>
      <c r="E850" s="1" t="s">
        <v>119</v>
      </c>
      <c r="F850" s="37" t="s">
        <v>119</v>
      </c>
      <c r="G850" s="37" t="s">
        <v>119</v>
      </c>
      <c r="H850" s="28">
        <v>1</v>
      </c>
      <c r="I850" s="28" t="s">
        <v>119</v>
      </c>
      <c r="J850" s="28" t="s">
        <v>119</v>
      </c>
      <c r="K850" s="3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106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t="s">
        <v>119</v>
      </c>
      <c r="W850" s="11" t="s">
        <v>134</v>
      </c>
      <c r="X850" s="11" t="s">
        <v>134</v>
      </c>
    </row>
    <row r="851" spans="1:24" x14ac:dyDescent="0.3">
      <c r="A851" s="3" t="s">
        <v>592</v>
      </c>
      <c r="B851" s="17" t="s">
        <v>119</v>
      </c>
      <c r="C851" s="4" t="s">
        <v>119</v>
      </c>
      <c r="D851" s="4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3" t="s">
        <v>119</v>
      </c>
      <c r="L851" s="28" t="s">
        <v>119</v>
      </c>
      <c r="M851" s="28">
        <v>3</v>
      </c>
      <c r="N851" s="1" t="s">
        <v>119</v>
      </c>
      <c r="O851" s="34" t="s">
        <v>119</v>
      </c>
      <c r="P851" s="106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t="s">
        <v>119</v>
      </c>
      <c r="W851" s="11" t="s">
        <v>134</v>
      </c>
      <c r="X851" s="11" t="s">
        <v>134</v>
      </c>
    </row>
    <row r="852" spans="1:24" s="5" customFormat="1" x14ac:dyDescent="0.3">
      <c r="A852" s="8" t="s">
        <v>314</v>
      </c>
      <c r="B852" s="95" t="s">
        <v>119</v>
      </c>
      <c r="C852" s="7" t="s">
        <v>119</v>
      </c>
      <c r="D852" s="7" t="s">
        <v>119</v>
      </c>
      <c r="E852" s="10" t="s">
        <v>119</v>
      </c>
      <c r="F852" s="37" t="s">
        <v>119</v>
      </c>
      <c r="G852" s="29" t="s">
        <v>119</v>
      </c>
      <c r="H852" s="29" t="s">
        <v>119</v>
      </c>
      <c r="I852" s="29" t="s">
        <v>119</v>
      </c>
      <c r="J852" s="29" t="s">
        <v>119</v>
      </c>
      <c r="K852" s="29">
        <v>1</v>
      </c>
      <c r="L852" s="29" t="s">
        <v>119</v>
      </c>
      <c r="M852" s="29" t="s">
        <v>119</v>
      </c>
      <c r="N852" s="10" t="s">
        <v>119</v>
      </c>
      <c r="O852" s="34" t="s">
        <v>119</v>
      </c>
      <c r="P852" s="107" t="s">
        <v>119</v>
      </c>
      <c r="Q852" s="107" t="s">
        <v>119</v>
      </c>
      <c r="R852" s="107">
        <v>1</v>
      </c>
      <c r="S852" s="107" t="s">
        <v>119</v>
      </c>
      <c r="T852" s="106" t="s">
        <v>119</v>
      </c>
      <c r="U852" s="106" t="s">
        <v>119</v>
      </c>
      <c r="V852" t="s">
        <v>119</v>
      </c>
      <c r="W852" s="11" t="str">
        <f t="shared" ref="W852:W899" si="13">IF(SUM(P852:U852)&gt;=1,"X","")</f>
        <v>X</v>
      </c>
      <c r="X852" s="11" t="s">
        <v>119</v>
      </c>
    </row>
    <row r="853" spans="1:24" s="11" customFormat="1" x14ac:dyDescent="0.3">
      <c r="A853" s="13" t="s">
        <v>1003</v>
      </c>
      <c r="B853" s="26" t="s">
        <v>119</v>
      </c>
      <c r="C853" s="12" t="s">
        <v>119</v>
      </c>
      <c r="D853" s="12" t="s">
        <v>119</v>
      </c>
      <c r="E853" s="14" t="s">
        <v>119</v>
      </c>
      <c r="F853" s="31" t="s">
        <v>119</v>
      </c>
      <c r="G853" s="31" t="s">
        <v>119</v>
      </c>
      <c r="H853" s="31" t="s">
        <v>119</v>
      </c>
      <c r="I853" s="31" t="s">
        <v>119</v>
      </c>
      <c r="J853" s="31" t="s">
        <v>119</v>
      </c>
      <c r="K853" s="31" t="s">
        <v>119</v>
      </c>
      <c r="L853" s="31" t="s">
        <v>119</v>
      </c>
      <c r="M853" s="31" t="s">
        <v>119</v>
      </c>
      <c r="N853" s="14" t="s">
        <v>119</v>
      </c>
      <c r="O853" s="34" t="s">
        <v>119</v>
      </c>
      <c r="P853" s="108" t="s">
        <v>119</v>
      </c>
      <c r="Q853" s="108" t="s">
        <v>119</v>
      </c>
      <c r="R853" s="108" t="s">
        <v>119</v>
      </c>
      <c r="S853" s="108">
        <v>3</v>
      </c>
      <c r="T853" s="108" t="s">
        <v>119</v>
      </c>
      <c r="U853" s="108" t="s">
        <v>119</v>
      </c>
      <c r="V853" t="s">
        <v>119</v>
      </c>
      <c r="W853" s="11" t="str">
        <f t="shared" si="13"/>
        <v>X</v>
      </c>
      <c r="X853" s="11" t="s">
        <v>134</v>
      </c>
    </row>
    <row r="854" spans="1:24" x14ac:dyDescent="0.3">
      <c r="A854" s="3" t="s">
        <v>593</v>
      </c>
      <c r="B854" s="17" t="s">
        <v>119</v>
      </c>
      <c r="C854" s="4" t="s">
        <v>119</v>
      </c>
      <c r="D854" s="4" t="s">
        <v>119</v>
      </c>
      <c r="E854" s="1" t="s">
        <v>119</v>
      </c>
      <c r="F854" s="37" t="s">
        <v>119</v>
      </c>
      <c r="G854" s="37" t="s">
        <v>119</v>
      </c>
      <c r="H854" s="28" t="s">
        <v>119</v>
      </c>
      <c r="I854" s="28" t="s">
        <v>119</v>
      </c>
      <c r="J854" s="28" t="s">
        <v>119</v>
      </c>
      <c r="K854" s="28" t="s">
        <v>119</v>
      </c>
      <c r="L854" s="28" t="s">
        <v>119</v>
      </c>
      <c r="M854" s="28">
        <v>3</v>
      </c>
      <c r="N854" s="1" t="s">
        <v>119</v>
      </c>
      <c r="O854" s="34" t="s">
        <v>119</v>
      </c>
      <c r="P854" s="106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t="s">
        <v>119</v>
      </c>
      <c r="W854" s="11" t="s">
        <v>134</v>
      </c>
      <c r="X854" s="11" t="s">
        <v>134</v>
      </c>
    </row>
    <row r="855" spans="1:24" x14ac:dyDescent="0.3">
      <c r="A855" s="3" t="s">
        <v>185</v>
      </c>
      <c r="B855" s="2" t="s">
        <v>119</v>
      </c>
      <c r="C855" s="4" t="s">
        <v>119</v>
      </c>
      <c r="D855" s="4" t="s">
        <v>119</v>
      </c>
      <c r="E855" s="1" t="s">
        <v>119</v>
      </c>
      <c r="F855" s="37" t="s">
        <v>119</v>
      </c>
      <c r="G855" s="37" t="s">
        <v>119</v>
      </c>
      <c r="H855" s="28" t="s">
        <v>119</v>
      </c>
      <c r="I855" s="28">
        <v>1</v>
      </c>
      <c r="J855" s="28">
        <v>7</v>
      </c>
      <c r="K855" s="28" t="s">
        <v>119</v>
      </c>
      <c r="L855" s="28" t="s">
        <v>119</v>
      </c>
      <c r="M855" s="27" t="s">
        <v>134</v>
      </c>
      <c r="N855" s="4" t="s">
        <v>119</v>
      </c>
      <c r="O855" s="34" t="s">
        <v>119</v>
      </c>
      <c r="P855" s="106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t="s">
        <v>119</v>
      </c>
      <c r="W855" s="11" t="s">
        <v>134</v>
      </c>
      <c r="X855" s="11" t="s">
        <v>134</v>
      </c>
    </row>
    <row r="856" spans="1:24" x14ac:dyDescent="0.3">
      <c r="A856" s="3" t="s">
        <v>186</v>
      </c>
      <c r="B856" s="2" t="s">
        <v>119</v>
      </c>
      <c r="C856" s="1" t="s">
        <v>119</v>
      </c>
      <c r="D856" s="4" t="s">
        <v>119</v>
      </c>
      <c r="E856" s="1" t="s">
        <v>119</v>
      </c>
      <c r="F856" s="37" t="s">
        <v>119</v>
      </c>
      <c r="G856" s="37" t="s">
        <v>119</v>
      </c>
      <c r="H856" s="28" t="s">
        <v>119</v>
      </c>
      <c r="I856" s="28">
        <f>2+1+2+1+1</f>
        <v>7</v>
      </c>
      <c r="J856" s="28" t="s">
        <v>119</v>
      </c>
      <c r="K856" s="28" t="s">
        <v>119</v>
      </c>
      <c r="L856" s="28" t="s">
        <v>119</v>
      </c>
      <c r="M856" s="28" t="s">
        <v>134</v>
      </c>
      <c r="N856" s="1" t="s">
        <v>119</v>
      </c>
      <c r="O856" s="34" t="s">
        <v>119</v>
      </c>
      <c r="P856" s="106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t="s">
        <v>119</v>
      </c>
      <c r="W856" s="11" t="s">
        <v>134</v>
      </c>
      <c r="X856" s="11" t="s">
        <v>134</v>
      </c>
    </row>
    <row r="857" spans="1:24" x14ac:dyDescent="0.3">
      <c r="A857" s="3" t="s">
        <v>1199</v>
      </c>
      <c r="B857" s="2" t="s">
        <v>119</v>
      </c>
      <c r="C857" s="1" t="s">
        <v>119</v>
      </c>
      <c r="D857" s="4" t="s">
        <v>119</v>
      </c>
      <c r="E857" s="1" t="s">
        <v>119</v>
      </c>
      <c r="F857" s="37" t="s">
        <v>119</v>
      </c>
      <c r="G857" s="37" t="s">
        <v>119</v>
      </c>
      <c r="H857" s="28" t="s">
        <v>119</v>
      </c>
      <c r="I857" s="28" t="s">
        <v>119</v>
      </c>
      <c r="J857" s="28">
        <v>14</v>
      </c>
      <c r="K857" s="28" t="s">
        <v>119</v>
      </c>
      <c r="L857" s="28" t="s">
        <v>119</v>
      </c>
      <c r="M857" s="28" t="s">
        <v>119</v>
      </c>
      <c r="N857" s="1" t="s">
        <v>119</v>
      </c>
      <c r="O857" s="34" t="s">
        <v>119</v>
      </c>
      <c r="P857" s="106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t="s">
        <v>134</v>
      </c>
      <c r="W857" s="11" t="s">
        <v>119</v>
      </c>
      <c r="X857" s="11" t="s">
        <v>119</v>
      </c>
    </row>
    <row r="858" spans="1:24" x14ac:dyDescent="0.3">
      <c r="A858" s="3" t="s">
        <v>594</v>
      </c>
      <c r="B858" s="2" t="s">
        <v>119</v>
      </c>
      <c r="C858" s="1" t="s">
        <v>119</v>
      </c>
      <c r="D858" s="4" t="s">
        <v>119</v>
      </c>
      <c r="E858" s="1" t="s">
        <v>119</v>
      </c>
      <c r="F858" s="37" t="s">
        <v>119</v>
      </c>
      <c r="G858" s="37" t="s">
        <v>119</v>
      </c>
      <c r="H858" s="28" t="s">
        <v>119</v>
      </c>
      <c r="I858" s="28" t="s">
        <v>119</v>
      </c>
      <c r="J858" s="28" t="s">
        <v>119</v>
      </c>
      <c r="K858" s="28" t="s">
        <v>119</v>
      </c>
      <c r="L858" s="28" t="s">
        <v>119</v>
      </c>
      <c r="M858" s="28" t="s">
        <v>134</v>
      </c>
      <c r="N858" s="1" t="s">
        <v>119</v>
      </c>
      <c r="O858" s="34" t="s">
        <v>119</v>
      </c>
      <c r="P858" s="106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t="s">
        <v>119</v>
      </c>
      <c r="W858" s="11" t="s">
        <v>119</v>
      </c>
      <c r="X858" s="11" t="s">
        <v>119</v>
      </c>
    </row>
    <row r="859" spans="1:24" x14ac:dyDescent="0.3">
      <c r="A859" s="3" t="s">
        <v>188</v>
      </c>
      <c r="B859" s="2" t="s">
        <v>119</v>
      </c>
      <c r="C859" s="1" t="s">
        <v>119</v>
      </c>
      <c r="D859" s="4" t="s">
        <v>119</v>
      </c>
      <c r="E859" s="1" t="s">
        <v>119</v>
      </c>
      <c r="F859" s="37" t="s">
        <v>119</v>
      </c>
      <c r="G859" s="37" t="s">
        <v>119</v>
      </c>
      <c r="H859" s="28">
        <v>25</v>
      </c>
      <c r="I859" s="28">
        <v>2</v>
      </c>
      <c r="J859" s="28">
        <v>12</v>
      </c>
      <c r="K859" s="28" t="s">
        <v>119</v>
      </c>
      <c r="L859" s="28" t="s">
        <v>119</v>
      </c>
      <c r="M859" s="28" t="s">
        <v>134</v>
      </c>
      <c r="N859" s="1" t="s">
        <v>119</v>
      </c>
      <c r="O859" s="34" t="s">
        <v>119</v>
      </c>
      <c r="P859" s="106" t="s">
        <v>119</v>
      </c>
      <c r="Q859" s="106" t="s">
        <v>119</v>
      </c>
      <c r="R859" s="106" t="s">
        <v>119</v>
      </c>
      <c r="S859" s="106">
        <v>1</v>
      </c>
      <c r="T859" s="106" t="s">
        <v>119</v>
      </c>
      <c r="U859" s="106" t="s">
        <v>119</v>
      </c>
      <c r="V859" t="s">
        <v>119</v>
      </c>
      <c r="W859" s="11" t="str">
        <f t="shared" si="13"/>
        <v>X</v>
      </c>
      <c r="X859" s="11" t="s">
        <v>134</v>
      </c>
    </row>
    <row r="860" spans="1:24" x14ac:dyDescent="0.3">
      <c r="A860" s="3" t="s">
        <v>1137</v>
      </c>
      <c r="B860" s="2" t="s">
        <v>119</v>
      </c>
      <c r="C860" s="1" t="s">
        <v>119</v>
      </c>
      <c r="D860" s="4" t="s">
        <v>119</v>
      </c>
      <c r="E860" s="1" t="s">
        <v>119</v>
      </c>
      <c r="F860" s="37" t="s">
        <v>119</v>
      </c>
      <c r="G860" s="37" t="s">
        <v>119</v>
      </c>
      <c r="H860" s="28" t="s">
        <v>119</v>
      </c>
      <c r="I860" s="28" t="s">
        <v>119</v>
      </c>
      <c r="J860" s="28" t="s">
        <v>119</v>
      </c>
      <c r="K860" s="28">
        <f>1+2+1+1+1</f>
        <v>6</v>
      </c>
      <c r="L860" s="28" t="s">
        <v>119</v>
      </c>
      <c r="M860" s="28" t="s">
        <v>119</v>
      </c>
      <c r="N860" s="1" t="s">
        <v>119</v>
      </c>
      <c r="O860" s="34">
        <v>4</v>
      </c>
      <c r="P860" s="106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t="s">
        <v>134</v>
      </c>
      <c r="W860" s="11" t="s">
        <v>119</v>
      </c>
      <c r="X860" s="11" t="s">
        <v>119</v>
      </c>
    </row>
    <row r="861" spans="1:24" s="5" customFormat="1" x14ac:dyDescent="0.3">
      <c r="A861" s="8" t="s">
        <v>1313</v>
      </c>
      <c r="B861" s="6" t="s">
        <v>119</v>
      </c>
      <c r="C861" s="10" t="s">
        <v>119</v>
      </c>
      <c r="D861" s="7" t="s">
        <v>119</v>
      </c>
      <c r="E861" s="10" t="s">
        <v>119</v>
      </c>
      <c r="F861" s="29">
        <v>1</v>
      </c>
      <c r="G861" s="29" t="s">
        <v>119</v>
      </c>
      <c r="H861" s="29" t="s">
        <v>119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0" t="s">
        <v>119</v>
      </c>
      <c r="O861" s="30" t="s">
        <v>119</v>
      </c>
      <c r="P861" s="107" t="s">
        <v>119</v>
      </c>
      <c r="Q861" s="107" t="s">
        <v>119</v>
      </c>
      <c r="R861" s="107" t="s">
        <v>119</v>
      </c>
      <c r="S861" s="107" t="s">
        <v>119</v>
      </c>
      <c r="T861" s="107" t="s">
        <v>119</v>
      </c>
      <c r="U861" s="107" t="s">
        <v>119</v>
      </c>
      <c r="V861" s="5" t="s">
        <v>119</v>
      </c>
      <c r="W861" s="5" t="s">
        <v>119</v>
      </c>
      <c r="X861" s="5" t="s">
        <v>119</v>
      </c>
    </row>
    <row r="862" spans="1:24" x14ac:dyDescent="0.3">
      <c r="A862" s="3" t="s">
        <v>184</v>
      </c>
      <c r="B862" s="2" t="s">
        <v>119</v>
      </c>
      <c r="C862" s="4" t="s">
        <v>119</v>
      </c>
      <c r="D862" s="4" t="s">
        <v>119</v>
      </c>
      <c r="E862" s="1" t="s">
        <v>119</v>
      </c>
      <c r="F862" s="37" t="s">
        <v>119</v>
      </c>
      <c r="G862" s="37" t="s">
        <v>119</v>
      </c>
      <c r="H862" s="28">
        <v>11</v>
      </c>
      <c r="I862" s="28">
        <f>5+3+4+2+2+2+8+2+4+3+1+1+1+3+1</f>
        <v>42</v>
      </c>
      <c r="J862" s="28">
        <f>1+3+2+7+1+1+2+1+7+2+11+4+3+2+2+8+3+2+1+55+1+6+3+1+1</f>
        <v>130</v>
      </c>
      <c r="K862" s="28">
        <f>1+1+1+2+1+1+4+2+1</f>
        <v>14</v>
      </c>
      <c r="L862" s="28" t="s">
        <v>119</v>
      </c>
      <c r="M862" s="28">
        <v>1</v>
      </c>
      <c r="N862" s="1">
        <v>1</v>
      </c>
      <c r="O862" s="34" t="s">
        <v>119</v>
      </c>
      <c r="P862" s="106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t="s">
        <v>119</v>
      </c>
      <c r="W862" s="11" t="s">
        <v>134</v>
      </c>
      <c r="X862" s="11" t="s">
        <v>134</v>
      </c>
    </row>
    <row r="863" spans="1:24" x14ac:dyDescent="0.3">
      <c r="A863" s="3" t="s">
        <v>1200</v>
      </c>
      <c r="B863" s="2" t="s">
        <v>119</v>
      </c>
      <c r="C863" s="1" t="s">
        <v>119</v>
      </c>
      <c r="D863" s="4" t="s">
        <v>119</v>
      </c>
      <c r="E863" s="1" t="s">
        <v>119</v>
      </c>
      <c r="F863" s="37" t="s">
        <v>119</v>
      </c>
      <c r="G863" s="37" t="s">
        <v>119</v>
      </c>
      <c r="H863" s="28" t="s">
        <v>119</v>
      </c>
      <c r="I863" s="28" t="s">
        <v>119</v>
      </c>
      <c r="J863" s="28">
        <v>4</v>
      </c>
      <c r="K863" s="28" t="s">
        <v>119</v>
      </c>
      <c r="L863" s="28" t="s">
        <v>119</v>
      </c>
      <c r="M863" s="28" t="s">
        <v>119</v>
      </c>
      <c r="N863" s="1" t="s">
        <v>119</v>
      </c>
      <c r="O863" s="34" t="s">
        <v>119</v>
      </c>
      <c r="P863" s="106" t="s">
        <v>119</v>
      </c>
      <c r="Q863" s="106" t="s">
        <v>119</v>
      </c>
      <c r="R863" s="106" t="s">
        <v>119</v>
      </c>
      <c r="S863" s="106" t="s">
        <v>119</v>
      </c>
      <c r="T863" s="106" t="s">
        <v>119</v>
      </c>
      <c r="U863" s="106" t="s">
        <v>119</v>
      </c>
      <c r="V863" t="s">
        <v>134</v>
      </c>
      <c r="W863" s="11" t="s">
        <v>119</v>
      </c>
      <c r="X863" s="11" t="s">
        <v>119</v>
      </c>
    </row>
    <row r="864" spans="1:24" x14ac:dyDescent="0.3">
      <c r="A864" s="3" t="s">
        <v>777</v>
      </c>
      <c r="B864" s="2" t="s">
        <v>119</v>
      </c>
      <c r="C864" s="1" t="s">
        <v>119</v>
      </c>
      <c r="D864" s="4" t="s">
        <v>119</v>
      </c>
      <c r="E864" s="1" t="s">
        <v>119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28" t="s">
        <v>119</v>
      </c>
      <c r="L864" s="28" t="s">
        <v>119</v>
      </c>
      <c r="M864" s="28" t="s">
        <v>119</v>
      </c>
      <c r="N864" s="1" t="s">
        <v>119</v>
      </c>
      <c r="O864" s="34" t="s">
        <v>119</v>
      </c>
      <c r="P864" s="106" t="s">
        <v>119</v>
      </c>
      <c r="Q864" s="106">
        <v>33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t="s">
        <v>119</v>
      </c>
      <c r="W864" s="11" t="str">
        <f t="shared" si="13"/>
        <v>X</v>
      </c>
      <c r="X864" s="11" t="s">
        <v>119</v>
      </c>
    </row>
    <row r="865" spans="1:24" x14ac:dyDescent="0.3">
      <c r="A865" s="3" t="s">
        <v>39</v>
      </c>
      <c r="B865" s="2">
        <v>5</v>
      </c>
      <c r="C865" s="4">
        <v>0</v>
      </c>
      <c r="D865" s="4">
        <v>0</v>
      </c>
      <c r="E865" s="1">
        <v>0</v>
      </c>
      <c r="F865" s="37" t="s">
        <v>119</v>
      </c>
      <c r="G865" s="37" t="s">
        <v>119</v>
      </c>
      <c r="H865" s="28" t="s">
        <v>119</v>
      </c>
      <c r="I865" s="28" t="s">
        <v>119</v>
      </c>
      <c r="J865" s="28" t="s">
        <v>119</v>
      </c>
      <c r="K865" s="28" t="s">
        <v>119</v>
      </c>
      <c r="L865" s="28" t="s">
        <v>119</v>
      </c>
      <c r="M865" s="28" t="s">
        <v>119</v>
      </c>
      <c r="N865" s="1" t="s">
        <v>119</v>
      </c>
      <c r="O865" s="34" t="s">
        <v>119</v>
      </c>
      <c r="P865" s="106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t="s">
        <v>119</v>
      </c>
      <c r="W865" s="11" t="s">
        <v>134</v>
      </c>
      <c r="X865" s="11" t="s">
        <v>134</v>
      </c>
    </row>
    <row r="866" spans="1:24" s="74" customFormat="1" x14ac:dyDescent="0.3">
      <c r="A866" s="21" t="s">
        <v>1254</v>
      </c>
      <c r="B866" s="19" t="s">
        <v>119</v>
      </c>
      <c r="C866" s="20" t="s">
        <v>119</v>
      </c>
      <c r="D866" s="20" t="s">
        <v>119</v>
      </c>
      <c r="E866" s="25" t="s">
        <v>119</v>
      </c>
      <c r="F866" s="37" t="s">
        <v>119</v>
      </c>
      <c r="G866" s="37" t="s">
        <v>119</v>
      </c>
      <c r="H866" s="32" t="s">
        <v>119</v>
      </c>
      <c r="I866" s="32" t="s">
        <v>119</v>
      </c>
      <c r="J866" s="32" t="s">
        <v>119</v>
      </c>
      <c r="K866" s="32" t="s">
        <v>119</v>
      </c>
      <c r="L866" s="32" t="s">
        <v>119</v>
      </c>
      <c r="M866" s="33" t="s">
        <v>134</v>
      </c>
      <c r="N866" s="25" t="s">
        <v>119</v>
      </c>
      <c r="O866" s="34" t="s">
        <v>119</v>
      </c>
      <c r="P866" s="106" t="s">
        <v>119</v>
      </c>
      <c r="Q866" s="106" t="s">
        <v>119</v>
      </c>
      <c r="R866" s="106" t="s">
        <v>119</v>
      </c>
      <c r="S866" s="106" t="s">
        <v>119</v>
      </c>
      <c r="T866" s="106" t="s">
        <v>119</v>
      </c>
      <c r="U866" s="106" t="s">
        <v>119</v>
      </c>
      <c r="V866" t="s">
        <v>134</v>
      </c>
      <c r="W866" s="11" t="s">
        <v>119</v>
      </c>
      <c r="X866" s="11" t="s">
        <v>119</v>
      </c>
    </row>
    <row r="867" spans="1:24" x14ac:dyDescent="0.3">
      <c r="A867" s="3" t="s">
        <v>38</v>
      </c>
      <c r="B867" s="2">
        <v>0</v>
      </c>
      <c r="C867" s="4">
        <v>0</v>
      </c>
      <c r="D867" s="4">
        <v>0</v>
      </c>
      <c r="E867" s="1">
        <v>5</v>
      </c>
      <c r="F867" s="37" t="s">
        <v>119</v>
      </c>
      <c r="G867" s="37" t="s">
        <v>119</v>
      </c>
      <c r="H867" s="27">
        <v>3</v>
      </c>
      <c r="I867" s="28" t="s">
        <v>119</v>
      </c>
      <c r="J867" s="28">
        <v>4</v>
      </c>
      <c r="K867" s="28">
        <f>15+1</f>
        <v>16</v>
      </c>
      <c r="L867" s="28" t="s">
        <v>119</v>
      </c>
      <c r="M867" s="28">
        <v>1</v>
      </c>
      <c r="N867" s="1">
        <v>2</v>
      </c>
      <c r="O867" s="34">
        <v>3</v>
      </c>
      <c r="P867" s="106" t="s">
        <v>119</v>
      </c>
      <c r="Q867" s="106" t="s">
        <v>119</v>
      </c>
      <c r="R867" s="106" t="s">
        <v>119</v>
      </c>
      <c r="S867" s="106" t="s">
        <v>119</v>
      </c>
      <c r="T867" s="106" t="s">
        <v>119</v>
      </c>
      <c r="U867" s="106" t="s">
        <v>119</v>
      </c>
      <c r="V867" t="s">
        <v>119</v>
      </c>
      <c r="W867" s="11" t="s">
        <v>134</v>
      </c>
      <c r="X867" s="11" t="s">
        <v>134</v>
      </c>
    </row>
    <row r="868" spans="1:24" x14ac:dyDescent="0.3">
      <c r="A868" s="3" t="s">
        <v>40</v>
      </c>
      <c r="B868" s="2">
        <v>0</v>
      </c>
      <c r="C868" s="4">
        <v>1</v>
      </c>
      <c r="D868" s="4">
        <v>0</v>
      </c>
      <c r="E868" s="1">
        <v>0</v>
      </c>
      <c r="F868" s="37" t="s">
        <v>119</v>
      </c>
      <c r="G868" s="37" t="s">
        <v>119</v>
      </c>
      <c r="H868" s="28" t="s">
        <v>119</v>
      </c>
      <c r="I868" s="28" t="s">
        <v>119</v>
      </c>
      <c r="J868" s="28" t="s">
        <v>119</v>
      </c>
      <c r="K868" s="31" t="s">
        <v>119</v>
      </c>
      <c r="L868" s="28" t="s">
        <v>119</v>
      </c>
      <c r="M868" s="28" t="s">
        <v>119</v>
      </c>
      <c r="N868" s="1" t="s">
        <v>119</v>
      </c>
      <c r="O868" s="34" t="s">
        <v>119</v>
      </c>
      <c r="P868" s="106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t="s">
        <v>119</v>
      </c>
      <c r="W868" s="11" t="s">
        <v>134</v>
      </c>
      <c r="X868" s="11" t="s">
        <v>134</v>
      </c>
    </row>
    <row r="869" spans="1:24" x14ac:dyDescent="0.3">
      <c r="A869" s="3" t="s">
        <v>595</v>
      </c>
      <c r="B869" s="2" t="s">
        <v>119</v>
      </c>
      <c r="C869" s="4" t="s">
        <v>119</v>
      </c>
      <c r="D869" s="4" t="s">
        <v>119</v>
      </c>
      <c r="E869" s="1" t="s">
        <v>119</v>
      </c>
      <c r="F869" s="37" t="s">
        <v>119</v>
      </c>
      <c r="G869" s="37" t="s">
        <v>119</v>
      </c>
      <c r="H869" s="28" t="s">
        <v>119</v>
      </c>
      <c r="I869" s="28" t="s">
        <v>119</v>
      </c>
      <c r="J869" s="28" t="s">
        <v>119</v>
      </c>
      <c r="K869" s="31" t="s">
        <v>119</v>
      </c>
      <c r="L869" s="28" t="s">
        <v>119</v>
      </c>
      <c r="M869" s="28" t="s">
        <v>134</v>
      </c>
      <c r="N869" s="1" t="s">
        <v>119</v>
      </c>
      <c r="O869" s="34" t="s">
        <v>119</v>
      </c>
      <c r="P869" s="106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t="s">
        <v>119</v>
      </c>
      <c r="W869" s="11" t="s">
        <v>134</v>
      </c>
      <c r="X869" s="11" t="s">
        <v>119</v>
      </c>
    </row>
    <row r="870" spans="1:24" x14ac:dyDescent="0.3">
      <c r="A870" s="3" t="s">
        <v>596</v>
      </c>
      <c r="B870" s="2" t="s">
        <v>119</v>
      </c>
      <c r="C870" s="4" t="s">
        <v>119</v>
      </c>
      <c r="D870" s="4" t="s">
        <v>119</v>
      </c>
      <c r="E870" s="1" t="s">
        <v>119</v>
      </c>
      <c r="F870" s="37" t="s">
        <v>119</v>
      </c>
      <c r="G870" s="37" t="s">
        <v>119</v>
      </c>
      <c r="H870" s="28" t="s">
        <v>119</v>
      </c>
      <c r="I870" s="28" t="s">
        <v>119</v>
      </c>
      <c r="J870" s="28" t="s">
        <v>119</v>
      </c>
      <c r="K870" s="31" t="s">
        <v>119</v>
      </c>
      <c r="L870" s="28" t="s">
        <v>119</v>
      </c>
      <c r="M870" s="28" t="s">
        <v>134</v>
      </c>
      <c r="N870" s="1" t="s">
        <v>119</v>
      </c>
      <c r="O870" s="34" t="s">
        <v>119</v>
      </c>
      <c r="P870" s="106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t="s">
        <v>119</v>
      </c>
      <c r="W870" s="11" t="s">
        <v>134</v>
      </c>
      <c r="X870" s="11" t="s">
        <v>134</v>
      </c>
    </row>
    <row r="871" spans="1:24" s="5" customFormat="1" x14ac:dyDescent="0.3">
      <c r="A871" s="8" t="s">
        <v>597</v>
      </c>
      <c r="B871" s="6" t="s">
        <v>119</v>
      </c>
      <c r="C871" s="7" t="s">
        <v>119</v>
      </c>
      <c r="D871" s="7" t="s">
        <v>119</v>
      </c>
      <c r="E871" s="10" t="s">
        <v>119</v>
      </c>
      <c r="F871" s="37" t="s">
        <v>119</v>
      </c>
      <c r="G871" s="37" t="s">
        <v>119</v>
      </c>
      <c r="H871" s="29" t="s">
        <v>119</v>
      </c>
      <c r="I871" s="29" t="s">
        <v>119</v>
      </c>
      <c r="J871" s="29" t="s">
        <v>119</v>
      </c>
      <c r="K871" s="29" t="s">
        <v>119</v>
      </c>
      <c r="L871" s="29" t="s">
        <v>119</v>
      </c>
      <c r="M871" s="29">
        <v>1</v>
      </c>
      <c r="N871" s="10" t="s">
        <v>119</v>
      </c>
      <c r="O871" s="34" t="s">
        <v>119</v>
      </c>
      <c r="P871" s="106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t="s">
        <v>119</v>
      </c>
      <c r="W871" s="11" t="s">
        <v>119</v>
      </c>
      <c r="X871" s="11" t="s">
        <v>119</v>
      </c>
    </row>
    <row r="872" spans="1:24" s="5" customFormat="1" x14ac:dyDescent="0.3">
      <c r="A872" s="8" t="s">
        <v>775</v>
      </c>
      <c r="B872" s="6" t="s">
        <v>119</v>
      </c>
      <c r="C872" s="7" t="s">
        <v>119</v>
      </c>
      <c r="D872" s="7" t="s">
        <v>119</v>
      </c>
      <c r="E872" s="10" t="s">
        <v>119</v>
      </c>
      <c r="F872" s="37" t="s">
        <v>119</v>
      </c>
      <c r="G872" s="37" t="s">
        <v>119</v>
      </c>
      <c r="H872" s="29" t="s">
        <v>119</v>
      </c>
      <c r="I872" s="29" t="s">
        <v>119</v>
      </c>
      <c r="J872" s="29" t="s">
        <v>119</v>
      </c>
      <c r="K872" s="29" t="s">
        <v>119</v>
      </c>
      <c r="L872" s="29" t="s">
        <v>119</v>
      </c>
      <c r="M872" s="29" t="s">
        <v>119</v>
      </c>
      <c r="N872" s="10" t="s">
        <v>119</v>
      </c>
      <c r="O872" s="34" t="s">
        <v>119</v>
      </c>
      <c r="P872" s="107" t="s">
        <v>119</v>
      </c>
      <c r="Q872" s="107" t="s">
        <v>119</v>
      </c>
      <c r="R872" s="107" t="s">
        <v>119</v>
      </c>
      <c r="S872" s="107">
        <v>1</v>
      </c>
      <c r="T872" s="106" t="s">
        <v>119</v>
      </c>
      <c r="U872" s="106" t="s">
        <v>119</v>
      </c>
      <c r="V872" t="s">
        <v>119</v>
      </c>
      <c r="W872" s="11" t="s">
        <v>119</v>
      </c>
      <c r="X872" s="11" t="s">
        <v>119</v>
      </c>
    </row>
    <row r="873" spans="1:24" s="11" customFormat="1" x14ac:dyDescent="0.3">
      <c r="A873" s="13" t="s">
        <v>1006</v>
      </c>
      <c r="B873" s="18" t="s">
        <v>119</v>
      </c>
      <c r="C873" s="12" t="s">
        <v>119</v>
      </c>
      <c r="D873" s="12" t="s">
        <v>119</v>
      </c>
      <c r="E873" s="14" t="s">
        <v>119</v>
      </c>
      <c r="F873" s="31" t="s">
        <v>119</v>
      </c>
      <c r="G873" s="31" t="s">
        <v>119</v>
      </c>
      <c r="H873" s="31" t="s">
        <v>119</v>
      </c>
      <c r="I873" s="31" t="s">
        <v>119</v>
      </c>
      <c r="J873" s="31" t="s">
        <v>119</v>
      </c>
      <c r="K873" s="31" t="s">
        <v>119</v>
      </c>
      <c r="L873" s="31" t="s">
        <v>119</v>
      </c>
      <c r="M873" s="31" t="s">
        <v>119</v>
      </c>
      <c r="N873" s="14" t="s">
        <v>119</v>
      </c>
      <c r="O873" s="34" t="s">
        <v>119</v>
      </c>
      <c r="P873" s="108" t="s">
        <v>119</v>
      </c>
      <c r="Q873" s="108" t="s">
        <v>119</v>
      </c>
      <c r="R873" s="108" t="s">
        <v>119</v>
      </c>
      <c r="S873" s="108">
        <v>1</v>
      </c>
      <c r="T873" s="108" t="s">
        <v>119</v>
      </c>
      <c r="U873" s="108" t="s">
        <v>119</v>
      </c>
      <c r="V873" t="s">
        <v>119</v>
      </c>
      <c r="W873" s="11" t="str">
        <f t="shared" si="13"/>
        <v>X</v>
      </c>
      <c r="X873" s="11" t="s">
        <v>1274</v>
      </c>
    </row>
    <row r="874" spans="1:24" s="11" customFormat="1" x14ac:dyDescent="0.3">
      <c r="A874" s="13" t="s">
        <v>776</v>
      </c>
      <c r="B874" s="18" t="s">
        <v>119</v>
      </c>
      <c r="C874" s="12" t="s">
        <v>119</v>
      </c>
      <c r="D874" s="12" t="s">
        <v>119</v>
      </c>
      <c r="E874" s="14" t="s">
        <v>119</v>
      </c>
      <c r="F874" s="37" t="s">
        <v>119</v>
      </c>
      <c r="G874" s="31" t="s">
        <v>119</v>
      </c>
      <c r="H874" s="31" t="s">
        <v>119</v>
      </c>
      <c r="I874" s="31" t="s">
        <v>119</v>
      </c>
      <c r="J874" s="31" t="s">
        <v>119</v>
      </c>
      <c r="K874" s="31" t="s">
        <v>119</v>
      </c>
      <c r="L874" s="31" t="s">
        <v>119</v>
      </c>
      <c r="M874" s="31" t="s">
        <v>119</v>
      </c>
      <c r="N874" s="14" t="s">
        <v>119</v>
      </c>
      <c r="O874" s="34" t="s">
        <v>119</v>
      </c>
      <c r="P874" s="108" t="s">
        <v>119</v>
      </c>
      <c r="Q874" s="108" t="s">
        <v>119</v>
      </c>
      <c r="R874" s="108" t="s">
        <v>119</v>
      </c>
      <c r="S874" s="108">
        <v>2</v>
      </c>
      <c r="T874" s="106" t="s">
        <v>119</v>
      </c>
      <c r="U874" s="106" t="s">
        <v>119</v>
      </c>
      <c r="V874" t="s">
        <v>119</v>
      </c>
      <c r="W874" s="11" t="str">
        <f t="shared" si="13"/>
        <v>X</v>
      </c>
      <c r="X874" s="11" t="s">
        <v>119</v>
      </c>
    </row>
    <row r="875" spans="1:24" x14ac:dyDescent="0.3">
      <c r="A875" s="13" t="s">
        <v>1201</v>
      </c>
      <c r="B875" s="26" t="s">
        <v>119</v>
      </c>
      <c r="C875" s="12" t="s">
        <v>119</v>
      </c>
      <c r="D875" s="12" t="s">
        <v>119</v>
      </c>
      <c r="E875" s="14" t="s">
        <v>119</v>
      </c>
      <c r="F875" s="37" t="s">
        <v>119</v>
      </c>
      <c r="G875" s="37" t="s">
        <v>119</v>
      </c>
      <c r="H875" s="31" t="s">
        <v>119</v>
      </c>
      <c r="I875" s="31" t="s">
        <v>119</v>
      </c>
      <c r="J875" s="31">
        <f>1+2+3+1+2+1+7+1+8+4+9+11+3+1+10+1+1+3</f>
        <v>69</v>
      </c>
      <c r="K875" s="32" t="s">
        <v>119</v>
      </c>
      <c r="L875" s="28" t="s">
        <v>119</v>
      </c>
      <c r="M875" s="28" t="s">
        <v>119</v>
      </c>
      <c r="N875" s="1" t="s">
        <v>119</v>
      </c>
      <c r="O875" s="34" t="s">
        <v>119</v>
      </c>
      <c r="P875" s="106" t="s">
        <v>119</v>
      </c>
      <c r="Q875" s="106" t="s">
        <v>119</v>
      </c>
      <c r="R875" s="106" t="s">
        <v>119</v>
      </c>
      <c r="S875" s="106" t="s">
        <v>119</v>
      </c>
      <c r="T875" s="106" t="s">
        <v>119</v>
      </c>
      <c r="U875" s="106" t="s">
        <v>119</v>
      </c>
      <c r="V875" t="s">
        <v>134</v>
      </c>
      <c r="W875" s="11" t="s">
        <v>119</v>
      </c>
      <c r="X875" s="11" t="s">
        <v>119</v>
      </c>
    </row>
    <row r="876" spans="1:24" x14ac:dyDescent="0.3">
      <c r="A876" s="21" t="s">
        <v>1215</v>
      </c>
      <c r="B876" s="22">
        <v>1</v>
      </c>
      <c r="C876" s="23">
        <v>13</v>
      </c>
      <c r="D876" s="23">
        <v>7</v>
      </c>
      <c r="E876" s="24">
        <v>5</v>
      </c>
      <c r="F876" s="37" t="s">
        <v>119</v>
      </c>
      <c r="G876" s="37" t="s">
        <v>119</v>
      </c>
      <c r="H876" s="32" t="s">
        <v>119</v>
      </c>
      <c r="I876" s="32" t="s">
        <v>119</v>
      </c>
      <c r="J876" s="32" t="s">
        <v>119</v>
      </c>
      <c r="K876" s="32" t="s">
        <v>119</v>
      </c>
      <c r="L876" s="28" t="s">
        <v>119</v>
      </c>
      <c r="M876" s="28" t="s">
        <v>119</v>
      </c>
      <c r="N876" s="1" t="s">
        <v>119</v>
      </c>
      <c r="O876" s="34" t="s">
        <v>119</v>
      </c>
      <c r="P876" s="106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t="s">
        <v>134</v>
      </c>
      <c r="W876" s="11" t="s">
        <v>119</v>
      </c>
      <c r="X876" s="11" t="s">
        <v>119</v>
      </c>
    </row>
    <row r="877" spans="1:24" x14ac:dyDescent="0.3">
      <c r="A877" s="3" t="s">
        <v>153</v>
      </c>
      <c r="B877" s="2" t="s">
        <v>119</v>
      </c>
      <c r="C877" s="4" t="s">
        <v>119</v>
      </c>
      <c r="D877" s="4" t="s">
        <v>119</v>
      </c>
      <c r="E877" s="1" t="s">
        <v>119</v>
      </c>
      <c r="F877" s="37" t="s">
        <v>119</v>
      </c>
      <c r="G877" s="37" t="s">
        <v>119</v>
      </c>
      <c r="H877" s="27">
        <v>1</v>
      </c>
      <c r="I877" s="31">
        <f>12+20+5+2+1+1+1+1</f>
        <v>43</v>
      </c>
      <c r="J877" s="28">
        <v>9</v>
      </c>
      <c r="K877" s="32">
        <v>1</v>
      </c>
      <c r="L877" s="28" t="s">
        <v>119</v>
      </c>
      <c r="M877" s="28">
        <v>45</v>
      </c>
      <c r="N877" s="1" t="s">
        <v>119</v>
      </c>
      <c r="O877" s="34" t="s">
        <v>119</v>
      </c>
      <c r="P877" s="106" t="s">
        <v>119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t="s">
        <v>119</v>
      </c>
      <c r="W877" s="11" t="s">
        <v>134</v>
      </c>
      <c r="X877" s="11" t="s">
        <v>134</v>
      </c>
    </row>
    <row r="878" spans="1:24" x14ac:dyDescent="0.3">
      <c r="A878" s="3" t="s">
        <v>182</v>
      </c>
      <c r="B878" s="2" t="s">
        <v>119</v>
      </c>
      <c r="C878" s="4" t="s">
        <v>119</v>
      </c>
      <c r="D878" s="4" t="s">
        <v>119</v>
      </c>
      <c r="E878" s="1" t="s">
        <v>119</v>
      </c>
      <c r="F878" s="37">
        <v>1</v>
      </c>
      <c r="G878" s="37" t="s">
        <v>119</v>
      </c>
      <c r="H878" s="43" t="s">
        <v>119</v>
      </c>
      <c r="I878" s="31">
        <f>10+7+1+2+1+1+1</f>
        <v>23</v>
      </c>
      <c r="J878" s="28" t="s">
        <v>119</v>
      </c>
      <c r="K878" s="28" t="s">
        <v>119</v>
      </c>
      <c r="L878" s="28" t="s">
        <v>119</v>
      </c>
      <c r="M878" s="28">
        <v>47</v>
      </c>
      <c r="N878" s="1" t="s">
        <v>119</v>
      </c>
      <c r="O878" s="34" t="s">
        <v>119</v>
      </c>
      <c r="P878" s="106" t="s">
        <v>119</v>
      </c>
      <c r="Q878" s="106">
        <v>1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t="s">
        <v>119</v>
      </c>
      <c r="W878" s="11" t="str">
        <f t="shared" si="13"/>
        <v>X</v>
      </c>
      <c r="X878" s="11" t="s">
        <v>134</v>
      </c>
    </row>
    <row r="879" spans="1:24" x14ac:dyDescent="0.3">
      <c r="A879" s="21" t="s">
        <v>1214</v>
      </c>
      <c r="B879" s="22">
        <v>0</v>
      </c>
      <c r="C879" s="23">
        <v>3</v>
      </c>
      <c r="D879" s="23">
        <v>0</v>
      </c>
      <c r="E879" s="24">
        <v>0</v>
      </c>
      <c r="F879" s="37" t="s">
        <v>119</v>
      </c>
      <c r="G879" s="37" t="s">
        <v>119</v>
      </c>
      <c r="H879" s="32" t="s">
        <v>119</v>
      </c>
      <c r="I879" s="32" t="s">
        <v>119</v>
      </c>
      <c r="J879" s="32" t="s">
        <v>119</v>
      </c>
      <c r="K879" s="28" t="s">
        <v>119</v>
      </c>
      <c r="L879" s="28" t="s">
        <v>119</v>
      </c>
      <c r="M879" s="28" t="s">
        <v>119</v>
      </c>
      <c r="N879" s="1" t="s">
        <v>119</v>
      </c>
      <c r="O879" s="34" t="s">
        <v>119</v>
      </c>
      <c r="P879" s="106" t="s">
        <v>119</v>
      </c>
      <c r="Q879" s="106" t="s">
        <v>119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t="s">
        <v>134</v>
      </c>
      <c r="W879" s="11" t="s">
        <v>119</v>
      </c>
      <c r="X879" s="11" t="s">
        <v>119</v>
      </c>
    </row>
    <row r="880" spans="1:24" x14ac:dyDescent="0.3">
      <c r="A880" s="21" t="s">
        <v>1213</v>
      </c>
      <c r="B880" s="19" t="s">
        <v>119</v>
      </c>
      <c r="C880" s="20" t="s">
        <v>119</v>
      </c>
      <c r="D880" s="20" t="s">
        <v>119</v>
      </c>
      <c r="E880" s="25" t="s">
        <v>119</v>
      </c>
      <c r="F880" s="37" t="s">
        <v>119</v>
      </c>
      <c r="G880" s="37" t="s">
        <v>119</v>
      </c>
      <c r="H880" s="33">
        <v>40</v>
      </c>
      <c r="I880" s="32" t="s">
        <v>119</v>
      </c>
      <c r="J880" s="32" t="s">
        <v>119</v>
      </c>
      <c r="K880" s="34" t="s">
        <v>119</v>
      </c>
      <c r="L880" s="28" t="s">
        <v>119</v>
      </c>
      <c r="M880" s="28" t="s">
        <v>119</v>
      </c>
      <c r="N880" s="1" t="s">
        <v>119</v>
      </c>
      <c r="O880" s="34" t="s">
        <v>119</v>
      </c>
      <c r="P880" s="106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t="s">
        <v>134</v>
      </c>
      <c r="W880" s="11" t="s">
        <v>119</v>
      </c>
      <c r="X880" s="11" t="s">
        <v>119</v>
      </c>
    </row>
    <row r="881" spans="1:24" s="5" customFormat="1" x14ac:dyDescent="0.3">
      <c r="A881" s="8" t="s">
        <v>989</v>
      </c>
      <c r="B881" s="6" t="s">
        <v>119</v>
      </c>
      <c r="C881" s="7" t="s">
        <v>119</v>
      </c>
      <c r="D881" s="7" t="s">
        <v>119</v>
      </c>
      <c r="E881" s="10" t="s">
        <v>119</v>
      </c>
      <c r="F881" s="29">
        <v>21</v>
      </c>
      <c r="G881" s="29" t="s">
        <v>119</v>
      </c>
      <c r="H881" s="111" t="s">
        <v>119</v>
      </c>
      <c r="I881" s="29" t="s">
        <v>119</v>
      </c>
      <c r="J881" s="29" t="s">
        <v>119</v>
      </c>
      <c r="K881" s="30" t="s">
        <v>119</v>
      </c>
      <c r="L881" s="29" t="s">
        <v>119</v>
      </c>
      <c r="M881" s="29" t="s">
        <v>119</v>
      </c>
      <c r="N881" s="10" t="s">
        <v>119</v>
      </c>
      <c r="O881" s="34" t="s">
        <v>119</v>
      </c>
      <c r="P881" s="107" t="s">
        <v>119</v>
      </c>
      <c r="Q881" s="107" t="s">
        <v>119</v>
      </c>
      <c r="R881" s="107" t="s">
        <v>119</v>
      </c>
      <c r="S881" s="107" t="s">
        <v>119</v>
      </c>
      <c r="T881" s="106" t="s">
        <v>119</v>
      </c>
      <c r="U881" s="106" t="s">
        <v>119</v>
      </c>
      <c r="V881" t="s">
        <v>119</v>
      </c>
      <c r="W881" s="11" t="s">
        <v>119</v>
      </c>
      <c r="X881" s="11" t="s">
        <v>119</v>
      </c>
    </row>
    <row r="882" spans="1:24" x14ac:dyDescent="0.3">
      <c r="A882" s="46" t="s">
        <v>1202</v>
      </c>
      <c r="B882" s="47" t="s">
        <v>119</v>
      </c>
      <c r="C882" s="12" t="s">
        <v>119</v>
      </c>
      <c r="D882" s="12" t="s">
        <v>119</v>
      </c>
      <c r="E882" s="12" t="s">
        <v>119</v>
      </c>
      <c r="F882" s="37" t="s">
        <v>119</v>
      </c>
      <c r="G882" s="37" t="s">
        <v>119</v>
      </c>
      <c r="H882" s="34" t="s">
        <v>119</v>
      </c>
      <c r="I882" s="34" t="s">
        <v>119</v>
      </c>
      <c r="J882" s="34">
        <v>3</v>
      </c>
      <c r="K882" s="32" t="s">
        <v>119</v>
      </c>
      <c r="L882" s="28" t="s">
        <v>119</v>
      </c>
      <c r="M882" s="28" t="s">
        <v>119</v>
      </c>
      <c r="N882" s="1" t="s">
        <v>119</v>
      </c>
      <c r="O882" s="34" t="s">
        <v>119</v>
      </c>
      <c r="P882" s="106" t="s">
        <v>119</v>
      </c>
      <c r="Q882" s="106" t="s">
        <v>119</v>
      </c>
      <c r="R882" s="106" t="s">
        <v>119</v>
      </c>
      <c r="S882" s="106" t="s">
        <v>119</v>
      </c>
      <c r="T882" s="106" t="s">
        <v>119</v>
      </c>
      <c r="U882" s="106" t="s">
        <v>119</v>
      </c>
      <c r="V882" t="s">
        <v>134</v>
      </c>
      <c r="W882" s="11" t="s">
        <v>119</v>
      </c>
      <c r="X882" s="11" t="s">
        <v>119</v>
      </c>
    </row>
    <row r="883" spans="1:24" x14ac:dyDescent="0.3">
      <c r="A883" s="46" t="s">
        <v>598</v>
      </c>
      <c r="B883" s="47" t="s">
        <v>119</v>
      </c>
      <c r="C883" s="12" t="s">
        <v>119</v>
      </c>
      <c r="D883" s="12" t="s">
        <v>119</v>
      </c>
      <c r="E883" s="12" t="s">
        <v>119</v>
      </c>
      <c r="F883" s="37" t="s">
        <v>119</v>
      </c>
      <c r="G883" s="37" t="s">
        <v>119</v>
      </c>
      <c r="H883" s="34" t="s">
        <v>119</v>
      </c>
      <c r="I883" s="34" t="s">
        <v>119</v>
      </c>
      <c r="J883" s="34" t="s">
        <v>119</v>
      </c>
      <c r="K883" s="32" t="s">
        <v>119</v>
      </c>
      <c r="L883" s="28" t="s">
        <v>119</v>
      </c>
      <c r="M883" s="28">
        <v>1</v>
      </c>
      <c r="N883" s="1" t="s">
        <v>119</v>
      </c>
      <c r="O883" s="34" t="s">
        <v>119</v>
      </c>
      <c r="P883" s="106" t="s">
        <v>119</v>
      </c>
      <c r="Q883" s="106" t="s">
        <v>119</v>
      </c>
      <c r="R883" s="106" t="s">
        <v>119</v>
      </c>
      <c r="S883" s="106" t="s">
        <v>119</v>
      </c>
      <c r="T883" s="106" t="s">
        <v>119</v>
      </c>
      <c r="U883" s="106" t="s">
        <v>119</v>
      </c>
      <c r="V883" t="s">
        <v>119</v>
      </c>
      <c r="W883" s="11" t="s">
        <v>119</v>
      </c>
      <c r="X883" s="11" t="s">
        <v>119</v>
      </c>
    </row>
    <row r="884" spans="1:24" x14ac:dyDescent="0.3">
      <c r="A884" s="46" t="s">
        <v>599</v>
      </c>
      <c r="B884" s="47" t="s">
        <v>119</v>
      </c>
      <c r="C884" s="12" t="s">
        <v>119</v>
      </c>
      <c r="D884" s="12" t="s">
        <v>119</v>
      </c>
      <c r="E884" s="12" t="s">
        <v>119</v>
      </c>
      <c r="F884" s="37" t="s">
        <v>119</v>
      </c>
      <c r="G884" s="37" t="s">
        <v>119</v>
      </c>
      <c r="H884" s="34" t="s">
        <v>119</v>
      </c>
      <c r="I884" s="34" t="s">
        <v>119</v>
      </c>
      <c r="J884" s="34" t="s">
        <v>119</v>
      </c>
      <c r="K884" s="32" t="s">
        <v>119</v>
      </c>
      <c r="L884" s="28" t="s">
        <v>119</v>
      </c>
      <c r="M884" s="28">
        <v>1</v>
      </c>
      <c r="N884" s="1" t="s">
        <v>119</v>
      </c>
      <c r="O884" s="34" t="s">
        <v>119</v>
      </c>
      <c r="P884" s="106" t="s">
        <v>119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t="s">
        <v>119</v>
      </c>
      <c r="W884" s="11" t="s">
        <v>119</v>
      </c>
      <c r="X884" s="11" t="s">
        <v>134</v>
      </c>
    </row>
    <row r="885" spans="1:24" x14ac:dyDescent="0.3">
      <c r="A885" s="21" t="s">
        <v>1216</v>
      </c>
      <c r="B885" s="22">
        <v>1</v>
      </c>
      <c r="C885" s="23">
        <v>0</v>
      </c>
      <c r="D885" s="23">
        <v>0</v>
      </c>
      <c r="E885" s="24">
        <v>0</v>
      </c>
      <c r="F885" s="37" t="s">
        <v>119</v>
      </c>
      <c r="G885" s="37" t="s">
        <v>119</v>
      </c>
      <c r="H885" s="32" t="s">
        <v>119</v>
      </c>
      <c r="I885" s="32" t="s">
        <v>119</v>
      </c>
      <c r="J885" s="32" t="s">
        <v>119</v>
      </c>
      <c r="K885" s="31" t="s">
        <v>119</v>
      </c>
      <c r="L885" s="28" t="s">
        <v>119</v>
      </c>
      <c r="M885" s="28" t="s">
        <v>119</v>
      </c>
      <c r="N885" s="1" t="s">
        <v>119</v>
      </c>
      <c r="O885" s="34" t="s">
        <v>119</v>
      </c>
      <c r="P885" s="106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t="s">
        <v>134</v>
      </c>
      <c r="W885" s="11" t="s">
        <v>119</v>
      </c>
      <c r="X885" s="11" t="s">
        <v>119</v>
      </c>
    </row>
    <row r="886" spans="1:24" s="11" customFormat="1" x14ac:dyDescent="0.3">
      <c r="A886" s="13" t="s">
        <v>1203</v>
      </c>
      <c r="B886" s="18" t="s">
        <v>119</v>
      </c>
      <c r="C886" s="12" t="s">
        <v>119</v>
      </c>
      <c r="D886" s="12" t="s">
        <v>119</v>
      </c>
      <c r="E886" s="14" t="s">
        <v>119</v>
      </c>
      <c r="F886" s="31" t="s">
        <v>119</v>
      </c>
      <c r="G886" s="31" t="s">
        <v>119</v>
      </c>
      <c r="H886" s="31" t="s">
        <v>119</v>
      </c>
      <c r="I886" s="31" t="s">
        <v>119</v>
      </c>
      <c r="J886" s="31">
        <v>2</v>
      </c>
      <c r="K886" s="31" t="s">
        <v>119</v>
      </c>
      <c r="L886" s="31" t="s">
        <v>119</v>
      </c>
      <c r="M886" s="31" t="s">
        <v>119</v>
      </c>
      <c r="N886" s="14" t="s">
        <v>119</v>
      </c>
      <c r="O886" s="34" t="s">
        <v>119</v>
      </c>
      <c r="P886" s="108" t="s">
        <v>119</v>
      </c>
      <c r="Q886" s="108" t="s">
        <v>119</v>
      </c>
      <c r="R886" s="108" t="s">
        <v>119</v>
      </c>
      <c r="S886" s="108" t="s">
        <v>119</v>
      </c>
      <c r="T886" s="108" t="s">
        <v>119</v>
      </c>
      <c r="U886" s="108" t="s">
        <v>119</v>
      </c>
      <c r="V886" t="s">
        <v>134</v>
      </c>
      <c r="W886" s="11" t="s">
        <v>119</v>
      </c>
      <c r="X886" s="11" t="s">
        <v>119</v>
      </c>
    </row>
    <row r="887" spans="1:24" s="11" customFormat="1" x14ac:dyDescent="0.3">
      <c r="A887" s="13" t="s">
        <v>600</v>
      </c>
      <c r="B887" s="18" t="s">
        <v>119</v>
      </c>
      <c r="C887" s="12" t="s">
        <v>119</v>
      </c>
      <c r="D887" s="12" t="s">
        <v>119</v>
      </c>
      <c r="E887" s="14" t="s">
        <v>119</v>
      </c>
      <c r="F887" s="37" t="s">
        <v>119</v>
      </c>
      <c r="G887" s="37" t="s">
        <v>119</v>
      </c>
      <c r="H887" s="31" t="s">
        <v>119</v>
      </c>
      <c r="I887" s="31" t="s">
        <v>119</v>
      </c>
      <c r="J887" s="31" t="s">
        <v>119</v>
      </c>
      <c r="K887" s="31" t="s">
        <v>119</v>
      </c>
      <c r="L887" s="31" t="s">
        <v>119</v>
      </c>
      <c r="M887" s="31" t="s">
        <v>134</v>
      </c>
      <c r="N887" s="14" t="s">
        <v>119</v>
      </c>
      <c r="O887" s="34" t="s">
        <v>119</v>
      </c>
      <c r="P887" s="106" t="s">
        <v>119</v>
      </c>
      <c r="Q887" s="106" t="s">
        <v>119</v>
      </c>
      <c r="R887" s="106" t="s">
        <v>119</v>
      </c>
      <c r="S887" s="106" t="s">
        <v>119</v>
      </c>
      <c r="T887" s="106" t="s">
        <v>119</v>
      </c>
      <c r="U887" s="106" t="s">
        <v>119</v>
      </c>
      <c r="V887" t="s">
        <v>119</v>
      </c>
      <c r="W887" s="11" t="s">
        <v>134</v>
      </c>
      <c r="X887" s="11" t="s">
        <v>119</v>
      </c>
    </row>
    <row r="888" spans="1:24" x14ac:dyDescent="0.3">
      <c r="A888" s="13" t="s">
        <v>154</v>
      </c>
      <c r="B888" s="26" t="s">
        <v>119</v>
      </c>
      <c r="C888" s="12" t="s">
        <v>119</v>
      </c>
      <c r="D888" s="12" t="s">
        <v>119</v>
      </c>
      <c r="E888" s="14" t="s">
        <v>119</v>
      </c>
      <c r="F888" s="37" t="s">
        <v>119</v>
      </c>
      <c r="G888" s="37" t="s">
        <v>119</v>
      </c>
      <c r="H888" s="31">
        <v>13</v>
      </c>
      <c r="I888" s="31">
        <f>3+1</f>
        <v>4</v>
      </c>
      <c r="J888" s="31" t="s">
        <v>119</v>
      </c>
      <c r="K888" s="28">
        <v>5</v>
      </c>
      <c r="L888" s="28" t="s">
        <v>119</v>
      </c>
      <c r="M888" s="28">
        <v>1</v>
      </c>
      <c r="N888" s="1" t="s">
        <v>119</v>
      </c>
      <c r="O888" s="34" t="s">
        <v>119</v>
      </c>
      <c r="P888" s="106" t="s">
        <v>119</v>
      </c>
      <c r="Q888" s="106">
        <v>1</v>
      </c>
      <c r="R888" s="106">
        <v>1</v>
      </c>
      <c r="S888" s="106" t="s">
        <v>119</v>
      </c>
      <c r="T888" s="106">
        <v>1</v>
      </c>
      <c r="U888" s="106" t="s">
        <v>119</v>
      </c>
      <c r="V888" t="s">
        <v>119</v>
      </c>
      <c r="W888" s="11" t="str">
        <f t="shared" si="13"/>
        <v>X</v>
      </c>
      <c r="X888" s="11" t="s">
        <v>134</v>
      </c>
    </row>
    <row r="889" spans="1:24" x14ac:dyDescent="0.3">
      <c r="A889" s="13" t="s">
        <v>601</v>
      </c>
      <c r="B889" s="26" t="s">
        <v>119</v>
      </c>
      <c r="C889" s="12" t="s">
        <v>119</v>
      </c>
      <c r="D889" s="12" t="s">
        <v>119</v>
      </c>
      <c r="E889" s="14" t="s">
        <v>119</v>
      </c>
      <c r="F889" s="37" t="s">
        <v>119</v>
      </c>
      <c r="G889" s="37" t="s">
        <v>119</v>
      </c>
      <c r="H889" s="31" t="s">
        <v>119</v>
      </c>
      <c r="I889" s="31" t="s">
        <v>119</v>
      </c>
      <c r="J889" s="31" t="s">
        <v>119</v>
      </c>
      <c r="K889" s="28" t="s">
        <v>119</v>
      </c>
      <c r="L889" s="28" t="s">
        <v>119</v>
      </c>
      <c r="M889" s="28">
        <v>6</v>
      </c>
      <c r="N889" s="1" t="s">
        <v>119</v>
      </c>
      <c r="O889" s="34" t="s">
        <v>119</v>
      </c>
      <c r="P889" s="106" t="s">
        <v>119</v>
      </c>
      <c r="Q889" s="106" t="s">
        <v>119</v>
      </c>
      <c r="R889" s="106" t="s">
        <v>119</v>
      </c>
      <c r="S889" s="106" t="s">
        <v>119</v>
      </c>
      <c r="T889" s="106" t="s">
        <v>119</v>
      </c>
      <c r="U889" s="106" t="s">
        <v>119</v>
      </c>
      <c r="V889" t="s">
        <v>119</v>
      </c>
      <c r="W889" s="11" t="s">
        <v>134</v>
      </c>
      <c r="X889" s="11" t="s">
        <v>134</v>
      </c>
    </row>
    <row r="890" spans="1:24" x14ac:dyDescent="0.3">
      <c r="A890" s="13" t="s">
        <v>602</v>
      </c>
      <c r="B890" s="26" t="s">
        <v>119</v>
      </c>
      <c r="C890" s="12" t="s">
        <v>119</v>
      </c>
      <c r="D890" s="12" t="s">
        <v>119</v>
      </c>
      <c r="E890" s="14" t="s">
        <v>119</v>
      </c>
      <c r="F890" s="37">
        <v>2</v>
      </c>
      <c r="G890" s="37" t="s">
        <v>119</v>
      </c>
      <c r="H890" s="31" t="s">
        <v>119</v>
      </c>
      <c r="I890" s="31" t="s">
        <v>119</v>
      </c>
      <c r="J890" s="31" t="s">
        <v>119</v>
      </c>
      <c r="K890" s="28" t="s">
        <v>119</v>
      </c>
      <c r="L890" s="28" t="s">
        <v>119</v>
      </c>
      <c r="M890" s="28">
        <v>13</v>
      </c>
      <c r="N890" s="1" t="s">
        <v>119</v>
      </c>
      <c r="O890" s="34" t="s">
        <v>119</v>
      </c>
      <c r="P890" s="106" t="s">
        <v>119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t="s">
        <v>119</v>
      </c>
      <c r="W890" s="11" t="s">
        <v>119</v>
      </c>
      <c r="X890" s="11" t="s">
        <v>119</v>
      </c>
    </row>
    <row r="891" spans="1:24" x14ac:dyDescent="0.3">
      <c r="A891" s="13" t="s">
        <v>1204</v>
      </c>
      <c r="B891" s="26" t="s">
        <v>119</v>
      </c>
      <c r="C891" s="26" t="s">
        <v>119</v>
      </c>
      <c r="D891" s="26" t="s">
        <v>119</v>
      </c>
      <c r="E891" s="26" t="s">
        <v>119</v>
      </c>
      <c r="F891" s="26" t="s">
        <v>119</v>
      </c>
      <c r="G891" s="26" t="s">
        <v>119</v>
      </c>
      <c r="H891" s="26" t="s">
        <v>119</v>
      </c>
      <c r="I891" s="26" t="s">
        <v>119</v>
      </c>
      <c r="J891" s="31" t="s">
        <v>134</v>
      </c>
      <c r="K891" s="28" t="s">
        <v>119</v>
      </c>
      <c r="L891" s="28" t="s">
        <v>119</v>
      </c>
      <c r="M891" s="28" t="s">
        <v>119</v>
      </c>
      <c r="N891" s="28" t="s">
        <v>119</v>
      </c>
      <c r="O891" s="28" t="s">
        <v>119</v>
      </c>
      <c r="P891" s="106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t="s">
        <v>134</v>
      </c>
      <c r="W891" s="11" t="s">
        <v>119</v>
      </c>
      <c r="X891" s="11" t="s">
        <v>119</v>
      </c>
    </row>
    <row r="892" spans="1:24" x14ac:dyDescent="0.3">
      <c r="A892" s="13" t="s">
        <v>603</v>
      </c>
      <c r="B892" s="26" t="s">
        <v>119</v>
      </c>
      <c r="C892" s="12" t="s">
        <v>119</v>
      </c>
      <c r="D892" s="12" t="s">
        <v>119</v>
      </c>
      <c r="E892" s="14" t="s">
        <v>119</v>
      </c>
      <c r="F892" s="37" t="s">
        <v>119</v>
      </c>
      <c r="G892" s="37" t="s">
        <v>119</v>
      </c>
      <c r="H892" s="31" t="s">
        <v>119</v>
      </c>
      <c r="I892" s="31" t="s">
        <v>119</v>
      </c>
      <c r="J892" s="31" t="s">
        <v>119</v>
      </c>
      <c r="K892" s="28" t="s">
        <v>119</v>
      </c>
      <c r="L892" s="28" t="s">
        <v>119</v>
      </c>
      <c r="M892" s="28">
        <f>15+5+24+6+7+17+7+5+3+2+3+6+4+3+2</f>
        <v>109</v>
      </c>
      <c r="N892" s="1" t="s">
        <v>119</v>
      </c>
      <c r="O892" s="34" t="s">
        <v>119</v>
      </c>
      <c r="P892" s="106">
        <v>10</v>
      </c>
      <c r="Q892" s="106">
        <v>101</v>
      </c>
      <c r="R892" s="106">
        <v>16</v>
      </c>
      <c r="S892" s="106">
        <v>17</v>
      </c>
      <c r="T892" s="106" t="s">
        <v>119</v>
      </c>
      <c r="U892" s="106">
        <v>21</v>
      </c>
      <c r="V892" t="s">
        <v>119</v>
      </c>
      <c r="W892" s="11" t="str">
        <f t="shared" si="13"/>
        <v>X</v>
      </c>
      <c r="X892" s="11" t="s">
        <v>134</v>
      </c>
    </row>
    <row r="893" spans="1:24" x14ac:dyDescent="0.3">
      <c r="A893" s="13" t="s">
        <v>701</v>
      </c>
      <c r="B893" s="26" t="s">
        <v>119</v>
      </c>
      <c r="C893" s="12" t="s">
        <v>119</v>
      </c>
      <c r="D893" s="12" t="s">
        <v>119</v>
      </c>
      <c r="E893" s="14" t="s">
        <v>119</v>
      </c>
      <c r="F893" s="37" t="s">
        <v>119</v>
      </c>
      <c r="G893" s="37">
        <v>4</v>
      </c>
      <c r="H893" s="31" t="s">
        <v>119</v>
      </c>
      <c r="I893" s="31" t="s">
        <v>119</v>
      </c>
      <c r="J893" s="31" t="s">
        <v>119</v>
      </c>
      <c r="K893" s="28" t="s">
        <v>119</v>
      </c>
      <c r="L893" s="28" t="s">
        <v>119</v>
      </c>
      <c r="M893" s="28" t="s">
        <v>119</v>
      </c>
      <c r="N893" s="1" t="s">
        <v>119</v>
      </c>
      <c r="O893" s="34" t="s">
        <v>119</v>
      </c>
      <c r="P893" s="106" t="s">
        <v>119</v>
      </c>
      <c r="Q893" s="106" t="s">
        <v>119</v>
      </c>
      <c r="R893" s="106" t="s">
        <v>119</v>
      </c>
      <c r="S893" s="106" t="s">
        <v>119</v>
      </c>
      <c r="T893" s="106" t="s">
        <v>119</v>
      </c>
      <c r="U893" s="106" t="s">
        <v>119</v>
      </c>
      <c r="V893" t="s">
        <v>119</v>
      </c>
      <c r="W893" s="11" t="s">
        <v>119</v>
      </c>
      <c r="X893" s="11" t="s">
        <v>134</v>
      </c>
    </row>
    <row r="894" spans="1:24" s="74" customFormat="1" x14ac:dyDescent="0.3">
      <c r="A894" s="21" t="s">
        <v>1149</v>
      </c>
      <c r="B894" s="129" t="s">
        <v>119</v>
      </c>
      <c r="C894" s="20" t="s">
        <v>119</v>
      </c>
      <c r="D894" s="20" t="s">
        <v>119</v>
      </c>
      <c r="E894" s="25" t="s">
        <v>119</v>
      </c>
      <c r="F894" s="32" t="s">
        <v>119</v>
      </c>
      <c r="G894" s="32" t="s">
        <v>119</v>
      </c>
      <c r="H894" s="32" t="s">
        <v>119</v>
      </c>
      <c r="I894" s="32" t="s">
        <v>119</v>
      </c>
      <c r="J894" s="32" t="s">
        <v>119</v>
      </c>
      <c r="K894" s="32" t="s">
        <v>119</v>
      </c>
      <c r="L894" s="32" t="s">
        <v>119</v>
      </c>
      <c r="M894" s="32" t="s">
        <v>119</v>
      </c>
      <c r="N894" s="25" t="s">
        <v>119</v>
      </c>
      <c r="O894" s="45">
        <v>13</v>
      </c>
      <c r="P894" s="128" t="s">
        <v>119</v>
      </c>
      <c r="Q894" s="128" t="s">
        <v>119</v>
      </c>
      <c r="R894" s="128" t="s">
        <v>119</v>
      </c>
      <c r="S894" s="128" t="s">
        <v>119</v>
      </c>
      <c r="T894" s="128" t="s">
        <v>119</v>
      </c>
      <c r="U894" s="128" t="s">
        <v>119</v>
      </c>
      <c r="V894" s="74" t="s">
        <v>134</v>
      </c>
      <c r="W894" s="11" t="s">
        <v>119</v>
      </c>
      <c r="X894" s="11" t="s">
        <v>119</v>
      </c>
    </row>
    <row r="895" spans="1:24" s="74" customFormat="1" x14ac:dyDescent="0.3">
      <c r="A895" s="21" t="s">
        <v>1205</v>
      </c>
      <c r="B895" s="129" t="s">
        <v>119</v>
      </c>
      <c r="C895" s="129" t="s">
        <v>119</v>
      </c>
      <c r="D895" s="129" t="s">
        <v>119</v>
      </c>
      <c r="E895" s="129" t="s">
        <v>119</v>
      </c>
      <c r="F895" s="129" t="s">
        <v>119</v>
      </c>
      <c r="G895" s="129" t="s">
        <v>119</v>
      </c>
      <c r="H895" s="129" t="s">
        <v>119</v>
      </c>
      <c r="I895" s="129" t="s">
        <v>119</v>
      </c>
      <c r="J895" s="32" t="s">
        <v>134</v>
      </c>
      <c r="K895" s="32" t="s">
        <v>119</v>
      </c>
      <c r="L895" s="32" t="s">
        <v>119</v>
      </c>
      <c r="M895" s="32" t="s">
        <v>119</v>
      </c>
      <c r="N895" s="32" t="s">
        <v>119</v>
      </c>
      <c r="O895" s="32" t="s">
        <v>119</v>
      </c>
      <c r="P895" s="128" t="s">
        <v>119</v>
      </c>
      <c r="Q895" s="128" t="s">
        <v>119</v>
      </c>
      <c r="R895" s="128" t="s">
        <v>119</v>
      </c>
      <c r="S895" s="128" t="s">
        <v>119</v>
      </c>
      <c r="T895" s="128" t="s">
        <v>119</v>
      </c>
      <c r="U895" s="128" t="s">
        <v>119</v>
      </c>
      <c r="V895" s="74" t="s">
        <v>134</v>
      </c>
      <c r="W895" s="11" t="s">
        <v>119</v>
      </c>
      <c r="X895" s="11" t="s">
        <v>119</v>
      </c>
    </row>
    <row r="896" spans="1:24" x14ac:dyDescent="0.3">
      <c r="A896" s="21" t="s">
        <v>1150</v>
      </c>
      <c r="B896" s="22">
        <v>65</v>
      </c>
      <c r="C896" s="71">
        <v>1</v>
      </c>
      <c r="D896" s="23">
        <v>0</v>
      </c>
      <c r="E896" s="24">
        <v>0</v>
      </c>
      <c r="F896" s="37" t="s">
        <v>119</v>
      </c>
      <c r="G896" s="37" t="s">
        <v>119</v>
      </c>
      <c r="H896" s="28" t="s">
        <v>119</v>
      </c>
      <c r="I896" s="28" t="s">
        <v>119</v>
      </c>
      <c r="J896" s="28" t="s">
        <v>119</v>
      </c>
      <c r="K896" s="28" t="s">
        <v>119</v>
      </c>
      <c r="L896" s="28" t="s">
        <v>119</v>
      </c>
      <c r="M896" s="28" t="s">
        <v>119</v>
      </c>
      <c r="N896" s="1" t="s">
        <v>119</v>
      </c>
      <c r="O896" s="34" t="s">
        <v>119</v>
      </c>
      <c r="P896" s="106" t="s">
        <v>119</v>
      </c>
      <c r="Q896" s="106" t="s">
        <v>119</v>
      </c>
      <c r="R896" s="106" t="s">
        <v>119</v>
      </c>
      <c r="S896" s="106" t="s">
        <v>119</v>
      </c>
      <c r="T896" s="106" t="s">
        <v>119</v>
      </c>
      <c r="U896" s="106" t="s">
        <v>119</v>
      </c>
      <c r="V896" t="s">
        <v>134</v>
      </c>
      <c r="W896" s="11" t="s">
        <v>119</v>
      </c>
      <c r="X896" s="11" t="s">
        <v>119</v>
      </c>
    </row>
    <row r="897" spans="1:24" x14ac:dyDescent="0.3">
      <c r="A897" s="3" t="s">
        <v>155</v>
      </c>
      <c r="B897" s="2" t="s">
        <v>119</v>
      </c>
      <c r="C897" s="4" t="s">
        <v>119</v>
      </c>
      <c r="D897" s="4" t="s">
        <v>119</v>
      </c>
      <c r="E897" s="1" t="s">
        <v>119</v>
      </c>
      <c r="F897" s="37">
        <v>105</v>
      </c>
      <c r="G897" s="37">
        <f>2+2+4+2+1</f>
        <v>11</v>
      </c>
      <c r="H897" s="28">
        <v>9</v>
      </c>
      <c r="I897" s="28">
        <f>6+4</f>
        <v>10</v>
      </c>
      <c r="J897" s="28">
        <v>18</v>
      </c>
      <c r="K897" s="28">
        <v>6</v>
      </c>
      <c r="L897" s="28">
        <v>5</v>
      </c>
      <c r="M897" s="28" t="s">
        <v>119</v>
      </c>
      <c r="N897" s="1">
        <f>1+9+7+1+17+1+4+1+3</f>
        <v>44</v>
      </c>
      <c r="O897" s="34">
        <v>10</v>
      </c>
      <c r="P897" s="106" t="s">
        <v>119</v>
      </c>
      <c r="Q897" s="106" t="s">
        <v>119</v>
      </c>
      <c r="R897" s="106" t="s">
        <v>119</v>
      </c>
      <c r="S897" s="106" t="s">
        <v>119</v>
      </c>
      <c r="T897" s="106" t="s">
        <v>119</v>
      </c>
      <c r="U897" s="106" t="s">
        <v>119</v>
      </c>
      <c r="V897" t="s">
        <v>119</v>
      </c>
      <c r="W897" s="11" t="s">
        <v>1274</v>
      </c>
      <c r="X897" s="11" t="s">
        <v>1274</v>
      </c>
    </row>
    <row r="898" spans="1:24" x14ac:dyDescent="0.3">
      <c r="A898" s="3" t="s">
        <v>604</v>
      </c>
      <c r="B898" s="2" t="s">
        <v>119</v>
      </c>
      <c r="C898" s="4" t="s">
        <v>119</v>
      </c>
      <c r="D898" s="4" t="s">
        <v>119</v>
      </c>
      <c r="E898" s="1" t="s">
        <v>119</v>
      </c>
      <c r="F898" s="37" t="s">
        <v>119</v>
      </c>
      <c r="G898" s="37" t="s">
        <v>119</v>
      </c>
      <c r="H898" s="28" t="s">
        <v>119</v>
      </c>
      <c r="I898" s="28" t="s">
        <v>119</v>
      </c>
      <c r="J898" s="28" t="s">
        <v>119</v>
      </c>
      <c r="K898" s="28" t="s">
        <v>119</v>
      </c>
      <c r="L898" s="28" t="s">
        <v>119</v>
      </c>
      <c r="M898" s="28">
        <v>3</v>
      </c>
      <c r="N898" s="1" t="s">
        <v>119</v>
      </c>
      <c r="O898" s="34" t="s">
        <v>119</v>
      </c>
      <c r="P898" s="106" t="s">
        <v>119</v>
      </c>
      <c r="Q898" s="106" t="s">
        <v>119</v>
      </c>
      <c r="R898" s="106" t="s">
        <v>119</v>
      </c>
      <c r="S898" s="106" t="s">
        <v>119</v>
      </c>
      <c r="T898" s="106" t="s">
        <v>119</v>
      </c>
      <c r="U898" s="106" t="s">
        <v>119</v>
      </c>
      <c r="V898" t="s">
        <v>119</v>
      </c>
      <c r="W898" s="11" t="s">
        <v>134</v>
      </c>
      <c r="X898" s="11" t="s">
        <v>134</v>
      </c>
    </row>
    <row r="899" spans="1:24" x14ac:dyDescent="0.3">
      <c r="A899" s="3" t="s">
        <v>156</v>
      </c>
      <c r="B899" s="2" t="s">
        <v>119</v>
      </c>
      <c r="C899" s="4" t="s">
        <v>119</v>
      </c>
      <c r="D899" s="4" t="s">
        <v>119</v>
      </c>
      <c r="E899" s="1" t="s">
        <v>119</v>
      </c>
      <c r="F899" s="37">
        <v>4</v>
      </c>
      <c r="G899" s="37" t="s">
        <v>119</v>
      </c>
      <c r="H899" s="28">
        <v>7</v>
      </c>
      <c r="I899" s="28">
        <v>13</v>
      </c>
      <c r="J899" s="28" t="s">
        <v>119</v>
      </c>
      <c r="K899" s="28" t="s">
        <v>119</v>
      </c>
      <c r="L899" s="28" t="s">
        <v>119</v>
      </c>
      <c r="M899" s="28">
        <v>1</v>
      </c>
      <c r="N899" s="1" t="s">
        <v>119</v>
      </c>
      <c r="O899" s="34" t="s">
        <v>119</v>
      </c>
      <c r="P899" s="106" t="s">
        <v>119</v>
      </c>
      <c r="Q899" s="106">
        <v>1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t="s">
        <v>119</v>
      </c>
      <c r="W899" s="11" t="str">
        <f t="shared" si="13"/>
        <v>X</v>
      </c>
      <c r="X899" s="11" t="s">
        <v>134</v>
      </c>
    </row>
    <row r="900" spans="1:24" x14ac:dyDescent="0.3">
      <c r="A900" s="3" t="s">
        <v>36</v>
      </c>
      <c r="B900" s="2">
        <v>14</v>
      </c>
      <c r="C900" s="4">
        <v>4</v>
      </c>
      <c r="D900" s="4">
        <v>3</v>
      </c>
      <c r="E900" s="1">
        <v>3</v>
      </c>
      <c r="F900" s="37" t="s">
        <v>119</v>
      </c>
      <c r="G900" s="37" t="s">
        <v>119</v>
      </c>
      <c r="H900" s="28" t="s">
        <v>119</v>
      </c>
      <c r="I900" s="28" t="s">
        <v>119</v>
      </c>
      <c r="J900" s="28" t="s">
        <v>119</v>
      </c>
      <c r="K900" s="28" t="s">
        <v>119</v>
      </c>
      <c r="L900" s="28" t="s">
        <v>119</v>
      </c>
      <c r="M900" s="28" t="s">
        <v>119</v>
      </c>
      <c r="N900" s="1" t="s">
        <v>119</v>
      </c>
      <c r="O900" s="34" t="s">
        <v>119</v>
      </c>
      <c r="P900" s="106" t="s">
        <v>119</v>
      </c>
      <c r="Q900" s="106" t="s">
        <v>119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t="s">
        <v>119</v>
      </c>
      <c r="W900" s="11" t="s">
        <v>134</v>
      </c>
      <c r="X900" s="11" t="s">
        <v>134</v>
      </c>
    </row>
    <row r="901" spans="1:24" x14ac:dyDescent="0.3">
      <c r="A901" s="3" t="s">
        <v>322</v>
      </c>
      <c r="B901" s="2" t="s">
        <v>119</v>
      </c>
      <c r="C901" s="4" t="s">
        <v>119</v>
      </c>
      <c r="D901" s="4" t="s">
        <v>119</v>
      </c>
      <c r="E901" s="1" t="s">
        <v>119</v>
      </c>
      <c r="F901" s="37" t="s">
        <v>119</v>
      </c>
      <c r="G901" s="37" t="s">
        <v>119</v>
      </c>
      <c r="H901" s="28" t="s">
        <v>119</v>
      </c>
      <c r="I901" s="28" t="s">
        <v>119</v>
      </c>
      <c r="J901" s="28" t="s">
        <v>119</v>
      </c>
      <c r="K901" s="28">
        <v>5</v>
      </c>
      <c r="L901" s="28" t="s">
        <v>119</v>
      </c>
      <c r="M901" s="28" t="s">
        <v>119</v>
      </c>
      <c r="N901" s="1" t="s">
        <v>119</v>
      </c>
      <c r="O901" s="34" t="s">
        <v>119</v>
      </c>
      <c r="P901" s="106" t="s">
        <v>119</v>
      </c>
      <c r="Q901" s="106" t="s">
        <v>119</v>
      </c>
      <c r="R901" s="106" t="s">
        <v>119</v>
      </c>
      <c r="S901" s="106" t="s">
        <v>119</v>
      </c>
      <c r="T901" s="106" t="s">
        <v>119</v>
      </c>
      <c r="U901" s="106" t="s">
        <v>119</v>
      </c>
      <c r="V901" t="s">
        <v>119</v>
      </c>
      <c r="W901" s="11" t="s">
        <v>119</v>
      </c>
      <c r="X901" s="11" t="s">
        <v>119</v>
      </c>
    </row>
    <row r="902" spans="1:24" x14ac:dyDescent="0.3">
      <c r="A902" s="3" t="s">
        <v>157</v>
      </c>
      <c r="B902" s="2" t="s">
        <v>119</v>
      </c>
      <c r="C902" s="4" t="s">
        <v>119</v>
      </c>
      <c r="D902" s="4" t="s">
        <v>119</v>
      </c>
      <c r="E902" s="1" t="s">
        <v>119</v>
      </c>
      <c r="F902" s="37" t="s">
        <v>119</v>
      </c>
      <c r="G902" s="37">
        <f>1+3+1+3+2+1+18+4+4</f>
        <v>37</v>
      </c>
      <c r="H902" s="28">
        <f>5+1+1+1+1+1+32</f>
        <v>42</v>
      </c>
      <c r="I902" s="28">
        <f>26+11+2+7+4+12+1+11+10+8+4+3+5+1+38</f>
        <v>143</v>
      </c>
      <c r="J902" s="28" t="s">
        <v>119</v>
      </c>
      <c r="K902" s="28">
        <v>32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106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t="s">
        <v>119</v>
      </c>
      <c r="W902" s="11" t="s">
        <v>119</v>
      </c>
      <c r="X902" s="11" t="s">
        <v>134</v>
      </c>
    </row>
    <row r="903" spans="1:24" x14ac:dyDescent="0.3">
      <c r="A903" s="3" t="s">
        <v>35</v>
      </c>
      <c r="B903" s="2">
        <v>27</v>
      </c>
      <c r="C903" s="4">
        <v>6</v>
      </c>
      <c r="D903" s="4">
        <v>0</v>
      </c>
      <c r="E903" s="1">
        <v>1</v>
      </c>
      <c r="F903" s="37" t="s">
        <v>119</v>
      </c>
      <c r="G903" s="37" t="s">
        <v>119</v>
      </c>
      <c r="H903" s="28" t="s">
        <v>119</v>
      </c>
      <c r="I903" s="28" t="s">
        <v>119</v>
      </c>
      <c r="J903" s="28" t="s">
        <v>119</v>
      </c>
      <c r="K903" s="28" t="s">
        <v>119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106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t="s">
        <v>119</v>
      </c>
      <c r="W903" s="11" t="s">
        <v>134</v>
      </c>
      <c r="X903" s="11" t="s">
        <v>134</v>
      </c>
    </row>
    <row r="904" spans="1:24" x14ac:dyDescent="0.3">
      <c r="A904" s="3" t="s">
        <v>158</v>
      </c>
      <c r="B904" s="2" t="s">
        <v>119</v>
      </c>
      <c r="C904" s="4" t="s">
        <v>119</v>
      </c>
      <c r="D904" s="4" t="s">
        <v>119</v>
      </c>
      <c r="E904" s="1" t="s">
        <v>119</v>
      </c>
      <c r="F904" s="37" t="s">
        <v>119</v>
      </c>
      <c r="G904" s="37" t="s">
        <v>119</v>
      </c>
      <c r="H904" s="28">
        <v>1</v>
      </c>
      <c r="I904" s="28">
        <v>11</v>
      </c>
      <c r="J904" s="28" t="s">
        <v>119</v>
      </c>
      <c r="K904" s="28">
        <v>4</v>
      </c>
      <c r="L904" s="28" t="s">
        <v>119</v>
      </c>
      <c r="M904" s="28" t="s">
        <v>119</v>
      </c>
      <c r="N904" s="1" t="s">
        <v>119</v>
      </c>
      <c r="O904" s="34" t="s">
        <v>134</v>
      </c>
      <c r="P904" s="106" t="s">
        <v>119</v>
      </c>
      <c r="Q904" s="106" t="s">
        <v>119</v>
      </c>
      <c r="R904" s="106" t="s">
        <v>119</v>
      </c>
      <c r="S904" s="106" t="s">
        <v>119</v>
      </c>
      <c r="T904" s="106" t="s">
        <v>119</v>
      </c>
      <c r="U904" s="106" t="s">
        <v>119</v>
      </c>
      <c r="V904" t="s">
        <v>119</v>
      </c>
      <c r="W904" s="11" t="s">
        <v>134</v>
      </c>
      <c r="X904" s="11" t="s">
        <v>134</v>
      </c>
    </row>
    <row r="905" spans="1:24" x14ac:dyDescent="0.3">
      <c r="A905" s="3" t="s">
        <v>177</v>
      </c>
      <c r="B905" s="2" t="s">
        <v>119</v>
      </c>
      <c r="C905" s="4" t="s">
        <v>119</v>
      </c>
      <c r="D905" s="4" t="s">
        <v>119</v>
      </c>
      <c r="E905" s="1" t="s">
        <v>119</v>
      </c>
      <c r="F905" s="37" t="s">
        <v>119</v>
      </c>
      <c r="G905" s="37" t="s">
        <v>119</v>
      </c>
      <c r="H905" s="28" t="s">
        <v>119</v>
      </c>
      <c r="I905" s="28">
        <v>1</v>
      </c>
      <c r="J905" s="28" t="s">
        <v>119</v>
      </c>
      <c r="K905" s="28" t="s">
        <v>119</v>
      </c>
      <c r="L905" s="28" t="s">
        <v>119</v>
      </c>
      <c r="M905" s="28" t="s">
        <v>119</v>
      </c>
      <c r="N905" s="1" t="s">
        <v>119</v>
      </c>
      <c r="O905" s="34" t="s">
        <v>119</v>
      </c>
      <c r="P905" s="106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t="s">
        <v>119</v>
      </c>
      <c r="W905" s="11" t="s">
        <v>134</v>
      </c>
      <c r="X905" s="11" t="s">
        <v>134</v>
      </c>
    </row>
    <row r="906" spans="1:24" x14ac:dyDescent="0.3">
      <c r="A906" s="3" t="s">
        <v>159</v>
      </c>
      <c r="B906" s="2" t="s">
        <v>119</v>
      </c>
      <c r="C906" s="4" t="s">
        <v>119</v>
      </c>
      <c r="D906" s="4" t="s">
        <v>119</v>
      </c>
      <c r="E906" s="1" t="s">
        <v>119</v>
      </c>
      <c r="F906" s="37" t="s">
        <v>119</v>
      </c>
      <c r="G906" s="37" t="s">
        <v>119</v>
      </c>
      <c r="H906" s="28">
        <f>20+1+29+7+1</f>
        <v>58</v>
      </c>
      <c r="I906" s="28">
        <f>24+11</f>
        <v>35</v>
      </c>
      <c r="J906" s="28" t="s">
        <v>119</v>
      </c>
      <c r="K906" s="28">
        <f>1+1+8+5+1+1+13+1+3</f>
        <v>34</v>
      </c>
      <c r="L906" s="28">
        <v>11</v>
      </c>
      <c r="M906" s="28" t="s">
        <v>119</v>
      </c>
      <c r="N906" s="1">
        <f>8+2+1+1</f>
        <v>12</v>
      </c>
      <c r="O906" s="34" t="s">
        <v>119</v>
      </c>
      <c r="P906" s="106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t="s">
        <v>119</v>
      </c>
      <c r="W906" s="11" t="s">
        <v>119</v>
      </c>
      <c r="X906" s="11" t="s">
        <v>134</v>
      </c>
    </row>
    <row r="907" spans="1:24" s="5" customFormat="1" x14ac:dyDescent="0.3">
      <c r="A907" s="8" t="s">
        <v>1314</v>
      </c>
      <c r="B907" s="6" t="s">
        <v>119</v>
      </c>
      <c r="C907" s="7" t="s">
        <v>119</v>
      </c>
      <c r="D907" s="7" t="s">
        <v>119</v>
      </c>
      <c r="E907" s="10" t="s">
        <v>119</v>
      </c>
      <c r="F907" s="29">
        <v>1</v>
      </c>
      <c r="G907" s="29" t="s">
        <v>119</v>
      </c>
      <c r="H907" s="29" t="s">
        <v>119</v>
      </c>
      <c r="I907" s="29" t="s">
        <v>119</v>
      </c>
      <c r="J907" s="29" t="s">
        <v>119</v>
      </c>
      <c r="K907" s="29" t="s">
        <v>119</v>
      </c>
      <c r="L907" s="29" t="s">
        <v>119</v>
      </c>
      <c r="M907" s="29" t="s">
        <v>119</v>
      </c>
      <c r="N907" s="10" t="s">
        <v>119</v>
      </c>
      <c r="O907" s="30" t="s">
        <v>119</v>
      </c>
      <c r="P907" s="107" t="s">
        <v>119</v>
      </c>
      <c r="Q907" s="107" t="s">
        <v>119</v>
      </c>
      <c r="R907" s="107" t="s">
        <v>119</v>
      </c>
      <c r="S907" s="107" t="s">
        <v>119</v>
      </c>
      <c r="T907" s="107" t="s">
        <v>119</v>
      </c>
      <c r="U907" s="107" t="s">
        <v>119</v>
      </c>
      <c r="V907" s="5" t="s">
        <v>119</v>
      </c>
      <c r="W907" s="5" t="s">
        <v>119</v>
      </c>
      <c r="X907" s="5" t="s">
        <v>119</v>
      </c>
    </row>
    <row r="908" spans="1:24" x14ac:dyDescent="0.3">
      <c r="A908" s="3" t="s">
        <v>160</v>
      </c>
      <c r="B908" s="2" t="s">
        <v>119</v>
      </c>
      <c r="C908" s="4" t="s">
        <v>119</v>
      </c>
      <c r="D908" s="4" t="s">
        <v>119</v>
      </c>
      <c r="E908" s="1" t="s">
        <v>119</v>
      </c>
      <c r="F908" s="37" t="s">
        <v>119</v>
      </c>
      <c r="G908" s="37" t="s">
        <v>119</v>
      </c>
      <c r="H908" s="28">
        <v>2</v>
      </c>
      <c r="I908" s="28" t="s">
        <v>119</v>
      </c>
      <c r="J908" s="28" t="s">
        <v>119</v>
      </c>
      <c r="K908" s="28" t="s">
        <v>119</v>
      </c>
      <c r="L908" s="28" t="s">
        <v>119</v>
      </c>
      <c r="M908" s="28" t="s">
        <v>119</v>
      </c>
      <c r="N908" s="1">
        <v>2</v>
      </c>
      <c r="O908" s="34" t="s">
        <v>119</v>
      </c>
      <c r="P908" s="106" t="s">
        <v>119</v>
      </c>
      <c r="Q908" s="106" t="s">
        <v>119</v>
      </c>
      <c r="R908" s="106" t="s">
        <v>119</v>
      </c>
      <c r="S908" s="106" t="s">
        <v>119</v>
      </c>
      <c r="T908" s="106" t="s">
        <v>119</v>
      </c>
      <c r="U908" s="106" t="s">
        <v>119</v>
      </c>
      <c r="V908" t="s">
        <v>119</v>
      </c>
      <c r="W908" s="11" t="s">
        <v>119</v>
      </c>
      <c r="X908" s="11" t="s">
        <v>134</v>
      </c>
    </row>
    <row r="909" spans="1:24" x14ac:dyDescent="0.3">
      <c r="A909" s="13" t="s">
        <v>178</v>
      </c>
      <c r="B909" s="18" t="s">
        <v>119</v>
      </c>
      <c r="C909" s="12" t="s">
        <v>119</v>
      </c>
      <c r="D909" s="12" t="s">
        <v>119</v>
      </c>
      <c r="E909" s="14" t="s">
        <v>119</v>
      </c>
      <c r="F909" s="37" t="s">
        <v>119</v>
      </c>
      <c r="G909" s="37" t="s">
        <v>119</v>
      </c>
      <c r="H909" s="31" t="s">
        <v>119</v>
      </c>
      <c r="I909" s="31">
        <v>2</v>
      </c>
      <c r="J909" s="31" t="s">
        <v>119</v>
      </c>
      <c r="K909" s="31">
        <v>1</v>
      </c>
      <c r="L909" s="28" t="s">
        <v>119</v>
      </c>
      <c r="M909" s="28" t="s">
        <v>134</v>
      </c>
      <c r="N909" s="1" t="s">
        <v>119</v>
      </c>
      <c r="O909" s="34" t="s">
        <v>134</v>
      </c>
      <c r="P909" s="106" t="s">
        <v>119</v>
      </c>
      <c r="Q909" s="106" t="s">
        <v>119</v>
      </c>
      <c r="R909" s="106" t="s">
        <v>119</v>
      </c>
      <c r="S909" s="106" t="s">
        <v>119</v>
      </c>
      <c r="T909" s="106" t="s">
        <v>119</v>
      </c>
      <c r="U909" s="106" t="s">
        <v>119</v>
      </c>
      <c r="V909" t="s">
        <v>119</v>
      </c>
      <c r="W909" s="11" t="s">
        <v>134</v>
      </c>
      <c r="X909" s="11" t="s">
        <v>134</v>
      </c>
    </row>
    <row r="910" spans="1:24" x14ac:dyDescent="0.3">
      <c r="A910" s="13" t="s">
        <v>315</v>
      </c>
      <c r="B910" s="18" t="s">
        <v>119</v>
      </c>
      <c r="C910" s="12" t="s">
        <v>119</v>
      </c>
      <c r="D910" s="12" t="s">
        <v>119</v>
      </c>
      <c r="E910" s="14" t="s">
        <v>119</v>
      </c>
      <c r="F910" s="37" t="s">
        <v>119</v>
      </c>
      <c r="G910" s="37" t="s">
        <v>119</v>
      </c>
      <c r="H910" s="31" t="s">
        <v>119</v>
      </c>
      <c r="I910" s="31">
        <v>1</v>
      </c>
      <c r="J910" s="31" t="s">
        <v>119</v>
      </c>
      <c r="K910" s="31">
        <v>1</v>
      </c>
      <c r="L910" s="28">
        <v>10</v>
      </c>
      <c r="M910" s="28" t="s">
        <v>134</v>
      </c>
      <c r="N910" s="1" t="s">
        <v>119</v>
      </c>
      <c r="O910" s="34" t="s">
        <v>119</v>
      </c>
      <c r="P910" s="106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t="s">
        <v>119</v>
      </c>
      <c r="W910" s="11" t="s">
        <v>134</v>
      </c>
      <c r="X910" s="11" t="s">
        <v>134</v>
      </c>
    </row>
    <row r="911" spans="1:24" x14ac:dyDescent="0.3">
      <c r="A911" s="13" t="s">
        <v>670</v>
      </c>
      <c r="B911" s="18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>
        <v>9</v>
      </c>
      <c r="I911" s="31">
        <v>5</v>
      </c>
      <c r="J911" s="31" t="s">
        <v>119</v>
      </c>
      <c r="K911" s="31" t="s">
        <v>119</v>
      </c>
      <c r="L911" s="28" t="s">
        <v>119</v>
      </c>
      <c r="M911" s="28" t="s">
        <v>119</v>
      </c>
      <c r="N911" s="1">
        <v>1</v>
      </c>
      <c r="O911" s="34" t="s">
        <v>119</v>
      </c>
      <c r="P911" s="106" t="s">
        <v>119</v>
      </c>
      <c r="Q911" s="106" t="s">
        <v>119</v>
      </c>
      <c r="R911" s="106" t="s">
        <v>119</v>
      </c>
      <c r="S911" s="106" t="s">
        <v>119</v>
      </c>
      <c r="T911" s="106" t="s">
        <v>119</v>
      </c>
      <c r="U911" s="106" t="s">
        <v>119</v>
      </c>
      <c r="V911" t="s">
        <v>119</v>
      </c>
      <c r="W911" s="11" t="s">
        <v>134</v>
      </c>
      <c r="X911" s="11" t="s">
        <v>119</v>
      </c>
    </row>
    <row r="912" spans="1:24" s="5" customFormat="1" x14ac:dyDescent="0.3">
      <c r="A912" s="8" t="s">
        <v>1045</v>
      </c>
      <c r="B912" s="6" t="s">
        <v>119</v>
      </c>
      <c r="C912" s="7" t="s">
        <v>119</v>
      </c>
      <c r="D912" s="7" t="s">
        <v>119</v>
      </c>
      <c r="E912" s="10" t="s">
        <v>119</v>
      </c>
      <c r="F912" s="29" t="s">
        <v>119</v>
      </c>
      <c r="G912" s="29" t="s">
        <v>119</v>
      </c>
      <c r="H912" s="29" t="s">
        <v>119</v>
      </c>
      <c r="I912" s="29" t="s">
        <v>119</v>
      </c>
      <c r="J912" s="29">
        <v>1</v>
      </c>
      <c r="K912" s="29" t="s">
        <v>119</v>
      </c>
      <c r="L912" s="29" t="s">
        <v>119</v>
      </c>
      <c r="M912" s="29" t="s">
        <v>119</v>
      </c>
      <c r="N912" s="10" t="s">
        <v>119</v>
      </c>
      <c r="O912" s="34" t="s">
        <v>119</v>
      </c>
      <c r="P912" s="107" t="s">
        <v>119</v>
      </c>
      <c r="Q912" s="107" t="s">
        <v>119</v>
      </c>
      <c r="R912" s="107" t="s">
        <v>119</v>
      </c>
      <c r="S912" s="107" t="s">
        <v>119</v>
      </c>
      <c r="T912" s="107" t="s">
        <v>119</v>
      </c>
      <c r="U912" s="107" t="s">
        <v>119</v>
      </c>
      <c r="V912" t="s">
        <v>119</v>
      </c>
      <c r="W912" s="11" t="s">
        <v>119</v>
      </c>
      <c r="X912" s="11" t="s">
        <v>119</v>
      </c>
    </row>
    <row r="913" spans="1:24" x14ac:dyDescent="0.3">
      <c r="A913" s="13" t="s">
        <v>605</v>
      </c>
      <c r="B913" s="18" t="s">
        <v>119</v>
      </c>
      <c r="C913" s="12" t="s">
        <v>119</v>
      </c>
      <c r="D913" s="12" t="s">
        <v>119</v>
      </c>
      <c r="E913" s="14" t="s">
        <v>119</v>
      </c>
      <c r="F913" s="37" t="s">
        <v>119</v>
      </c>
      <c r="G913" s="37" t="s">
        <v>119</v>
      </c>
      <c r="H913" s="31" t="s">
        <v>119</v>
      </c>
      <c r="I913" s="31" t="s">
        <v>119</v>
      </c>
      <c r="J913" s="31" t="s">
        <v>119</v>
      </c>
      <c r="K913" s="31" t="s">
        <v>119</v>
      </c>
      <c r="L913" s="28" t="s">
        <v>119</v>
      </c>
      <c r="M913" s="28">
        <v>2</v>
      </c>
      <c r="N913" s="1" t="s">
        <v>119</v>
      </c>
      <c r="O913" s="34" t="s">
        <v>119</v>
      </c>
      <c r="P913" s="106" t="s">
        <v>119</v>
      </c>
      <c r="Q913" s="106" t="s">
        <v>119</v>
      </c>
      <c r="R913" s="106" t="s">
        <v>119</v>
      </c>
      <c r="S913" s="106" t="s">
        <v>119</v>
      </c>
      <c r="T913" s="106" t="s">
        <v>119</v>
      </c>
      <c r="U913" s="106" t="s">
        <v>119</v>
      </c>
      <c r="V913" t="s">
        <v>119</v>
      </c>
      <c r="W913" s="11" t="s">
        <v>134</v>
      </c>
      <c r="X913" s="11" t="s">
        <v>119</v>
      </c>
    </row>
    <row r="914" spans="1:24" x14ac:dyDescent="0.3">
      <c r="A914" s="13" t="s">
        <v>1121</v>
      </c>
      <c r="B914" s="18" t="s">
        <v>119</v>
      </c>
      <c r="C914" s="12" t="s">
        <v>119</v>
      </c>
      <c r="D914" s="12" t="s">
        <v>119</v>
      </c>
      <c r="E914" s="14" t="s">
        <v>119</v>
      </c>
      <c r="F914" s="37" t="s">
        <v>119</v>
      </c>
      <c r="G914" s="37" t="s">
        <v>119</v>
      </c>
      <c r="H914" s="31" t="s">
        <v>119</v>
      </c>
      <c r="I914" s="31" t="s">
        <v>119</v>
      </c>
      <c r="J914" s="31" t="s">
        <v>119</v>
      </c>
      <c r="K914" s="31" t="s">
        <v>119</v>
      </c>
      <c r="L914" s="28" t="s">
        <v>119</v>
      </c>
      <c r="M914" s="28" t="s">
        <v>119</v>
      </c>
      <c r="N914" s="1" t="s">
        <v>119</v>
      </c>
      <c r="O914" s="34">
        <v>10</v>
      </c>
      <c r="P914" s="106" t="s">
        <v>119</v>
      </c>
      <c r="Q914" s="106" t="s">
        <v>119</v>
      </c>
      <c r="R914" s="106" t="s">
        <v>119</v>
      </c>
      <c r="S914" s="106" t="s">
        <v>119</v>
      </c>
      <c r="T914" s="106" t="s">
        <v>119</v>
      </c>
      <c r="U914" s="106" t="s">
        <v>119</v>
      </c>
      <c r="V914" t="s">
        <v>119</v>
      </c>
      <c r="W914" s="11" t="s">
        <v>134</v>
      </c>
      <c r="X914" s="11" t="s">
        <v>134</v>
      </c>
    </row>
    <row r="915" spans="1:24" x14ac:dyDescent="0.3">
      <c r="A915" s="13" t="s">
        <v>773</v>
      </c>
      <c r="B915" s="18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31" t="s">
        <v>119</v>
      </c>
      <c r="L915" s="28" t="s">
        <v>119</v>
      </c>
      <c r="M915" s="28" t="s">
        <v>119</v>
      </c>
      <c r="N915" s="1" t="s">
        <v>119</v>
      </c>
      <c r="O915" s="34" t="s">
        <v>119</v>
      </c>
      <c r="P915" s="106" t="s">
        <v>119</v>
      </c>
      <c r="Q915" s="106">
        <v>2</v>
      </c>
      <c r="R915" s="106">
        <v>1</v>
      </c>
      <c r="S915" s="106" t="s">
        <v>119</v>
      </c>
      <c r="T915" s="106" t="s">
        <v>119</v>
      </c>
      <c r="U915" s="106" t="s">
        <v>119</v>
      </c>
      <c r="V915" t="s">
        <v>119</v>
      </c>
      <c r="W915" s="11" t="str">
        <f t="shared" ref="W915:W976" si="14">IF(SUM(P915:U915)&gt;=1,"X","")</f>
        <v>X</v>
      </c>
      <c r="X915" s="11" t="s">
        <v>134</v>
      </c>
    </row>
    <row r="916" spans="1:24" x14ac:dyDescent="0.3">
      <c r="A916" s="13" t="s">
        <v>1288</v>
      </c>
      <c r="B916" s="18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 t="s">
        <v>119</v>
      </c>
      <c r="H916" s="31" t="s">
        <v>119</v>
      </c>
      <c r="I916" s="31" t="s">
        <v>119</v>
      </c>
      <c r="J916" s="31">
        <v>1</v>
      </c>
      <c r="K916" s="31" t="s">
        <v>119</v>
      </c>
      <c r="L916" s="28" t="s">
        <v>119</v>
      </c>
      <c r="M916" s="28" t="s">
        <v>119</v>
      </c>
      <c r="N916" s="1" t="s">
        <v>119</v>
      </c>
      <c r="O916" s="34" t="s">
        <v>119</v>
      </c>
      <c r="P916" s="106" t="s">
        <v>119</v>
      </c>
      <c r="Q916" s="106" t="s">
        <v>119</v>
      </c>
      <c r="R916" s="106" t="s">
        <v>119</v>
      </c>
      <c r="S916" s="106" t="s">
        <v>119</v>
      </c>
      <c r="T916" s="106" t="s">
        <v>119</v>
      </c>
      <c r="U916" s="106" t="s">
        <v>119</v>
      </c>
      <c r="V916" t="s">
        <v>119</v>
      </c>
      <c r="W916" s="11" t="s">
        <v>134</v>
      </c>
      <c r="X916" s="11" t="s">
        <v>134</v>
      </c>
    </row>
    <row r="917" spans="1:24" x14ac:dyDescent="0.3">
      <c r="A917" s="13" t="s">
        <v>1289</v>
      </c>
      <c r="B917" s="18" t="s">
        <v>119</v>
      </c>
      <c r="C917" s="12" t="s">
        <v>119</v>
      </c>
      <c r="D917" s="12" t="s">
        <v>119</v>
      </c>
      <c r="E917" s="14" t="s">
        <v>119</v>
      </c>
      <c r="F917" s="37" t="s">
        <v>119</v>
      </c>
      <c r="G917" s="37" t="s">
        <v>119</v>
      </c>
      <c r="H917" s="31" t="s">
        <v>119</v>
      </c>
      <c r="I917" s="31" t="s">
        <v>119</v>
      </c>
      <c r="J917" s="31" t="s">
        <v>119</v>
      </c>
      <c r="K917" s="31" t="s">
        <v>119</v>
      </c>
      <c r="L917" s="28" t="s">
        <v>119</v>
      </c>
      <c r="M917" s="28">
        <v>4</v>
      </c>
      <c r="N917" s="1" t="s">
        <v>119</v>
      </c>
      <c r="O917" s="34" t="s">
        <v>119</v>
      </c>
      <c r="P917" s="106" t="s">
        <v>119</v>
      </c>
      <c r="Q917" s="106" t="s">
        <v>119</v>
      </c>
      <c r="R917" s="106" t="s">
        <v>119</v>
      </c>
      <c r="S917" s="106" t="s">
        <v>119</v>
      </c>
      <c r="T917" s="106" t="s">
        <v>119</v>
      </c>
      <c r="U917" s="106" t="s">
        <v>119</v>
      </c>
      <c r="V917" t="s">
        <v>119</v>
      </c>
      <c r="W917" s="11" t="s">
        <v>134</v>
      </c>
      <c r="X917" s="11" t="s">
        <v>134</v>
      </c>
    </row>
    <row r="918" spans="1:24" x14ac:dyDescent="0.3">
      <c r="A918" s="13" t="s">
        <v>1290</v>
      </c>
      <c r="B918" s="18" t="s">
        <v>119</v>
      </c>
      <c r="C918" s="12" t="s">
        <v>119</v>
      </c>
      <c r="D918" s="12" t="s">
        <v>119</v>
      </c>
      <c r="E918" s="14" t="s">
        <v>119</v>
      </c>
      <c r="F918" s="37" t="s">
        <v>119</v>
      </c>
      <c r="G918" s="37" t="s">
        <v>119</v>
      </c>
      <c r="H918" s="34">
        <v>28</v>
      </c>
      <c r="I918" s="31">
        <v>2</v>
      </c>
      <c r="J918" s="31" t="s">
        <v>119</v>
      </c>
      <c r="K918" s="29" t="s">
        <v>119</v>
      </c>
      <c r="L918" s="28" t="s">
        <v>119</v>
      </c>
      <c r="M918" s="28" t="s">
        <v>134</v>
      </c>
      <c r="N918" s="1" t="s">
        <v>119</v>
      </c>
      <c r="O918" s="34" t="s">
        <v>119</v>
      </c>
      <c r="P918" s="106" t="s">
        <v>119</v>
      </c>
      <c r="Q918" s="106" t="s">
        <v>119</v>
      </c>
      <c r="R918" s="106" t="s">
        <v>119</v>
      </c>
      <c r="S918" s="106" t="s">
        <v>119</v>
      </c>
      <c r="T918" s="106" t="s">
        <v>119</v>
      </c>
      <c r="U918" s="106" t="s">
        <v>119</v>
      </c>
      <c r="V918" t="s">
        <v>119</v>
      </c>
      <c r="W918" s="11" t="s">
        <v>134</v>
      </c>
      <c r="X918" s="11" t="s">
        <v>134</v>
      </c>
    </row>
    <row r="919" spans="1:24" x14ac:dyDescent="0.3">
      <c r="A919" s="13" t="s">
        <v>1291</v>
      </c>
      <c r="B919" s="18" t="s">
        <v>119</v>
      </c>
      <c r="C919" s="12" t="s">
        <v>119</v>
      </c>
      <c r="D919" s="12" t="s">
        <v>119</v>
      </c>
      <c r="E919" s="14" t="s">
        <v>119</v>
      </c>
      <c r="F919" s="37" t="s">
        <v>119</v>
      </c>
      <c r="G919" s="37" t="s">
        <v>119</v>
      </c>
      <c r="H919" s="34" t="s">
        <v>119</v>
      </c>
      <c r="I919" s="31" t="s">
        <v>119</v>
      </c>
      <c r="J919" s="31" t="s">
        <v>119</v>
      </c>
      <c r="K919" s="29" t="s">
        <v>119</v>
      </c>
      <c r="L919" s="28" t="s">
        <v>119</v>
      </c>
      <c r="M919" s="28" t="s">
        <v>119</v>
      </c>
      <c r="N919" s="1" t="s">
        <v>119</v>
      </c>
      <c r="O919" s="34" t="s">
        <v>119</v>
      </c>
      <c r="P919" s="106" t="s">
        <v>119</v>
      </c>
      <c r="Q919" s="106" t="s">
        <v>119</v>
      </c>
      <c r="R919" s="106" t="s">
        <v>119</v>
      </c>
      <c r="S919" s="106">
        <v>4</v>
      </c>
      <c r="T919" s="106">
        <v>2</v>
      </c>
      <c r="U919" s="106">
        <v>3</v>
      </c>
      <c r="V919" t="s">
        <v>119</v>
      </c>
      <c r="W919" s="11" t="str">
        <f t="shared" si="14"/>
        <v>X</v>
      </c>
      <c r="X919" s="11" t="s">
        <v>119</v>
      </c>
    </row>
    <row r="920" spans="1:24" x14ac:dyDescent="0.3">
      <c r="A920" s="13" t="s">
        <v>1294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7" t="s">
        <v>119</v>
      </c>
      <c r="G920" s="37" t="s">
        <v>119</v>
      </c>
      <c r="H920" s="34" t="s">
        <v>119</v>
      </c>
      <c r="I920" s="31" t="s">
        <v>119</v>
      </c>
      <c r="J920" s="31">
        <v>1</v>
      </c>
      <c r="K920" s="29" t="s">
        <v>119</v>
      </c>
      <c r="L920" s="28" t="s">
        <v>119</v>
      </c>
      <c r="M920" s="28" t="s">
        <v>119</v>
      </c>
      <c r="N920" s="1" t="s">
        <v>119</v>
      </c>
      <c r="O920" s="34" t="s">
        <v>119</v>
      </c>
      <c r="P920" s="106" t="s">
        <v>119</v>
      </c>
      <c r="Q920" s="106" t="s">
        <v>119</v>
      </c>
      <c r="R920" s="106" t="s">
        <v>119</v>
      </c>
      <c r="S920" s="106" t="s">
        <v>119</v>
      </c>
      <c r="T920" s="106" t="s">
        <v>119</v>
      </c>
      <c r="U920" s="106" t="s">
        <v>119</v>
      </c>
      <c r="V920" t="s">
        <v>119</v>
      </c>
      <c r="W920" s="11" t="s">
        <v>1274</v>
      </c>
      <c r="X920" s="11" t="s">
        <v>1274</v>
      </c>
    </row>
    <row r="921" spans="1:24" s="5" customFormat="1" x14ac:dyDescent="0.3">
      <c r="A921" s="8" t="s">
        <v>1315</v>
      </c>
      <c r="B921" s="6" t="s">
        <v>119</v>
      </c>
      <c r="C921" s="7" t="s">
        <v>119</v>
      </c>
      <c r="D921" s="7" t="s">
        <v>119</v>
      </c>
      <c r="E921" s="10" t="s">
        <v>119</v>
      </c>
      <c r="F921" s="29">
        <v>2</v>
      </c>
      <c r="G921" s="29" t="s">
        <v>119</v>
      </c>
      <c r="H921" s="30" t="s">
        <v>119</v>
      </c>
      <c r="I921" s="29" t="s">
        <v>119</v>
      </c>
      <c r="J921" s="29" t="s">
        <v>119</v>
      </c>
      <c r="K921" s="29" t="s">
        <v>119</v>
      </c>
      <c r="L921" s="29" t="s">
        <v>119</v>
      </c>
      <c r="M921" s="29" t="s">
        <v>119</v>
      </c>
      <c r="N921" s="10" t="s">
        <v>119</v>
      </c>
      <c r="O921" s="30" t="s">
        <v>119</v>
      </c>
      <c r="P921" s="107" t="s">
        <v>119</v>
      </c>
      <c r="Q921" s="107" t="s">
        <v>119</v>
      </c>
      <c r="R921" s="107" t="s">
        <v>119</v>
      </c>
      <c r="S921" s="107" t="s">
        <v>119</v>
      </c>
      <c r="T921" s="107" t="s">
        <v>119</v>
      </c>
      <c r="U921" s="107" t="s">
        <v>119</v>
      </c>
      <c r="V921" s="5" t="s">
        <v>119</v>
      </c>
      <c r="W921" s="5" t="s">
        <v>119</v>
      </c>
      <c r="X921" s="5" t="s">
        <v>119</v>
      </c>
    </row>
    <row r="922" spans="1:24" x14ac:dyDescent="0.3">
      <c r="A922" s="13" t="s">
        <v>1046</v>
      </c>
      <c r="B922" s="18" t="s">
        <v>119</v>
      </c>
      <c r="C922" s="12" t="s">
        <v>119</v>
      </c>
      <c r="D922" s="12" t="s">
        <v>119</v>
      </c>
      <c r="E922" s="14" t="s">
        <v>119</v>
      </c>
      <c r="F922" s="37" t="s">
        <v>119</v>
      </c>
      <c r="G922" s="37" t="s">
        <v>119</v>
      </c>
      <c r="H922" s="34" t="s">
        <v>119</v>
      </c>
      <c r="I922" s="31" t="s">
        <v>119</v>
      </c>
      <c r="J922" s="31">
        <v>5</v>
      </c>
      <c r="K922" s="29" t="s">
        <v>119</v>
      </c>
      <c r="L922" s="28" t="s">
        <v>119</v>
      </c>
      <c r="M922" s="28" t="s">
        <v>119</v>
      </c>
      <c r="N922" s="1" t="s">
        <v>119</v>
      </c>
      <c r="O922" s="34" t="s">
        <v>119</v>
      </c>
      <c r="P922" s="106" t="s">
        <v>119</v>
      </c>
      <c r="Q922" s="106" t="s">
        <v>119</v>
      </c>
      <c r="R922" s="106" t="s">
        <v>119</v>
      </c>
      <c r="S922" s="106" t="s">
        <v>119</v>
      </c>
      <c r="T922" s="106" t="s">
        <v>119</v>
      </c>
      <c r="U922" s="106" t="s">
        <v>119</v>
      </c>
      <c r="V922" t="s">
        <v>119</v>
      </c>
      <c r="W922" s="11" t="s">
        <v>1274</v>
      </c>
      <c r="X922" s="11" t="s">
        <v>1274</v>
      </c>
    </row>
    <row r="923" spans="1:24" x14ac:dyDescent="0.3">
      <c r="A923" s="13" t="s">
        <v>1206</v>
      </c>
      <c r="B923" s="18" t="s">
        <v>119</v>
      </c>
      <c r="C923" s="18" t="s">
        <v>119</v>
      </c>
      <c r="D923" s="18" t="s">
        <v>119</v>
      </c>
      <c r="E923" s="18" t="s">
        <v>119</v>
      </c>
      <c r="F923" s="18" t="s">
        <v>119</v>
      </c>
      <c r="G923" s="18" t="s">
        <v>119</v>
      </c>
      <c r="H923" s="18" t="s">
        <v>119</v>
      </c>
      <c r="I923" s="18" t="s">
        <v>119</v>
      </c>
      <c r="J923" s="31" t="s">
        <v>134</v>
      </c>
      <c r="K923" s="29" t="s">
        <v>119</v>
      </c>
      <c r="L923" s="29" t="s">
        <v>119</v>
      </c>
      <c r="M923" s="29" t="s">
        <v>119</v>
      </c>
      <c r="N923" s="29" t="s">
        <v>119</v>
      </c>
      <c r="O923" s="29" t="s">
        <v>119</v>
      </c>
      <c r="P923" s="106" t="s">
        <v>119</v>
      </c>
      <c r="Q923" s="106" t="s">
        <v>119</v>
      </c>
      <c r="R923" s="106" t="s">
        <v>119</v>
      </c>
      <c r="S923" s="106" t="s">
        <v>119</v>
      </c>
      <c r="T923" s="106" t="s">
        <v>119</v>
      </c>
      <c r="U923" s="106" t="s">
        <v>119</v>
      </c>
      <c r="V923" t="s">
        <v>134</v>
      </c>
      <c r="W923" s="11" t="s">
        <v>119</v>
      </c>
      <c r="X923" s="11" t="s">
        <v>119</v>
      </c>
    </row>
    <row r="924" spans="1:24" x14ac:dyDescent="0.3">
      <c r="A924" s="13" t="s">
        <v>738</v>
      </c>
      <c r="B924" s="18" t="s">
        <v>119</v>
      </c>
      <c r="C924" s="12" t="s">
        <v>119</v>
      </c>
      <c r="D924" s="12" t="s">
        <v>119</v>
      </c>
      <c r="E924" s="14" t="s">
        <v>119</v>
      </c>
      <c r="F924" s="37" t="s">
        <v>119</v>
      </c>
      <c r="G924" s="37" t="s">
        <v>119</v>
      </c>
      <c r="H924" s="34" t="s">
        <v>119</v>
      </c>
      <c r="I924" s="31">
        <v>3</v>
      </c>
      <c r="J924" s="31" t="s">
        <v>119</v>
      </c>
      <c r="K924" s="29" t="s">
        <v>119</v>
      </c>
      <c r="L924" s="28" t="s">
        <v>119</v>
      </c>
      <c r="M924" s="28" t="s">
        <v>119</v>
      </c>
      <c r="N924" s="1" t="s">
        <v>119</v>
      </c>
      <c r="O924" s="34" t="s">
        <v>134</v>
      </c>
      <c r="P924" s="106" t="s">
        <v>119</v>
      </c>
      <c r="Q924" s="106">
        <v>1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t="s">
        <v>119</v>
      </c>
      <c r="W924" s="11" t="str">
        <f t="shared" si="14"/>
        <v>X</v>
      </c>
      <c r="X924" s="11" t="s">
        <v>119</v>
      </c>
    </row>
    <row r="925" spans="1:24" x14ac:dyDescent="0.3">
      <c r="A925" s="13" t="s">
        <v>606</v>
      </c>
      <c r="B925" s="18" t="s">
        <v>119</v>
      </c>
      <c r="C925" s="12" t="s">
        <v>119</v>
      </c>
      <c r="D925" s="12" t="s">
        <v>119</v>
      </c>
      <c r="E925" s="14" t="s">
        <v>119</v>
      </c>
      <c r="F925" s="37" t="s">
        <v>119</v>
      </c>
      <c r="G925" s="37" t="s">
        <v>119</v>
      </c>
      <c r="H925" s="34" t="s">
        <v>119</v>
      </c>
      <c r="I925" s="31">
        <v>2</v>
      </c>
      <c r="J925" s="31" t="s">
        <v>119</v>
      </c>
      <c r="K925" s="29" t="s">
        <v>119</v>
      </c>
      <c r="L925" s="28" t="s">
        <v>119</v>
      </c>
      <c r="M925" s="28">
        <v>5</v>
      </c>
      <c r="N925" s="1" t="s">
        <v>119</v>
      </c>
      <c r="O925" s="34" t="s">
        <v>119</v>
      </c>
      <c r="P925" s="106" t="s">
        <v>119</v>
      </c>
      <c r="Q925" s="106" t="s">
        <v>119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t="s">
        <v>119</v>
      </c>
      <c r="W925" s="11" t="s">
        <v>134</v>
      </c>
      <c r="X925" s="11" t="s">
        <v>119</v>
      </c>
    </row>
    <row r="926" spans="1:24" x14ac:dyDescent="0.3">
      <c r="A926" s="13" t="s">
        <v>607</v>
      </c>
      <c r="B926" s="18" t="s">
        <v>119</v>
      </c>
      <c r="C926" s="12" t="s">
        <v>119</v>
      </c>
      <c r="D926" s="12" t="s">
        <v>119</v>
      </c>
      <c r="E926" s="14" t="s">
        <v>119</v>
      </c>
      <c r="F926" s="37" t="s">
        <v>119</v>
      </c>
      <c r="G926" s="37" t="s">
        <v>119</v>
      </c>
      <c r="H926" s="34" t="s">
        <v>119</v>
      </c>
      <c r="I926" s="31" t="s">
        <v>119</v>
      </c>
      <c r="J926" s="31" t="s">
        <v>119</v>
      </c>
      <c r="K926" s="29" t="s">
        <v>119</v>
      </c>
      <c r="L926" s="28" t="s">
        <v>119</v>
      </c>
      <c r="M926" s="28">
        <v>2</v>
      </c>
      <c r="N926" s="1" t="s">
        <v>119</v>
      </c>
      <c r="O926" s="34" t="s">
        <v>119</v>
      </c>
      <c r="P926" s="106" t="s">
        <v>119</v>
      </c>
      <c r="Q926" s="106" t="s">
        <v>119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t="s">
        <v>119</v>
      </c>
      <c r="W926" s="11" t="s">
        <v>134</v>
      </c>
      <c r="X926" s="11" t="s">
        <v>134</v>
      </c>
    </row>
    <row r="927" spans="1:24" x14ac:dyDescent="0.3">
      <c r="A927" s="3" t="s">
        <v>34</v>
      </c>
      <c r="B927" s="2">
        <v>33</v>
      </c>
      <c r="C927" s="4">
        <v>0</v>
      </c>
      <c r="D927" s="4">
        <v>0</v>
      </c>
      <c r="E927" s="1">
        <v>0</v>
      </c>
      <c r="F927" s="37" t="s">
        <v>119</v>
      </c>
      <c r="G927" s="37" t="s">
        <v>119</v>
      </c>
      <c r="H927" s="28" t="s">
        <v>119</v>
      </c>
      <c r="I927" s="27">
        <v>2</v>
      </c>
      <c r="J927" s="28" t="s">
        <v>119</v>
      </c>
      <c r="K927" s="28" t="s">
        <v>119</v>
      </c>
      <c r="L927" s="28" t="s">
        <v>119</v>
      </c>
      <c r="M927" s="28" t="s">
        <v>119</v>
      </c>
      <c r="N927" s="1" t="s">
        <v>119</v>
      </c>
      <c r="O927" s="34" t="s">
        <v>119</v>
      </c>
      <c r="P927" s="106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t="s">
        <v>119</v>
      </c>
      <c r="W927" s="11" t="s">
        <v>134</v>
      </c>
      <c r="X927" s="11" t="s">
        <v>134</v>
      </c>
    </row>
    <row r="928" spans="1:24" x14ac:dyDescent="0.3">
      <c r="A928" s="3" t="s">
        <v>608</v>
      </c>
      <c r="B928" s="2" t="s">
        <v>119</v>
      </c>
      <c r="C928" s="4" t="s">
        <v>119</v>
      </c>
      <c r="D928" s="4" t="s">
        <v>119</v>
      </c>
      <c r="E928" s="1" t="s">
        <v>119</v>
      </c>
      <c r="F928" s="37" t="s">
        <v>119</v>
      </c>
      <c r="G928" s="37" t="s">
        <v>119</v>
      </c>
      <c r="H928" s="28" t="s">
        <v>119</v>
      </c>
      <c r="I928" s="27" t="s">
        <v>119</v>
      </c>
      <c r="J928" s="28" t="s">
        <v>119</v>
      </c>
      <c r="K928" s="28" t="s">
        <v>119</v>
      </c>
      <c r="L928" s="28" t="s">
        <v>119</v>
      </c>
      <c r="M928" s="28">
        <v>13</v>
      </c>
      <c r="N928" s="1" t="s">
        <v>119</v>
      </c>
      <c r="O928" s="34" t="s">
        <v>119</v>
      </c>
      <c r="P928" s="106">
        <v>1</v>
      </c>
      <c r="Q928" s="106">
        <v>14</v>
      </c>
      <c r="R928" s="106" t="s">
        <v>119</v>
      </c>
      <c r="S928" s="106">
        <v>8</v>
      </c>
      <c r="T928" s="106" t="s">
        <v>119</v>
      </c>
      <c r="U928" s="106" t="s">
        <v>119</v>
      </c>
      <c r="V928" t="s">
        <v>119</v>
      </c>
      <c r="W928" s="11" t="s">
        <v>134</v>
      </c>
      <c r="X928" s="11" t="s">
        <v>119</v>
      </c>
    </row>
    <row r="929" spans="1:24" x14ac:dyDescent="0.3">
      <c r="A929" s="3" t="s">
        <v>161</v>
      </c>
      <c r="B929" s="9" t="s">
        <v>119</v>
      </c>
      <c r="C929" s="4" t="s">
        <v>119</v>
      </c>
      <c r="D929" s="4" t="s">
        <v>119</v>
      </c>
      <c r="E929" s="1" t="s">
        <v>119</v>
      </c>
      <c r="F929" s="37" t="s">
        <v>119</v>
      </c>
      <c r="G929" s="37" t="s">
        <v>119</v>
      </c>
      <c r="H929" s="28">
        <v>2</v>
      </c>
      <c r="I929" s="28">
        <v>5</v>
      </c>
      <c r="J929" s="28" t="s">
        <v>119</v>
      </c>
      <c r="K929" s="28" t="s">
        <v>119</v>
      </c>
      <c r="L929" s="28" t="s">
        <v>119</v>
      </c>
      <c r="M929" s="28" t="s">
        <v>119</v>
      </c>
      <c r="N929" s="1" t="s">
        <v>119</v>
      </c>
      <c r="O929" s="34" t="s">
        <v>119</v>
      </c>
      <c r="P929" s="106" t="s">
        <v>119</v>
      </c>
      <c r="Q929" s="106" t="s">
        <v>119</v>
      </c>
      <c r="R929" s="106" t="s">
        <v>119</v>
      </c>
      <c r="S929" s="106" t="s">
        <v>119</v>
      </c>
      <c r="T929" s="106" t="s">
        <v>119</v>
      </c>
      <c r="U929" s="106" t="s">
        <v>119</v>
      </c>
      <c r="V929" t="s">
        <v>119</v>
      </c>
      <c r="W929" s="11" t="s">
        <v>119</v>
      </c>
      <c r="X929" s="11" t="s">
        <v>119</v>
      </c>
    </row>
    <row r="930" spans="1:24" x14ac:dyDescent="0.3">
      <c r="A930" s="3" t="s">
        <v>609</v>
      </c>
      <c r="B930" s="9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 t="s">
        <v>119</v>
      </c>
      <c r="I930" s="28" t="s">
        <v>119</v>
      </c>
      <c r="J930" s="28" t="s">
        <v>119</v>
      </c>
      <c r="K930" s="28" t="s">
        <v>119</v>
      </c>
      <c r="L930" s="28" t="s">
        <v>119</v>
      </c>
      <c r="M930" s="28">
        <v>20</v>
      </c>
      <c r="N930" s="1" t="s">
        <v>119</v>
      </c>
      <c r="O930" s="34" t="s">
        <v>119</v>
      </c>
      <c r="P930" s="106" t="s">
        <v>119</v>
      </c>
      <c r="Q930" s="106" t="s">
        <v>119</v>
      </c>
      <c r="R930" s="106" t="s">
        <v>119</v>
      </c>
      <c r="S930" s="106" t="s">
        <v>119</v>
      </c>
      <c r="T930" s="106" t="s">
        <v>119</v>
      </c>
      <c r="U930" s="106" t="s">
        <v>119</v>
      </c>
      <c r="V930" t="s">
        <v>119</v>
      </c>
      <c r="W930" s="11" t="s">
        <v>134</v>
      </c>
      <c r="X930" s="11" t="s">
        <v>134</v>
      </c>
    </row>
    <row r="931" spans="1:24" x14ac:dyDescent="0.3">
      <c r="A931" s="3" t="s">
        <v>739</v>
      </c>
      <c r="B931" s="9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 t="s">
        <v>119</v>
      </c>
      <c r="I931" s="28">
        <v>1</v>
      </c>
      <c r="J931" s="28" t="s">
        <v>119</v>
      </c>
      <c r="K931" s="28" t="s">
        <v>119</v>
      </c>
      <c r="L931" s="28" t="s">
        <v>119</v>
      </c>
      <c r="M931" s="28" t="s">
        <v>119</v>
      </c>
      <c r="N931" s="1" t="s">
        <v>119</v>
      </c>
      <c r="O931" s="34" t="s">
        <v>119</v>
      </c>
      <c r="P931" s="106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t="s">
        <v>119</v>
      </c>
      <c r="W931" s="11" t="s">
        <v>134</v>
      </c>
      <c r="X931" s="11" t="s">
        <v>134</v>
      </c>
    </row>
    <row r="932" spans="1:24" x14ac:dyDescent="0.3">
      <c r="A932" s="3" t="s">
        <v>610</v>
      </c>
      <c r="B932" s="9" t="s">
        <v>119</v>
      </c>
      <c r="C932" s="4" t="s">
        <v>119</v>
      </c>
      <c r="D932" s="4" t="s">
        <v>119</v>
      </c>
      <c r="E932" s="1" t="s">
        <v>119</v>
      </c>
      <c r="F932" s="37" t="s">
        <v>119</v>
      </c>
      <c r="G932" s="37" t="s">
        <v>119</v>
      </c>
      <c r="H932" s="28" t="s">
        <v>119</v>
      </c>
      <c r="I932" s="28">
        <v>1</v>
      </c>
      <c r="J932" s="28" t="s">
        <v>119</v>
      </c>
      <c r="K932" s="28" t="s">
        <v>119</v>
      </c>
      <c r="L932" s="28" t="s">
        <v>119</v>
      </c>
      <c r="M932" s="28">
        <v>6</v>
      </c>
      <c r="N932" s="1" t="s">
        <v>119</v>
      </c>
      <c r="O932" s="34" t="s">
        <v>119</v>
      </c>
      <c r="P932" s="106" t="s">
        <v>119</v>
      </c>
      <c r="Q932" s="106" t="s">
        <v>119</v>
      </c>
      <c r="R932" s="106" t="s">
        <v>119</v>
      </c>
      <c r="S932" s="106" t="s">
        <v>119</v>
      </c>
      <c r="T932" s="106" t="s">
        <v>119</v>
      </c>
      <c r="U932" s="106" t="s">
        <v>119</v>
      </c>
      <c r="V932" t="s">
        <v>119</v>
      </c>
      <c r="W932" s="11" t="s">
        <v>134</v>
      </c>
      <c r="X932" s="11" t="s">
        <v>134</v>
      </c>
    </row>
    <row r="933" spans="1:24" s="5" customFormat="1" x14ac:dyDescent="0.3">
      <c r="A933" s="8" t="s">
        <v>741</v>
      </c>
      <c r="B933" s="6" t="s">
        <v>119</v>
      </c>
      <c r="C933" s="7" t="s">
        <v>119</v>
      </c>
      <c r="D933" s="7" t="s">
        <v>119</v>
      </c>
      <c r="E933" s="10" t="s">
        <v>119</v>
      </c>
      <c r="F933" s="37" t="s">
        <v>119</v>
      </c>
      <c r="G933" s="29" t="s">
        <v>119</v>
      </c>
      <c r="H933" s="29" t="s">
        <v>119</v>
      </c>
      <c r="I933" s="29">
        <v>1</v>
      </c>
      <c r="J933" s="29" t="s">
        <v>119</v>
      </c>
      <c r="K933" s="29" t="s">
        <v>119</v>
      </c>
      <c r="L933" s="29" t="s">
        <v>119</v>
      </c>
      <c r="M933" s="29" t="s">
        <v>119</v>
      </c>
      <c r="N933" s="10" t="s">
        <v>119</v>
      </c>
      <c r="O933" s="34" t="s">
        <v>119</v>
      </c>
      <c r="P933" s="106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t="s">
        <v>119</v>
      </c>
      <c r="W933" s="11" t="s">
        <v>119</v>
      </c>
      <c r="X933" s="11" t="s">
        <v>119</v>
      </c>
    </row>
    <row r="934" spans="1:24" s="11" customFormat="1" x14ac:dyDescent="0.3">
      <c r="A934" s="13" t="s">
        <v>1122</v>
      </c>
      <c r="B934" s="18" t="s">
        <v>119</v>
      </c>
      <c r="C934" s="12" t="s">
        <v>119</v>
      </c>
      <c r="D934" s="12" t="s">
        <v>119</v>
      </c>
      <c r="E934" s="14" t="s">
        <v>119</v>
      </c>
      <c r="F934" s="31" t="s">
        <v>119</v>
      </c>
      <c r="G934" s="31" t="s">
        <v>119</v>
      </c>
      <c r="H934" s="31" t="s">
        <v>119</v>
      </c>
      <c r="I934" s="31" t="s">
        <v>119</v>
      </c>
      <c r="J934" s="31" t="s">
        <v>134</v>
      </c>
      <c r="K934" s="31" t="s">
        <v>119</v>
      </c>
      <c r="L934" s="31" t="s">
        <v>119</v>
      </c>
      <c r="M934" s="31" t="s">
        <v>119</v>
      </c>
      <c r="N934" s="14" t="s">
        <v>119</v>
      </c>
      <c r="O934" s="34">
        <v>1</v>
      </c>
      <c r="P934" s="108" t="s">
        <v>119</v>
      </c>
      <c r="Q934" s="108" t="s">
        <v>119</v>
      </c>
      <c r="R934" s="108" t="s">
        <v>119</v>
      </c>
      <c r="S934" s="108" t="s">
        <v>119</v>
      </c>
      <c r="T934" s="108" t="s">
        <v>119</v>
      </c>
      <c r="U934" s="108" t="s">
        <v>119</v>
      </c>
      <c r="V934" s="11" t="s">
        <v>119</v>
      </c>
      <c r="W934" s="11" t="s">
        <v>119</v>
      </c>
      <c r="X934" s="11" t="s">
        <v>119</v>
      </c>
    </row>
    <row r="935" spans="1:24" x14ac:dyDescent="0.3">
      <c r="A935" s="3" t="s">
        <v>37</v>
      </c>
      <c r="B935" s="2">
        <v>0</v>
      </c>
      <c r="C935" s="4">
        <v>0</v>
      </c>
      <c r="D935" s="4">
        <v>0</v>
      </c>
      <c r="E935" s="1">
        <v>1</v>
      </c>
      <c r="F935" s="37" t="s">
        <v>119</v>
      </c>
      <c r="G935" s="37" t="s">
        <v>119</v>
      </c>
      <c r="H935" s="28" t="s">
        <v>119</v>
      </c>
      <c r="I935" s="28">
        <v>2</v>
      </c>
      <c r="J935" s="28" t="s">
        <v>119</v>
      </c>
      <c r="K935" s="32" t="s">
        <v>119</v>
      </c>
      <c r="L935" s="28" t="s">
        <v>119</v>
      </c>
      <c r="M935" s="28">
        <v>17</v>
      </c>
      <c r="N935" s="1" t="s">
        <v>119</v>
      </c>
      <c r="O935" s="34" t="s">
        <v>119</v>
      </c>
      <c r="P935" s="106" t="s">
        <v>119</v>
      </c>
      <c r="Q935" s="106">
        <v>2</v>
      </c>
      <c r="R935" s="106" t="s">
        <v>119</v>
      </c>
      <c r="S935" s="106" t="s">
        <v>119</v>
      </c>
      <c r="T935" s="106" t="s">
        <v>119</v>
      </c>
      <c r="U935" s="106" t="s">
        <v>119</v>
      </c>
      <c r="V935" t="s">
        <v>119</v>
      </c>
      <c r="W935" s="11" t="str">
        <f t="shared" si="14"/>
        <v>X</v>
      </c>
      <c r="X935" s="11" t="s">
        <v>134</v>
      </c>
    </row>
    <row r="936" spans="1:24" x14ac:dyDescent="0.3">
      <c r="A936" s="21" t="s">
        <v>1217</v>
      </c>
      <c r="B936" s="22">
        <v>0</v>
      </c>
      <c r="C936" s="23">
        <v>0</v>
      </c>
      <c r="D936" s="23">
        <v>0</v>
      </c>
      <c r="E936" s="24">
        <v>1</v>
      </c>
      <c r="F936" s="37" t="s">
        <v>119</v>
      </c>
      <c r="G936" s="37" t="s">
        <v>119</v>
      </c>
      <c r="H936" s="32" t="s">
        <v>119</v>
      </c>
      <c r="I936" s="32" t="s">
        <v>119</v>
      </c>
      <c r="J936" s="32" t="s">
        <v>119</v>
      </c>
      <c r="K936" s="31" t="s">
        <v>119</v>
      </c>
      <c r="L936" s="28" t="s">
        <v>119</v>
      </c>
      <c r="M936" s="28" t="s">
        <v>119</v>
      </c>
      <c r="N936" s="1" t="s">
        <v>119</v>
      </c>
      <c r="O936" s="34" t="s">
        <v>119</v>
      </c>
      <c r="P936" s="106" t="s">
        <v>119</v>
      </c>
      <c r="Q936" s="106" t="s">
        <v>119</v>
      </c>
      <c r="R936" s="106" t="s">
        <v>119</v>
      </c>
      <c r="S936" s="106" t="s">
        <v>119</v>
      </c>
      <c r="T936" s="106" t="s">
        <v>119</v>
      </c>
      <c r="U936" s="106" t="s">
        <v>119</v>
      </c>
      <c r="V936" t="s">
        <v>134</v>
      </c>
      <c r="W936" s="11" t="s">
        <v>119</v>
      </c>
      <c r="X936" s="11" t="s">
        <v>119</v>
      </c>
    </row>
    <row r="937" spans="1:24" s="11" customFormat="1" x14ac:dyDescent="0.3">
      <c r="A937" s="13" t="s">
        <v>740</v>
      </c>
      <c r="B937" s="18" t="s">
        <v>119</v>
      </c>
      <c r="C937" s="12" t="s">
        <v>119</v>
      </c>
      <c r="D937" s="12" t="s">
        <v>119</v>
      </c>
      <c r="E937" s="14" t="s">
        <v>119</v>
      </c>
      <c r="F937" s="37" t="s">
        <v>119</v>
      </c>
      <c r="G937" s="31" t="s">
        <v>119</v>
      </c>
      <c r="H937" s="31" t="s">
        <v>119</v>
      </c>
      <c r="I937" s="31">
        <v>3</v>
      </c>
      <c r="J937" s="31" t="s">
        <v>119</v>
      </c>
      <c r="K937" s="31" t="s">
        <v>119</v>
      </c>
      <c r="L937" s="31" t="s">
        <v>119</v>
      </c>
      <c r="M937" s="31" t="s">
        <v>119</v>
      </c>
      <c r="N937" s="14" t="s">
        <v>119</v>
      </c>
      <c r="O937" s="34" t="s">
        <v>119</v>
      </c>
      <c r="P937" s="106" t="s">
        <v>119</v>
      </c>
      <c r="Q937" s="106">
        <v>1</v>
      </c>
      <c r="R937" s="106">
        <v>1</v>
      </c>
      <c r="S937" s="106" t="s">
        <v>119</v>
      </c>
      <c r="T937" s="106" t="s">
        <v>119</v>
      </c>
      <c r="U937" s="106" t="s">
        <v>119</v>
      </c>
      <c r="V937" t="s">
        <v>119</v>
      </c>
      <c r="W937" s="11" t="s">
        <v>134</v>
      </c>
      <c r="X937" s="11" t="s">
        <v>134</v>
      </c>
    </row>
    <row r="938" spans="1:24" x14ac:dyDescent="0.3">
      <c r="A938" s="13" t="s">
        <v>162</v>
      </c>
      <c r="B938" s="18" t="s">
        <v>119</v>
      </c>
      <c r="C938" s="12" t="s">
        <v>119</v>
      </c>
      <c r="D938" s="12" t="s">
        <v>119</v>
      </c>
      <c r="E938" s="14" t="s">
        <v>119</v>
      </c>
      <c r="F938" s="37" t="s">
        <v>119</v>
      </c>
      <c r="G938" s="37" t="s">
        <v>119</v>
      </c>
      <c r="H938" s="31">
        <v>1</v>
      </c>
      <c r="I938" s="31" t="s">
        <v>119</v>
      </c>
      <c r="J938" s="31" t="s">
        <v>119</v>
      </c>
      <c r="K938" s="31" t="s">
        <v>119</v>
      </c>
      <c r="L938" s="28" t="s">
        <v>119</v>
      </c>
      <c r="M938" s="28" t="s">
        <v>119</v>
      </c>
      <c r="N938" s="1" t="s">
        <v>119</v>
      </c>
      <c r="O938" s="34" t="s">
        <v>119</v>
      </c>
      <c r="P938" s="106" t="s">
        <v>119</v>
      </c>
      <c r="Q938" s="106" t="s">
        <v>119</v>
      </c>
      <c r="R938" s="106" t="s">
        <v>119</v>
      </c>
      <c r="S938" s="106" t="s">
        <v>119</v>
      </c>
      <c r="T938" s="106" t="s">
        <v>119</v>
      </c>
      <c r="U938" s="106" t="s">
        <v>119</v>
      </c>
      <c r="V938" t="s">
        <v>119</v>
      </c>
      <c r="W938" s="11" t="s">
        <v>119</v>
      </c>
      <c r="X938" s="11" t="s">
        <v>134</v>
      </c>
    </row>
    <row r="939" spans="1:24" x14ac:dyDescent="0.3">
      <c r="A939" s="13" t="s">
        <v>1004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7" t="s">
        <v>119</v>
      </c>
      <c r="H939" s="31" t="s">
        <v>119</v>
      </c>
      <c r="I939" s="31" t="s">
        <v>119</v>
      </c>
      <c r="J939" s="31" t="s">
        <v>119</v>
      </c>
      <c r="K939" s="31" t="s">
        <v>119</v>
      </c>
      <c r="L939" s="28" t="s">
        <v>119</v>
      </c>
      <c r="M939" s="28" t="s">
        <v>119</v>
      </c>
      <c r="N939" s="1" t="s">
        <v>119</v>
      </c>
      <c r="O939" s="34" t="s">
        <v>119</v>
      </c>
      <c r="P939" s="106" t="s">
        <v>119</v>
      </c>
      <c r="Q939" s="106" t="s">
        <v>119</v>
      </c>
      <c r="R939" s="106" t="s">
        <v>119</v>
      </c>
      <c r="S939" s="106">
        <v>1</v>
      </c>
      <c r="T939" s="106" t="s">
        <v>119</v>
      </c>
      <c r="U939" s="106" t="s">
        <v>119</v>
      </c>
      <c r="V939" t="s">
        <v>119</v>
      </c>
      <c r="W939" s="11" t="s">
        <v>134</v>
      </c>
      <c r="X939" s="11" t="s">
        <v>119</v>
      </c>
    </row>
    <row r="940" spans="1:24" x14ac:dyDescent="0.3">
      <c r="A940" s="13" t="s">
        <v>611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 t="s">
        <v>119</v>
      </c>
      <c r="I940" s="31">
        <v>2</v>
      </c>
      <c r="J940" s="31" t="s">
        <v>119</v>
      </c>
      <c r="K940" s="31" t="s">
        <v>119</v>
      </c>
      <c r="L940" s="28" t="s">
        <v>119</v>
      </c>
      <c r="M940" s="28">
        <f>1+30+6+2+1</f>
        <v>40</v>
      </c>
      <c r="N940" s="1" t="s">
        <v>119</v>
      </c>
      <c r="O940" s="34" t="s">
        <v>119</v>
      </c>
      <c r="P940" s="106" t="s">
        <v>119</v>
      </c>
      <c r="Q940" s="106">
        <v>2</v>
      </c>
      <c r="R940" s="106" t="s">
        <v>119</v>
      </c>
      <c r="S940" s="106">
        <v>1</v>
      </c>
      <c r="T940" s="106" t="s">
        <v>119</v>
      </c>
      <c r="U940" s="106" t="s">
        <v>119</v>
      </c>
      <c r="V940" t="s">
        <v>119</v>
      </c>
      <c r="W940" s="11" t="str">
        <f t="shared" si="14"/>
        <v>X</v>
      </c>
      <c r="X940" s="11" t="s">
        <v>134</v>
      </c>
    </row>
    <row r="941" spans="1:24" x14ac:dyDescent="0.3">
      <c r="A941" s="13" t="s">
        <v>612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 t="s">
        <v>119</v>
      </c>
      <c r="J941" s="31" t="s">
        <v>119</v>
      </c>
      <c r="K941" s="31" t="s">
        <v>119</v>
      </c>
      <c r="L941" s="28" t="s">
        <v>119</v>
      </c>
      <c r="M941" s="28" t="s">
        <v>134</v>
      </c>
      <c r="N941" s="1" t="s">
        <v>119</v>
      </c>
      <c r="O941" s="34" t="s">
        <v>119</v>
      </c>
      <c r="P941" s="106" t="s">
        <v>119</v>
      </c>
      <c r="Q941" s="106" t="s">
        <v>119</v>
      </c>
      <c r="R941" s="106" t="s">
        <v>119</v>
      </c>
      <c r="S941" s="106" t="s">
        <v>119</v>
      </c>
      <c r="T941" s="106" t="s">
        <v>119</v>
      </c>
      <c r="U941" s="106" t="s">
        <v>119</v>
      </c>
      <c r="V941" t="s">
        <v>119</v>
      </c>
      <c r="W941" s="11" t="s">
        <v>134</v>
      </c>
      <c r="X941" s="11" t="s">
        <v>119</v>
      </c>
    </row>
    <row r="942" spans="1:24" s="11" customFormat="1" x14ac:dyDescent="0.3">
      <c r="A942" s="13" t="s">
        <v>1207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 t="s">
        <v>119</v>
      </c>
      <c r="J942" s="31">
        <v>2</v>
      </c>
      <c r="K942" s="29" t="s">
        <v>119</v>
      </c>
      <c r="L942" s="31" t="s">
        <v>119</v>
      </c>
      <c r="M942" s="31" t="s">
        <v>119</v>
      </c>
      <c r="N942" s="1" t="s">
        <v>119</v>
      </c>
      <c r="O942" s="34" t="s">
        <v>119</v>
      </c>
      <c r="P942" s="106" t="s">
        <v>119</v>
      </c>
      <c r="Q942" s="106" t="s">
        <v>119</v>
      </c>
      <c r="R942" s="106" t="s">
        <v>119</v>
      </c>
      <c r="S942" s="106" t="s">
        <v>119</v>
      </c>
      <c r="T942" s="106" t="s">
        <v>119</v>
      </c>
      <c r="U942" s="106" t="s">
        <v>119</v>
      </c>
      <c r="V942" t="s">
        <v>134</v>
      </c>
      <c r="W942" s="11" t="s">
        <v>119</v>
      </c>
      <c r="X942" s="11" t="s">
        <v>119</v>
      </c>
    </row>
    <row r="943" spans="1:24" s="11" customFormat="1" x14ac:dyDescent="0.3">
      <c r="A943" s="13" t="s">
        <v>613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1" t="s">
        <v>119</v>
      </c>
      <c r="I943" s="31" t="s">
        <v>119</v>
      </c>
      <c r="J943" s="31" t="s">
        <v>119</v>
      </c>
      <c r="K943" s="29" t="s">
        <v>119</v>
      </c>
      <c r="L943" s="31" t="s">
        <v>119</v>
      </c>
      <c r="M943" s="31" t="s">
        <v>134</v>
      </c>
      <c r="N943" s="1" t="s">
        <v>119</v>
      </c>
      <c r="O943" s="34" t="s">
        <v>119</v>
      </c>
      <c r="P943" s="106" t="s">
        <v>119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t="s">
        <v>119</v>
      </c>
      <c r="W943" s="11" t="s">
        <v>119</v>
      </c>
      <c r="X943" s="11" t="s">
        <v>119</v>
      </c>
    </row>
    <row r="944" spans="1:24" s="11" customFormat="1" x14ac:dyDescent="0.3">
      <c r="A944" s="13" t="s">
        <v>614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1" t="s">
        <v>119</v>
      </c>
      <c r="I944" s="31" t="s">
        <v>119</v>
      </c>
      <c r="J944" s="31" t="s">
        <v>119</v>
      </c>
      <c r="K944" s="29" t="s">
        <v>119</v>
      </c>
      <c r="L944" s="31" t="s">
        <v>119</v>
      </c>
      <c r="M944" s="31" t="s">
        <v>134</v>
      </c>
      <c r="N944" s="1" t="s">
        <v>119</v>
      </c>
      <c r="O944" s="34" t="s">
        <v>134</v>
      </c>
      <c r="P944" s="106" t="s">
        <v>119</v>
      </c>
      <c r="Q944" s="106" t="s">
        <v>119</v>
      </c>
      <c r="R944" s="106" t="s">
        <v>119</v>
      </c>
      <c r="S944" s="106" t="s">
        <v>119</v>
      </c>
      <c r="T944" s="106" t="s">
        <v>119</v>
      </c>
      <c r="U944" s="106" t="s">
        <v>119</v>
      </c>
      <c r="V944" t="s">
        <v>119</v>
      </c>
      <c r="W944" s="11" t="s">
        <v>134</v>
      </c>
      <c r="X944" s="11" t="s">
        <v>134</v>
      </c>
    </row>
    <row r="945" spans="1:24" s="11" customFormat="1" x14ac:dyDescent="0.3">
      <c r="A945" s="13" t="s">
        <v>1133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1" t="s">
        <v>119</v>
      </c>
      <c r="I945" s="31" t="s">
        <v>119</v>
      </c>
      <c r="J945" s="31" t="s">
        <v>119</v>
      </c>
      <c r="K945" s="29">
        <v>2</v>
      </c>
      <c r="L945" s="31" t="s">
        <v>119</v>
      </c>
      <c r="M945" s="31" t="s">
        <v>119</v>
      </c>
      <c r="N945" s="1" t="s">
        <v>119</v>
      </c>
      <c r="O945" s="34" t="s">
        <v>119</v>
      </c>
      <c r="P945" s="106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t="s">
        <v>134</v>
      </c>
      <c r="W945" s="11" t="s">
        <v>119</v>
      </c>
      <c r="X945" s="11" t="s">
        <v>119</v>
      </c>
    </row>
    <row r="946" spans="1:24" x14ac:dyDescent="0.3">
      <c r="A946" s="8" t="s">
        <v>179</v>
      </c>
      <c r="B946" s="6" t="s">
        <v>119</v>
      </c>
      <c r="C946" s="7" t="s">
        <v>119</v>
      </c>
      <c r="D946" s="7" t="s">
        <v>119</v>
      </c>
      <c r="E946" s="10" t="s">
        <v>119</v>
      </c>
      <c r="F946" s="37" t="s">
        <v>119</v>
      </c>
      <c r="G946" s="37" t="s">
        <v>119</v>
      </c>
      <c r="H946" s="29" t="s">
        <v>119</v>
      </c>
      <c r="I946" s="29" t="s">
        <v>119</v>
      </c>
      <c r="J946" s="29" t="s">
        <v>119</v>
      </c>
      <c r="K946" s="31" t="s">
        <v>119</v>
      </c>
      <c r="L946" s="28" t="s">
        <v>119</v>
      </c>
      <c r="M946" s="28" t="s">
        <v>119</v>
      </c>
      <c r="N946" s="1" t="s">
        <v>119</v>
      </c>
      <c r="O946" s="34" t="s">
        <v>119</v>
      </c>
      <c r="P946" s="106" t="s">
        <v>119</v>
      </c>
      <c r="Q946" s="106" t="s">
        <v>119</v>
      </c>
      <c r="R946" s="106" t="s">
        <v>119</v>
      </c>
      <c r="S946" s="106">
        <v>2</v>
      </c>
      <c r="T946" s="106" t="s">
        <v>119</v>
      </c>
      <c r="U946" s="106" t="s">
        <v>119</v>
      </c>
      <c r="V946" t="s">
        <v>119</v>
      </c>
      <c r="W946" s="11" t="s">
        <v>119</v>
      </c>
      <c r="X946" s="11" t="s">
        <v>119</v>
      </c>
    </row>
    <row r="947" spans="1:24" x14ac:dyDescent="0.3">
      <c r="A947" s="13" t="s">
        <v>181</v>
      </c>
      <c r="B947" s="18" t="s">
        <v>119</v>
      </c>
      <c r="C947" s="12" t="s">
        <v>119</v>
      </c>
      <c r="D947" s="12" t="s">
        <v>119</v>
      </c>
      <c r="E947" s="14" t="s">
        <v>119</v>
      </c>
      <c r="F947" s="37" t="s">
        <v>119</v>
      </c>
      <c r="G947" s="37" t="s">
        <v>119</v>
      </c>
      <c r="H947" s="31" t="s">
        <v>119</v>
      </c>
      <c r="I947" s="31">
        <v>1</v>
      </c>
      <c r="J947" s="31" t="s">
        <v>119</v>
      </c>
      <c r="K947" s="31" t="s">
        <v>119</v>
      </c>
      <c r="L947" s="28" t="s">
        <v>119</v>
      </c>
      <c r="M947" s="28" t="s">
        <v>134</v>
      </c>
      <c r="N947" s="1" t="s">
        <v>119</v>
      </c>
      <c r="O947" s="34" t="s">
        <v>119</v>
      </c>
      <c r="P947" s="106" t="s">
        <v>119</v>
      </c>
      <c r="Q947" s="106" t="s">
        <v>119</v>
      </c>
      <c r="R947" s="106" t="s">
        <v>119</v>
      </c>
      <c r="S947" s="106" t="s">
        <v>119</v>
      </c>
      <c r="T947" s="106" t="s">
        <v>119</v>
      </c>
      <c r="U947" s="106" t="s">
        <v>119</v>
      </c>
      <c r="V947" t="s">
        <v>119</v>
      </c>
      <c r="W947" s="11" t="s">
        <v>134</v>
      </c>
      <c r="X947" s="11" t="s">
        <v>134</v>
      </c>
    </row>
    <row r="948" spans="1:24" s="64" customFormat="1" x14ac:dyDescent="0.3">
      <c r="A948" s="21" t="s">
        <v>1139</v>
      </c>
      <c r="B948" s="19" t="s">
        <v>119</v>
      </c>
      <c r="C948" s="20" t="s">
        <v>119</v>
      </c>
      <c r="D948" s="20" t="s">
        <v>119</v>
      </c>
      <c r="E948" s="25" t="s">
        <v>119</v>
      </c>
      <c r="F948" s="37" t="s">
        <v>119</v>
      </c>
      <c r="G948" s="37" t="s">
        <v>119</v>
      </c>
      <c r="H948" s="33">
        <f>8+8+3+2+1</f>
        <v>22</v>
      </c>
      <c r="I948" s="32" t="s">
        <v>119</v>
      </c>
      <c r="J948" s="32" t="s">
        <v>119</v>
      </c>
      <c r="K948" s="31" t="s">
        <v>119</v>
      </c>
      <c r="L948" s="27" t="s">
        <v>119</v>
      </c>
      <c r="M948" s="27" t="s">
        <v>119</v>
      </c>
      <c r="N948" s="1" t="s">
        <v>119</v>
      </c>
      <c r="O948" s="34" t="s">
        <v>119</v>
      </c>
      <c r="P948" s="106" t="s">
        <v>119</v>
      </c>
      <c r="Q948" s="106" t="s">
        <v>119</v>
      </c>
      <c r="R948" s="106" t="s">
        <v>119</v>
      </c>
      <c r="S948" s="106" t="s">
        <v>119</v>
      </c>
      <c r="T948" s="106" t="s">
        <v>119</v>
      </c>
      <c r="U948" s="106" t="s">
        <v>119</v>
      </c>
      <c r="V948" t="s">
        <v>134</v>
      </c>
      <c r="W948" s="11" t="s">
        <v>119</v>
      </c>
      <c r="X948" s="88" t="s">
        <v>119</v>
      </c>
    </row>
    <row r="949" spans="1:24" s="64" customFormat="1" x14ac:dyDescent="0.3">
      <c r="A949" s="13" t="s">
        <v>742</v>
      </c>
      <c r="B949" s="18" t="s">
        <v>119</v>
      </c>
      <c r="C949" s="12" t="s">
        <v>119</v>
      </c>
      <c r="D949" s="12" t="s">
        <v>119</v>
      </c>
      <c r="E949" s="14" t="s">
        <v>119</v>
      </c>
      <c r="F949" s="37" t="s">
        <v>119</v>
      </c>
      <c r="G949" s="37" t="s">
        <v>119</v>
      </c>
      <c r="H949" s="31" t="s">
        <v>119</v>
      </c>
      <c r="I949" s="31">
        <v>5</v>
      </c>
      <c r="J949" s="31" t="s">
        <v>119</v>
      </c>
      <c r="K949" s="31" t="s">
        <v>119</v>
      </c>
      <c r="L949" s="27" t="s">
        <v>119</v>
      </c>
      <c r="M949" s="27" t="s">
        <v>119</v>
      </c>
      <c r="N949" s="1" t="s">
        <v>119</v>
      </c>
      <c r="O949" s="34" t="s">
        <v>119</v>
      </c>
      <c r="P949" s="106" t="s">
        <v>119</v>
      </c>
      <c r="Q949" s="106" t="s">
        <v>119</v>
      </c>
      <c r="R949" s="106" t="s">
        <v>119</v>
      </c>
      <c r="S949" s="106" t="s">
        <v>119</v>
      </c>
      <c r="T949" s="106" t="s">
        <v>119</v>
      </c>
      <c r="U949" s="106" t="s">
        <v>119</v>
      </c>
      <c r="V949" t="s">
        <v>119</v>
      </c>
      <c r="W949" s="11" t="s">
        <v>119</v>
      </c>
      <c r="X949" s="88" t="s">
        <v>134</v>
      </c>
    </row>
    <row r="950" spans="1:24" s="64" customFormat="1" x14ac:dyDescent="0.3">
      <c r="A950" s="13" t="s">
        <v>1208</v>
      </c>
      <c r="B950" s="18" t="s">
        <v>119</v>
      </c>
      <c r="C950" s="12" t="s">
        <v>119</v>
      </c>
      <c r="D950" s="12" t="s">
        <v>119</v>
      </c>
      <c r="E950" s="14" t="s">
        <v>119</v>
      </c>
      <c r="F950" s="37" t="s">
        <v>119</v>
      </c>
      <c r="G950" s="37" t="s">
        <v>119</v>
      </c>
      <c r="H950" s="31" t="s">
        <v>119</v>
      </c>
      <c r="I950" s="31" t="s">
        <v>119</v>
      </c>
      <c r="J950" s="31">
        <f>15+7+7+4+1+58+11</f>
        <v>103</v>
      </c>
      <c r="K950" s="31" t="s">
        <v>119</v>
      </c>
      <c r="L950" s="28" t="s">
        <v>119</v>
      </c>
      <c r="M950" s="27" t="s">
        <v>119</v>
      </c>
      <c r="N950" s="1" t="s">
        <v>119</v>
      </c>
      <c r="O950" s="34" t="s">
        <v>119</v>
      </c>
      <c r="P950" s="106" t="s">
        <v>119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t="s">
        <v>134</v>
      </c>
      <c r="W950" s="11" t="s">
        <v>119</v>
      </c>
      <c r="X950" s="88" t="s">
        <v>119</v>
      </c>
    </row>
    <row r="951" spans="1:24" s="64" customFormat="1" x14ac:dyDescent="0.3">
      <c r="A951" s="13" t="s">
        <v>238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1" t="s">
        <v>119</v>
      </c>
      <c r="I951" s="31" t="s">
        <v>119</v>
      </c>
      <c r="J951" s="31">
        <f>5+1+1+4+3+1+1+1+1+2+2+1+2+3+1</f>
        <v>29</v>
      </c>
      <c r="K951" s="29" t="s">
        <v>119</v>
      </c>
      <c r="L951" s="27" t="s">
        <v>119</v>
      </c>
      <c r="M951" s="27" t="s">
        <v>134</v>
      </c>
      <c r="N951" s="1" t="s">
        <v>119</v>
      </c>
      <c r="O951" s="34" t="s">
        <v>119</v>
      </c>
      <c r="P951" s="106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t="s">
        <v>119</v>
      </c>
      <c r="W951" s="11" t="s">
        <v>134</v>
      </c>
      <c r="X951" s="88" t="s">
        <v>119</v>
      </c>
    </row>
    <row r="952" spans="1:24" s="64" customFormat="1" x14ac:dyDescent="0.3">
      <c r="A952" s="13" t="s">
        <v>774</v>
      </c>
      <c r="B952" s="18" t="s">
        <v>119</v>
      </c>
      <c r="C952" s="12" t="s">
        <v>119</v>
      </c>
      <c r="D952" s="12" t="s">
        <v>119</v>
      </c>
      <c r="E952" s="14" t="s">
        <v>119</v>
      </c>
      <c r="F952" s="37" t="s">
        <v>119</v>
      </c>
      <c r="G952" s="37" t="s">
        <v>119</v>
      </c>
      <c r="H952" s="31" t="s">
        <v>119</v>
      </c>
      <c r="I952" s="31" t="s">
        <v>119</v>
      </c>
      <c r="J952" s="31" t="s">
        <v>119</v>
      </c>
      <c r="K952" s="29" t="s">
        <v>119</v>
      </c>
      <c r="L952" s="27" t="s">
        <v>119</v>
      </c>
      <c r="M952" s="27" t="s">
        <v>119</v>
      </c>
      <c r="N952" s="1" t="s">
        <v>119</v>
      </c>
      <c r="O952" s="34" t="s">
        <v>119</v>
      </c>
      <c r="P952" s="106" t="s">
        <v>119</v>
      </c>
      <c r="Q952" s="106" t="s">
        <v>119</v>
      </c>
      <c r="R952" s="106">
        <v>27</v>
      </c>
      <c r="S952" s="106" t="s">
        <v>119</v>
      </c>
      <c r="T952" s="106" t="s">
        <v>119</v>
      </c>
      <c r="U952" s="106" t="s">
        <v>119</v>
      </c>
      <c r="V952" t="s">
        <v>119</v>
      </c>
      <c r="W952" s="11" t="str">
        <f t="shared" si="14"/>
        <v>X</v>
      </c>
      <c r="X952" s="88" t="s">
        <v>119</v>
      </c>
    </row>
    <row r="953" spans="1:24" s="64" customFormat="1" x14ac:dyDescent="0.3">
      <c r="A953" s="21" t="s">
        <v>1140</v>
      </c>
      <c r="B953" s="19" t="s">
        <v>119</v>
      </c>
      <c r="C953" s="20" t="s">
        <v>119</v>
      </c>
      <c r="D953" s="20" t="s">
        <v>119</v>
      </c>
      <c r="E953" s="25" t="s">
        <v>119</v>
      </c>
      <c r="F953" s="37" t="s">
        <v>119</v>
      </c>
      <c r="G953" s="37" t="s">
        <v>119</v>
      </c>
      <c r="H953" s="33">
        <v>12</v>
      </c>
      <c r="I953" s="32" t="s">
        <v>119</v>
      </c>
      <c r="J953" s="32" t="s">
        <v>119</v>
      </c>
      <c r="K953" s="30" t="s">
        <v>119</v>
      </c>
      <c r="L953" s="27" t="s">
        <v>119</v>
      </c>
      <c r="M953" s="27" t="s">
        <v>119</v>
      </c>
      <c r="N953" s="1" t="s">
        <v>119</v>
      </c>
      <c r="O953" s="34" t="s">
        <v>119</v>
      </c>
      <c r="P953" s="106" t="s">
        <v>119</v>
      </c>
      <c r="Q953" s="106" t="s">
        <v>119</v>
      </c>
      <c r="R953" s="106" t="s">
        <v>119</v>
      </c>
      <c r="S953" s="106" t="s">
        <v>119</v>
      </c>
      <c r="T953" s="106" t="s">
        <v>119</v>
      </c>
      <c r="U953" s="106" t="s">
        <v>119</v>
      </c>
      <c r="V953" t="s">
        <v>134</v>
      </c>
      <c r="W953" s="11" t="s">
        <v>119</v>
      </c>
      <c r="X953" s="88" t="s">
        <v>119</v>
      </c>
    </row>
    <row r="954" spans="1:24" s="88" customFormat="1" x14ac:dyDescent="0.3">
      <c r="A954" s="13" t="s">
        <v>615</v>
      </c>
      <c r="B954" s="18" t="s">
        <v>119</v>
      </c>
      <c r="C954" s="12" t="s">
        <v>119</v>
      </c>
      <c r="D954" s="12" t="s">
        <v>119</v>
      </c>
      <c r="E954" s="14" t="s">
        <v>119</v>
      </c>
      <c r="F954" s="37" t="s">
        <v>119</v>
      </c>
      <c r="G954" s="37" t="s">
        <v>119</v>
      </c>
      <c r="H954" s="31" t="s">
        <v>119</v>
      </c>
      <c r="I954" s="31" t="s">
        <v>119</v>
      </c>
      <c r="J954" s="31" t="s">
        <v>119</v>
      </c>
      <c r="K954" s="34" t="s">
        <v>119</v>
      </c>
      <c r="L954" s="34" t="s">
        <v>119</v>
      </c>
      <c r="M954" s="34">
        <v>2</v>
      </c>
      <c r="N954" s="1" t="s">
        <v>119</v>
      </c>
      <c r="O954" s="34" t="s">
        <v>119</v>
      </c>
      <c r="P954" s="106" t="s">
        <v>119</v>
      </c>
      <c r="Q954" s="106" t="s">
        <v>119</v>
      </c>
      <c r="R954" s="106" t="s">
        <v>119</v>
      </c>
      <c r="S954" s="106" t="s">
        <v>119</v>
      </c>
      <c r="T954" s="106" t="s">
        <v>119</v>
      </c>
      <c r="U954" s="106" t="s">
        <v>119</v>
      </c>
      <c r="V954" t="s">
        <v>119</v>
      </c>
      <c r="W954" s="11" t="s">
        <v>134</v>
      </c>
      <c r="X954" s="88" t="s">
        <v>119</v>
      </c>
    </row>
    <row r="955" spans="1:24" s="89" customFormat="1" x14ac:dyDescent="0.3">
      <c r="A955" s="21" t="s">
        <v>1141</v>
      </c>
      <c r="B955" s="19" t="s">
        <v>119</v>
      </c>
      <c r="C955" s="20" t="s">
        <v>119</v>
      </c>
      <c r="D955" s="20" t="s">
        <v>119</v>
      </c>
      <c r="E955" s="25" t="s">
        <v>119</v>
      </c>
      <c r="F955" s="37" t="s">
        <v>119</v>
      </c>
      <c r="G955" s="32" t="s">
        <v>119</v>
      </c>
      <c r="H955" s="32" t="s">
        <v>119</v>
      </c>
      <c r="I955" s="33">
        <f>2+1+1+1+1+1</f>
        <v>7</v>
      </c>
      <c r="J955" s="32" t="s">
        <v>119</v>
      </c>
      <c r="K955" s="45" t="s">
        <v>119</v>
      </c>
      <c r="L955" s="45" t="s">
        <v>119</v>
      </c>
      <c r="M955" s="45" t="s">
        <v>119</v>
      </c>
      <c r="N955" s="25" t="s">
        <v>119</v>
      </c>
      <c r="O955" s="34" t="s">
        <v>119</v>
      </c>
      <c r="P955" s="106" t="s">
        <v>119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t="s">
        <v>134</v>
      </c>
      <c r="W955" s="11" t="s">
        <v>119</v>
      </c>
      <c r="X955" s="88" t="s">
        <v>119</v>
      </c>
    </row>
    <row r="956" spans="1:24" x14ac:dyDescent="0.3">
      <c r="A956" s="13" t="s">
        <v>1138</v>
      </c>
      <c r="B956" s="18" t="s">
        <v>119</v>
      </c>
      <c r="C956" s="12" t="s">
        <v>119</v>
      </c>
      <c r="D956" s="12" t="s">
        <v>119</v>
      </c>
      <c r="E956" s="14" t="s">
        <v>119</v>
      </c>
      <c r="F956" s="37" t="s">
        <v>119</v>
      </c>
      <c r="G956" s="37" t="s">
        <v>119</v>
      </c>
      <c r="H956" s="31" t="s">
        <v>119</v>
      </c>
      <c r="I956" s="31" t="s">
        <v>119</v>
      </c>
      <c r="J956" s="31" t="s">
        <v>119</v>
      </c>
      <c r="K956" s="27">
        <f>1+1+2+17+56+26+6+80+102+3</f>
        <v>294</v>
      </c>
      <c r="L956" s="28" t="s">
        <v>119</v>
      </c>
      <c r="M956" s="28" t="s">
        <v>119</v>
      </c>
      <c r="N956" s="1" t="s">
        <v>119</v>
      </c>
      <c r="O956" s="34" t="s">
        <v>119</v>
      </c>
      <c r="P956" s="106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t="s">
        <v>134</v>
      </c>
      <c r="W956" s="11" t="s">
        <v>119</v>
      </c>
      <c r="X956" s="11" t="s">
        <v>119</v>
      </c>
    </row>
    <row r="957" spans="1:24" x14ac:dyDescent="0.3">
      <c r="A957" s="8" t="s">
        <v>239</v>
      </c>
      <c r="B957" s="6" t="s">
        <v>119</v>
      </c>
      <c r="C957" s="7" t="s">
        <v>119</v>
      </c>
      <c r="D957" s="7" t="s">
        <v>119</v>
      </c>
      <c r="E957" s="10" t="s">
        <v>119</v>
      </c>
      <c r="F957" s="37" t="s">
        <v>119</v>
      </c>
      <c r="G957" s="37" t="s">
        <v>119</v>
      </c>
      <c r="H957" s="29" t="s">
        <v>119</v>
      </c>
      <c r="I957" s="29" t="s">
        <v>119</v>
      </c>
      <c r="J957" s="29">
        <v>2</v>
      </c>
      <c r="K957" s="28" t="s">
        <v>119</v>
      </c>
      <c r="L957" s="28" t="s">
        <v>119</v>
      </c>
      <c r="M957" s="28" t="s">
        <v>119</v>
      </c>
      <c r="N957" s="1" t="s">
        <v>119</v>
      </c>
      <c r="O957" s="34" t="s">
        <v>119</v>
      </c>
      <c r="P957" s="106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t="s">
        <v>119</v>
      </c>
      <c r="W957" s="11" t="s">
        <v>119</v>
      </c>
      <c r="X957" s="11" t="s">
        <v>119</v>
      </c>
    </row>
    <row r="958" spans="1:24" s="11" customFormat="1" x14ac:dyDescent="0.3">
      <c r="A958" s="14" t="s">
        <v>1232</v>
      </c>
      <c r="B958" s="18" t="s">
        <v>119</v>
      </c>
      <c r="C958" s="12" t="s">
        <v>119</v>
      </c>
      <c r="D958" s="12" t="s">
        <v>119</v>
      </c>
      <c r="E958" s="14" t="s">
        <v>119</v>
      </c>
      <c r="F958" s="31" t="s">
        <v>119</v>
      </c>
      <c r="G958" s="31" t="s">
        <v>119</v>
      </c>
      <c r="H958" s="31" t="s">
        <v>119</v>
      </c>
      <c r="I958" s="31" t="s">
        <v>119</v>
      </c>
      <c r="J958" s="31">
        <v>3</v>
      </c>
      <c r="K958" s="13" t="s">
        <v>119</v>
      </c>
      <c r="L958" s="31" t="s">
        <v>119</v>
      </c>
      <c r="M958" s="31" t="s">
        <v>119</v>
      </c>
      <c r="N958" s="14" t="s">
        <v>119</v>
      </c>
      <c r="O958" s="34" t="s">
        <v>119</v>
      </c>
      <c r="P958" s="108" t="s">
        <v>119</v>
      </c>
      <c r="Q958" s="108" t="s">
        <v>119</v>
      </c>
      <c r="R958" s="108" t="s">
        <v>119</v>
      </c>
      <c r="S958" s="108" t="s">
        <v>119</v>
      </c>
      <c r="T958" s="108" t="s">
        <v>119</v>
      </c>
      <c r="U958" s="108" t="s">
        <v>119</v>
      </c>
      <c r="V958" t="s">
        <v>134</v>
      </c>
      <c r="W958" s="11" t="s">
        <v>119</v>
      </c>
      <c r="X958" s="11" t="s">
        <v>119</v>
      </c>
    </row>
    <row r="959" spans="1:24" s="11" customFormat="1" x14ac:dyDescent="0.3">
      <c r="A959" s="14" t="s">
        <v>616</v>
      </c>
      <c r="B959" s="18" t="s">
        <v>119</v>
      </c>
      <c r="C959" s="12" t="s">
        <v>119</v>
      </c>
      <c r="D959" s="12" t="s">
        <v>119</v>
      </c>
      <c r="E959" s="14" t="s">
        <v>119</v>
      </c>
      <c r="F959" s="37" t="s">
        <v>119</v>
      </c>
      <c r="G959" s="37" t="s">
        <v>119</v>
      </c>
      <c r="H959" s="31" t="s">
        <v>119</v>
      </c>
      <c r="I959" s="31" t="s">
        <v>119</v>
      </c>
      <c r="J959" s="34" t="s">
        <v>119</v>
      </c>
      <c r="K959" s="13" t="s">
        <v>119</v>
      </c>
      <c r="L959" s="31" t="s">
        <v>119</v>
      </c>
      <c r="M959" s="31" t="s">
        <v>134</v>
      </c>
      <c r="N959" s="1" t="s">
        <v>119</v>
      </c>
      <c r="O959" s="34" t="s">
        <v>119</v>
      </c>
      <c r="P959" s="106" t="s">
        <v>119</v>
      </c>
      <c r="Q959" s="106" t="s">
        <v>119</v>
      </c>
      <c r="R959" s="106" t="s">
        <v>119</v>
      </c>
      <c r="S959" s="106" t="s">
        <v>119</v>
      </c>
      <c r="T959" s="106" t="s">
        <v>119</v>
      </c>
      <c r="U959" s="106" t="s">
        <v>119</v>
      </c>
      <c r="V959" t="s">
        <v>119</v>
      </c>
      <c r="W959" s="11" t="s">
        <v>119</v>
      </c>
      <c r="X959" s="11" t="s">
        <v>119</v>
      </c>
    </row>
    <row r="960" spans="1:24" s="11" customFormat="1" x14ac:dyDescent="0.3">
      <c r="A960" s="14" t="s">
        <v>617</v>
      </c>
      <c r="B960" s="18" t="s">
        <v>119</v>
      </c>
      <c r="C960" s="12" t="s">
        <v>119</v>
      </c>
      <c r="D960" s="12" t="s">
        <v>119</v>
      </c>
      <c r="E960" s="14" t="s">
        <v>119</v>
      </c>
      <c r="F960" s="37" t="s">
        <v>119</v>
      </c>
      <c r="G960" s="37" t="s">
        <v>119</v>
      </c>
      <c r="H960" s="31" t="s">
        <v>119</v>
      </c>
      <c r="I960" s="31" t="s">
        <v>119</v>
      </c>
      <c r="J960" s="34" t="s">
        <v>119</v>
      </c>
      <c r="K960" s="13" t="s">
        <v>119</v>
      </c>
      <c r="L960" s="31" t="s">
        <v>119</v>
      </c>
      <c r="M960" s="31" t="s">
        <v>134</v>
      </c>
      <c r="N960" s="1" t="s">
        <v>119</v>
      </c>
      <c r="O960" s="34" t="s">
        <v>119</v>
      </c>
      <c r="P960" s="106" t="s">
        <v>119</v>
      </c>
      <c r="Q960" s="106" t="s">
        <v>119</v>
      </c>
      <c r="R960" s="106" t="s">
        <v>119</v>
      </c>
      <c r="S960" s="106" t="s">
        <v>119</v>
      </c>
      <c r="T960" s="106" t="s">
        <v>119</v>
      </c>
      <c r="U960" s="106" t="s">
        <v>119</v>
      </c>
      <c r="V960" t="s">
        <v>119</v>
      </c>
      <c r="W960" s="11" t="s">
        <v>134</v>
      </c>
      <c r="X960" s="11" t="s">
        <v>119</v>
      </c>
    </row>
    <row r="961" spans="1:24" s="11" customFormat="1" x14ac:dyDescent="0.3">
      <c r="A961" s="14" t="s">
        <v>618</v>
      </c>
      <c r="B961" s="18" t="s">
        <v>119</v>
      </c>
      <c r="C961" s="12" t="s">
        <v>119</v>
      </c>
      <c r="D961" s="12" t="s">
        <v>119</v>
      </c>
      <c r="E961" s="14" t="s">
        <v>119</v>
      </c>
      <c r="F961" s="37" t="s">
        <v>119</v>
      </c>
      <c r="G961" s="37" t="s">
        <v>119</v>
      </c>
      <c r="H961" s="31" t="s">
        <v>119</v>
      </c>
      <c r="I961" s="31" t="s">
        <v>119</v>
      </c>
      <c r="J961" s="34" t="s">
        <v>119</v>
      </c>
      <c r="K961" s="13" t="s">
        <v>119</v>
      </c>
      <c r="L961" s="31" t="s">
        <v>119</v>
      </c>
      <c r="M961" s="31" t="s">
        <v>134</v>
      </c>
      <c r="N961" s="1" t="s">
        <v>119</v>
      </c>
      <c r="O961" s="34" t="s">
        <v>119</v>
      </c>
      <c r="P961" s="106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t="s">
        <v>119</v>
      </c>
      <c r="W961" s="11" t="s">
        <v>134</v>
      </c>
      <c r="X961" s="11" t="s">
        <v>119</v>
      </c>
    </row>
    <row r="962" spans="1:24" s="51" customFormat="1" x14ac:dyDescent="0.3">
      <c r="A962" s="70" t="s">
        <v>316</v>
      </c>
      <c r="B962" s="48"/>
      <c r="C962" s="49"/>
      <c r="D962" s="49"/>
      <c r="E962" s="49"/>
      <c r="F962" s="92"/>
      <c r="G962" s="92"/>
      <c r="H962" s="50"/>
      <c r="I962" s="50"/>
      <c r="J962" s="50"/>
      <c r="K962" s="50"/>
      <c r="L962" s="50"/>
      <c r="M962" s="50"/>
      <c r="N962" s="49"/>
      <c r="O962" s="50"/>
      <c r="P962" s="105"/>
      <c r="Q962" s="105"/>
      <c r="R962" s="105"/>
      <c r="S962" s="105"/>
      <c r="T962" s="106" t="s">
        <v>119</v>
      </c>
      <c r="U962" s="106" t="s">
        <v>119</v>
      </c>
      <c r="V962" t="s">
        <v>119</v>
      </c>
      <c r="W962" s="11" t="str">
        <f t="shared" si="14"/>
        <v/>
      </c>
      <c r="X962" s="84"/>
    </row>
    <row r="963" spans="1:24" s="94" customFormat="1" x14ac:dyDescent="0.3">
      <c r="A963" s="88" t="s">
        <v>743</v>
      </c>
      <c r="B963" s="93" t="s">
        <v>119</v>
      </c>
      <c r="C963" s="44" t="s">
        <v>119</v>
      </c>
      <c r="D963" s="44" t="s">
        <v>119</v>
      </c>
      <c r="E963" s="44" t="s">
        <v>119</v>
      </c>
      <c r="F963" s="37" t="s">
        <v>119</v>
      </c>
      <c r="G963" s="43" t="s">
        <v>119</v>
      </c>
      <c r="H963" s="43" t="s">
        <v>119</v>
      </c>
      <c r="I963" s="43">
        <v>9</v>
      </c>
      <c r="J963" s="43" t="s">
        <v>119</v>
      </c>
      <c r="K963" s="43" t="s">
        <v>119</v>
      </c>
      <c r="L963" s="43" t="s">
        <v>119</v>
      </c>
      <c r="M963" s="43" t="s">
        <v>119</v>
      </c>
      <c r="N963" s="44" t="s">
        <v>119</v>
      </c>
      <c r="O963" s="43" t="s">
        <v>119</v>
      </c>
      <c r="P963" s="106" t="s">
        <v>119</v>
      </c>
      <c r="Q963" s="106" t="s">
        <v>119</v>
      </c>
      <c r="R963" s="106" t="s">
        <v>119</v>
      </c>
      <c r="S963" s="106" t="s">
        <v>119</v>
      </c>
      <c r="T963" s="106" t="s">
        <v>119</v>
      </c>
      <c r="U963" s="106" t="s">
        <v>119</v>
      </c>
      <c r="V963" t="s">
        <v>119</v>
      </c>
      <c r="W963" s="11" t="s">
        <v>134</v>
      </c>
      <c r="X963" s="88" t="s">
        <v>134</v>
      </c>
    </row>
    <row r="964" spans="1:24" x14ac:dyDescent="0.3">
      <c r="A964" s="46" t="s">
        <v>619</v>
      </c>
      <c r="B964" s="66" t="s">
        <v>119</v>
      </c>
      <c r="C964" s="4" t="s">
        <v>119</v>
      </c>
      <c r="D964" s="4" t="s">
        <v>119</v>
      </c>
      <c r="E964" s="4" t="s">
        <v>119</v>
      </c>
      <c r="F964" s="37" t="s">
        <v>119</v>
      </c>
      <c r="G964" s="37" t="s">
        <v>119</v>
      </c>
      <c r="H964" s="27">
        <v>1</v>
      </c>
      <c r="I964" s="27">
        <v>1</v>
      </c>
      <c r="J964" s="27" t="s">
        <v>119</v>
      </c>
      <c r="K964" s="27" t="s">
        <v>119</v>
      </c>
      <c r="L964" s="27" t="s">
        <v>119</v>
      </c>
      <c r="M964" s="27">
        <v>2</v>
      </c>
      <c r="N964" s="1" t="s">
        <v>119</v>
      </c>
      <c r="O964" s="43" t="s">
        <v>119</v>
      </c>
      <c r="P964" s="106" t="s">
        <v>119</v>
      </c>
      <c r="Q964" s="106" t="s">
        <v>119</v>
      </c>
      <c r="R964" s="106" t="s">
        <v>119</v>
      </c>
      <c r="S964" s="106" t="s">
        <v>119</v>
      </c>
      <c r="T964" s="106" t="s">
        <v>119</v>
      </c>
      <c r="U964" s="106" t="s">
        <v>119</v>
      </c>
      <c r="V964" t="s">
        <v>119</v>
      </c>
      <c r="W964" s="11" t="s">
        <v>134</v>
      </c>
      <c r="X964" s="11" t="s">
        <v>134</v>
      </c>
    </row>
    <row r="965" spans="1:24" x14ac:dyDescent="0.3">
      <c r="A965" s="46" t="s">
        <v>783</v>
      </c>
      <c r="B965" s="66" t="s">
        <v>119</v>
      </c>
      <c r="C965" s="4" t="s">
        <v>119</v>
      </c>
      <c r="D965" s="4" t="s">
        <v>119</v>
      </c>
      <c r="E965" s="4" t="s">
        <v>119</v>
      </c>
      <c r="F965" s="37" t="s">
        <v>119</v>
      </c>
      <c r="G965" s="37" t="s">
        <v>119</v>
      </c>
      <c r="H965" s="27" t="s">
        <v>119</v>
      </c>
      <c r="I965" s="27" t="s">
        <v>119</v>
      </c>
      <c r="J965" s="27" t="s">
        <v>119</v>
      </c>
      <c r="K965" s="27" t="s">
        <v>119</v>
      </c>
      <c r="L965" s="27" t="s">
        <v>119</v>
      </c>
      <c r="M965" s="27" t="s">
        <v>119</v>
      </c>
      <c r="N965" s="1" t="s">
        <v>119</v>
      </c>
      <c r="O965" s="43" t="s">
        <v>119</v>
      </c>
      <c r="P965" s="106" t="s">
        <v>119</v>
      </c>
      <c r="Q965" s="106" t="s">
        <v>119</v>
      </c>
      <c r="R965" s="106">
        <v>33</v>
      </c>
      <c r="S965" s="106">
        <v>5</v>
      </c>
      <c r="T965" s="106" t="s">
        <v>119</v>
      </c>
      <c r="U965" s="106" t="s">
        <v>119</v>
      </c>
      <c r="V965" t="s">
        <v>119</v>
      </c>
      <c r="W965" s="11" t="str">
        <f t="shared" si="14"/>
        <v>X</v>
      </c>
      <c r="X965" s="11" t="s">
        <v>134</v>
      </c>
    </row>
    <row r="966" spans="1:24" x14ac:dyDescent="0.3">
      <c r="A966" s="46" t="s">
        <v>1110</v>
      </c>
      <c r="B966" s="66" t="s">
        <v>119</v>
      </c>
      <c r="C966" s="4" t="s">
        <v>119</v>
      </c>
      <c r="D966" s="4" t="s">
        <v>119</v>
      </c>
      <c r="E966" s="4" t="s">
        <v>119</v>
      </c>
      <c r="F966" s="37" t="s">
        <v>119</v>
      </c>
      <c r="G966" s="37" t="s">
        <v>119</v>
      </c>
      <c r="H966" s="27" t="s">
        <v>119</v>
      </c>
      <c r="I966" s="27" t="s">
        <v>119</v>
      </c>
      <c r="J966" s="27" t="s">
        <v>119</v>
      </c>
      <c r="K966" s="27">
        <v>1</v>
      </c>
      <c r="L966" s="27" t="s">
        <v>119</v>
      </c>
      <c r="M966" s="27" t="s">
        <v>119</v>
      </c>
      <c r="N966" s="1" t="s">
        <v>119</v>
      </c>
      <c r="O966" s="43" t="s">
        <v>119</v>
      </c>
      <c r="P966" s="106" t="s">
        <v>119</v>
      </c>
      <c r="Q966" s="106" t="s">
        <v>119</v>
      </c>
      <c r="R966" s="106" t="s">
        <v>119</v>
      </c>
      <c r="S966" s="106" t="s">
        <v>119</v>
      </c>
      <c r="T966" s="106" t="s">
        <v>119</v>
      </c>
      <c r="U966" s="106" t="s">
        <v>119</v>
      </c>
      <c r="V966" t="s">
        <v>119</v>
      </c>
      <c r="W966" s="11" t="s">
        <v>134</v>
      </c>
      <c r="X966" s="11" t="s">
        <v>134</v>
      </c>
    </row>
    <row r="967" spans="1:24" s="5" customFormat="1" x14ac:dyDescent="0.3">
      <c r="A967" s="46" t="s">
        <v>620</v>
      </c>
      <c r="B967" s="66" t="s">
        <v>119</v>
      </c>
      <c r="C967" s="4" t="s">
        <v>119</v>
      </c>
      <c r="D967" s="4" t="s">
        <v>119</v>
      </c>
      <c r="E967" s="4" t="s">
        <v>119</v>
      </c>
      <c r="F967" s="37" t="s">
        <v>119</v>
      </c>
      <c r="G967" s="37" t="s">
        <v>119</v>
      </c>
      <c r="H967" s="27" t="s">
        <v>119</v>
      </c>
      <c r="I967" s="27" t="s">
        <v>119</v>
      </c>
      <c r="J967" s="27" t="s">
        <v>119</v>
      </c>
      <c r="K967" s="27">
        <v>5</v>
      </c>
      <c r="L967" s="27" t="s">
        <v>119</v>
      </c>
      <c r="M967" s="27">
        <v>2</v>
      </c>
      <c r="N967" s="10" t="s">
        <v>119</v>
      </c>
      <c r="O967" s="43" t="s">
        <v>119</v>
      </c>
      <c r="P967" s="106" t="s">
        <v>119</v>
      </c>
      <c r="Q967" s="106" t="s">
        <v>119</v>
      </c>
      <c r="R967" s="106" t="s">
        <v>119</v>
      </c>
      <c r="S967" s="106" t="s">
        <v>119</v>
      </c>
      <c r="T967" s="106" t="s">
        <v>119</v>
      </c>
      <c r="U967" s="106" t="s">
        <v>119</v>
      </c>
      <c r="V967" t="s">
        <v>119</v>
      </c>
      <c r="W967" s="11" t="s">
        <v>134</v>
      </c>
      <c r="X967" s="11" t="s">
        <v>134</v>
      </c>
    </row>
    <row r="968" spans="1:24" x14ac:dyDescent="0.3">
      <c r="A968" s="46" t="s">
        <v>621</v>
      </c>
      <c r="B968" s="66" t="s">
        <v>119</v>
      </c>
      <c r="C968" s="4" t="s">
        <v>119</v>
      </c>
      <c r="D968" s="4" t="s">
        <v>119</v>
      </c>
      <c r="E968" s="4" t="s">
        <v>119</v>
      </c>
      <c r="F968" s="37" t="s">
        <v>119</v>
      </c>
      <c r="G968" s="37" t="s">
        <v>119</v>
      </c>
      <c r="H968" s="27" t="s">
        <v>119</v>
      </c>
      <c r="I968" s="27" t="s">
        <v>119</v>
      </c>
      <c r="J968" s="27" t="s">
        <v>119</v>
      </c>
      <c r="K968" s="27" t="s">
        <v>119</v>
      </c>
      <c r="L968" s="27" t="s">
        <v>119</v>
      </c>
      <c r="M968" s="27" t="s">
        <v>134</v>
      </c>
      <c r="N968" s="10" t="s">
        <v>119</v>
      </c>
      <c r="O968" s="43" t="s">
        <v>119</v>
      </c>
      <c r="P968" s="106" t="s">
        <v>119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t="s">
        <v>119</v>
      </c>
      <c r="W968" s="11" t="s">
        <v>119</v>
      </c>
      <c r="X968" s="11" t="s">
        <v>119</v>
      </c>
    </row>
    <row r="969" spans="1:24" x14ac:dyDescent="0.3">
      <c r="A969" s="3" t="s">
        <v>48</v>
      </c>
      <c r="B969" s="2">
        <v>0</v>
      </c>
      <c r="C969" s="4">
        <v>0</v>
      </c>
      <c r="D969" s="4">
        <v>0</v>
      </c>
      <c r="E969" s="1">
        <v>4</v>
      </c>
      <c r="F969" s="37" t="s">
        <v>119</v>
      </c>
      <c r="G969" s="37" t="s">
        <v>119</v>
      </c>
      <c r="H969" s="28" t="s">
        <v>119</v>
      </c>
      <c r="I969" s="28" t="s">
        <v>119</v>
      </c>
      <c r="J969" s="28" t="s">
        <v>119</v>
      </c>
      <c r="K969" s="3" t="s">
        <v>119</v>
      </c>
      <c r="L969" s="28" t="s">
        <v>119</v>
      </c>
      <c r="M969" s="28" t="s">
        <v>134</v>
      </c>
      <c r="N969" s="10" t="s">
        <v>119</v>
      </c>
      <c r="O969" s="43" t="s">
        <v>119</v>
      </c>
      <c r="P969" s="106" t="s">
        <v>119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t="s">
        <v>119</v>
      </c>
      <c r="W969" s="11" t="s">
        <v>119</v>
      </c>
      <c r="X969" s="11" t="s">
        <v>134</v>
      </c>
    </row>
    <row r="970" spans="1:24" x14ac:dyDescent="0.3">
      <c r="A970" s="3" t="s">
        <v>56</v>
      </c>
      <c r="B970" s="2">
        <v>2</v>
      </c>
      <c r="C970" s="4">
        <v>0</v>
      </c>
      <c r="D970" s="4">
        <v>0</v>
      </c>
      <c r="E970" s="1">
        <v>0</v>
      </c>
      <c r="F970" s="37" t="s">
        <v>119</v>
      </c>
      <c r="G970" s="37" t="s">
        <v>119</v>
      </c>
      <c r="H970" s="28" t="s">
        <v>119</v>
      </c>
      <c r="I970" s="27">
        <v>1</v>
      </c>
      <c r="J970" s="28" t="s">
        <v>119</v>
      </c>
      <c r="K970" s="28" t="s">
        <v>119</v>
      </c>
      <c r="L970" s="28" t="s">
        <v>119</v>
      </c>
      <c r="M970" s="28" t="s">
        <v>119</v>
      </c>
      <c r="N970" s="10" t="s">
        <v>119</v>
      </c>
      <c r="O970" s="43" t="s">
        <v>119</v>
      </c>
      <c r="P970" s="106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t="s">
        <v>119</v>
      </c>
      <c r="W970" s="11" t="s">
        <v>134</v>
      </c>
      <c r="X970" s="11" t="s">
        <v>134</v>
      </c>
    </row>
    <row r="971" spans="1:24" x14ac:dyDescent="0.3">
      <c r="A971" s="3" t="s">
        <v>990</v>
      </c>
      <c r="B971" s="2" t="s">
        <v>119</v>
      </c>
      <c r="C971" s="4" t="s">
        <v>119</v>
      </c>
      <c r="D971" s="4" t="s">
        <v>119</v>
      </c>
      <c r="E971" s="1" t="s">
        <v>119</v>
      </c>
      <c r="F971" s="37">
        <v>2</v>
      </c>
      <c r="G971" s="37" t="s">
        <v>119</v>
      </c>
      <c r="H971" s="28" t="s">
        <v>119</v>
      </c>
      <c r="I971" s="27" t="s">
        <v>119</v>
      </c>
      <c r="J971" s="28" t="s">
        <v>119</v>
      </c>
      <c r="K971" s="28">
        <v>1</v>
      </c>
      <c r="L971" s="28" t="s">
        <v>119</v>
      </c>
      <c r="M971" s="28" t="s">
        <v>119</v>
      </c>
      <c r="N971" s="10" t="s">
        <v>119</v>
      </c>
      <c r="O971" s="43" t="s">
        <v>119</v>
      </c>
      <c r="P971" s="106" t="s">
        <v>119</v>
      </c>
      <c r="Q971" s="106" t="s">
        <v>119</v>
      </c>
      <c r="R971" s="106" t="s">
        <v>119</v>
      </c>
      <c r="S971" s="106" t="s">
        <v>119</v>
      </c>
      <c r="T971" s="106" t="s">
        <v>119</v>
      </c>
      <c r="U971" s="106" t="s">
        <v>119</v>
      </c>
      <c r="V971" t="s">
        <v>119</v>
      </c>
      <c r="W971" s="11" t="s">
        <v>134</v>
      </c>
      <c r="X971" s="11" t="s">
        <v>134</v>
      </c>
    </row>
    <row r="972" spans="1:24" x14ac:dyDescent="0.3">
      <c r="A972" s="3" t="s">
        <v>784</v>
      </c>
      <c r="B972" s="2" t="s">
        <v>119</v>
      </c>
      <c r="C972" s="4" t="s">
        <v>119</v>
      </c>
      <c r="D972" s="4" t="s">
        <v>119</v>
      </c>
      <c r="E972" s="1" t="s">
        <v>119</v>
      </c>
      <c r="F972" s="37" t="s">
        <v>119</v>
      </c>
      <c r="G972" s="37" t="s">
        <v>119</v>
      </c>
      <c r="H972" s="28" t="s">
        <v>119</v>
      </c>
      <c r="I972" s="27" t="s">
        <v>119</v>
      </c>
      <c r="J972" s="28" t="s">
        <v>119</v>
      </c>
      <c r="K972" s="28" t="s">
        <v>119</v>
      </c>
      <c r="L972" s="28" t="s">
        <v>119</v>
      </c>
      <c r="M972" s="28" t="s">
        <v>119</v>
      </c>
      <c r="N972" s="10" t="s">
        <v>119</v>
      </c>
      <c r="O972" s="43" t="s">
        <v>119</v>
      </c>
      <c r="P972" s="106" t="s">
        <v>119</v>
      </c>
      <c r="Q972" s="106">
        <v>5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t="s">
        <v>119</v>
      </c>
      <c r="W972" s="11" t="str">
        <f t="shared" si="14"/>
        <v>X</v>
      </c>
      <c r="X972" s="11" t="s">
        <v>134</v>
      </c>
    </row>
    <row r="973" spans="1:24" s="11" customFormat="1" x14ac:dyDescent="0.3">
      <c r="A973" s="3" t="s">
        <v>47</v>
      </c>
      <c r="B973" s="2">
        <v>2</v>
      </c>
      <c r="C973" s="4">
        <v>0</v>
      </c>
      <c r="D973" s="4">
        <v>0</v>
      </c>
      <c r="E973" s="1">
        <v>0</v>
      </c>
      <c r="F973" s="37" t="s">
        <v>119</v>
      </c>
      <c r="G973" s="37">
        <v>26</v>
      </c>
      <c r="H973" s="27">
        <v>2</v>
      </c>
      <c r="I973" s="28">
        <v>10</v>
      </c>
      <c r="J973" s="28" t="s">
        <v>119</v>
      </c>
      <c r="K973" s="29" t="s">
        <v>119</v>
      </c>
      <c r="L973" s="29" t="s">
        <v>119</v>
      </c>
      <c r="M973" s="29">
        <v>1</v>
      </c>
      <c r="N973" s="10" t="s">
        <v>119</v>
      </c>
      <c r="O973" s="43" t="s">
        <v>119</v>
      </c>
      <c r="P973" s="106" t="s">
        <v>119</v>
      </c>
      <c r="Q973" s="106" t="s">
        <v>119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t="s">
        <v>119</v>
      </c>
      <c r="W973" s="11" t="s">
        <v>119</v>
      </c>
      <c r="X973" s="11" t="s">
        <v>134</v>
      </c>
    </row>
    <row r="974" spans="1:24" s="5" customFormat="1" x14ac:dyDescent="0.3">
      <c r="A974" s="3" t="s">
        <v>163</v>
      </c>
      <c r="B974" s="2" t="s">
        <v>119</v>
      </c>
      <c r="C974" s="4" t="s">
        <v>119</v>
      </c>
      <c r="D974" s="4" t="s">
        <v>119</v>
      </c>
      <c r="E974" s="1" t="s">
        <v>119</v>
      </c>
      <c r="F974" s="37" t="s">
        <v>119</v>
      </c>
      <c r="G974" s="37" t="s">
        <v>119</v>
      </c>
      <c r="H974" s="28">
        <v>2</v>
      </c>
      <c r="I974" s="28" t="s">
        <v>119</v>
      </c>
      <c r="J974" s="28" t="s">
        <v>119</v>
      </c>
      <c r="K974" s="29" t="s">
        <v>119</v>
      </c>
      <c r="L974" s="28" t="s">
        <v>119</v>
      </c>
      <c r="M974" s="28" t="s">
        <v>119</v>
      </c>
      <c r="N974" s="10" t="s">
        <v>119</v>
      </c>
      <c r="O974" s="43" t="s">
        <v>119</v>
      </c>
      <c r="P974" s="106" t="s">
        <v>119</v>
      </c>
      <c r="Q974" s="106" t="s">
        <v>119</v>
      </c>
      <c r="R974" s="106">
        <v>1</v>
      </c>
      <c r="S974" s="106" t="s">
        <v>119</v>
      </c>
      <c r="T974" s="106" t="s">
        <v>119</v>
      </c>
      <c r="U974" s="106" t="s">
        <v>119</v>
      </c>
      <c r="V974" t="s">
        <v>119</v>
      </c>
      <c r="W974" s="11" t="str">
        <f t="shared" si="14"/>
        <v>X</v>
      </c>
      <c r="X974" s="11" t="s">
        <v>119</v>
      </c>
    </row>
    <row r="975" spans="1:24" s="11" customFormat="1" x14ac:dyDescent="0.3">
      <c r="A975" s="8" t="s">
        <v>240</v>
      </c>
      <c r="B975" s="6" t="s">
        <v>119</v>
      </c>
      <c r="C975" s="7" t="s">
        <v>119</v>
      </c>
      <c r="D975" s="7" t="s">
        <v>119</v>
      </c>
      <c r="E975" s="10" t="s">
        <v>119</v>
      </c>
      <c r="F975" s="37" t="s">
        <v>119</v>
      </c>
      <c r="G975" s="37" t="s">
        <v>119</v>
      </c>
      <c r="H975" s="29" t="s">
        <v>119</v>
      </c>
      <c r="I975" s="29" t="s">
        <v>119</v>
      </c>
      <c r="J975" s="29">
        <v>3</v>
      </c>
      <c r="K975" s="28" t="s">
        <v>119</v>
      </c>
      <c r="L975" s="28" t="s">
        <v>119</v>
      </c>
      <c r="M975" s="28" t="s">
        <v>119</v>
      </c>
      <c r="N975" s="10" t="s">
        <v>119</v>
      </c>
      <c r="O975" s="43" t="s">
        <v>119</v>
      </c>
      <c r="P975" s="106" t="s">
        <v>119</v>
      </c>
      <c r="Q975" s="106" t="s">
        <v>119</v>
      </c>
      <c r="R975" s="106" t="s">
        <v>119</v>
      </c>
      <c r="S975" s="106" t="s">
        <v>119</v>
      </c>
      <c r="T975" s="106" t="s">
        <v>119</v>
      </c>
      <c r="U975" s="106" t="s">
        <v>119</v>
      </c>
      <c r="V975" t="s">
        <v>119</v>
      </c>
      <c r="W975" s="11" t="s">
        <v>119</v>
      </c>
      <c r="X975" s="11" t="s">
        <v>119</v>
      </c>
    </row>
    <row r="976" spans="1:24" s="11" customFormat="1" x14ac:dyDescent="0.3">
      <c r="A976" s="13" t="s">
        <v>791</v>
      </c>
      <c r="B976" s="18" t="s">
        <v>119</v>
      </c>
      <c r="C976" s="12" t="s">
        <v>119</v>
      </c>
      <c r="D976" s="12" t="s">
        <v>119</v>
      </c>
      <c r="E976" s="14" t="s">
        <v>119</v>
      </c>
      <c r="F976" s="37" t="s">
        <v>119</v>
      </c>
      <c r="G976" s="31" t="s">
        <v>119</v>
      </c>
      <c r="H976" s="31" t="s">
        <v>119</v>
      </c>
      <c r="I976" s="31" t="s">
        <v>119</v>
      </c>
      <c r="J976" s="31" t="s">
        <v>119</v>
      </c>
      <c r="K976" s="31" t="s">
        <v>119</v>
      </c>
      <c r="L976" s="31" t="s">
        <v>119</v>
      </c>
      <c r="M976" s="31" t="s">
        <v>119</v>
      </c>
      <c r="N976" s="14" t="s">
        <v>119</v>
      </c>
      <c r="O976" s="43" t="s">
        <v>119</v>
      </c>
      <c r="P976" s="108" t="s">
        <v>119</v>
      </c>
      <c r="Q976" s="108" t="s">
        <v>119</v>
      </c>
      <c r="R976" s="108">
        <v>2</v>
      </c>
      <c r="S976" s="108">
        <v>1</v>
      </c>
      <c r="T976" s="106" t="s">
        <v>119</v>
      </c>
      <c r="U976" s="106" t="s">
        <v>119</v>
      </c>
      <c r="V976" t="s">
        <v>119</v>
      </c>
      <c r="W976" s="11" t="str">
        <f t="shared" si="14"/>
        <v>X</v>
      </c>
      <c r="X976" s="11" t="s">
        <v>134</v>
      </c>
    </row>
    <row r="977" spans="1:24" s="11" customFormat="1" x14ac:dyDescent="0.3">
      <c r="A977" s="13" t="s">
        <v>622</v>
      </c>
      <c r="B977" s="18" t="s">
        <v>119</v>
      </c>
      <c r="C977" s="12" t="s">
        <v>119</v>
      </c>
      <c r="D977" s="12" t="s">
        <v>119</v>
      </c>
      <c r="E977" s="14" t="s">
        <v>119</v>
      </c>
      <c r="F977" s="37" t="s">
        <v>119</v>
      </c>
      <c r="G977" s="37" t="s">
        <v>119</v>
      </c>
      <c r="H977" s="31" t="s">
        <v>119</v>
      </c>
      <c r="I977" s="31" t="s">
        <v>119</v>
      </c>
      <c r="J977" s="31" t="s">
        <v>119</v>
      </c>
      <c r="K977" s="31" t="s">
        <v>119</v>
      </c>
      <c r="L977" s="31" t="s">
        <v>119</v>
      </c>
      <c r="M977" s="31" t="s">
        <v>134</v>
      </c>
      <c r="N977" s="10" t="s">
        <v>119</v>
      </c>
      <c r="O977" s="43" t="s">
        <v>119</v>
      </c>
      <c r="P977" s="106" t="s">
        <v>119</v>
      </c>
      <c r="Q977" s="106" t="s">
        <v>119</v>
      </c>
      <c r="R977" s="106" t="s">
        <v>119</v>
      </c>
      <c r="S977" s="106" t="s">
        <v>119</v>
      </c>
      <c r="T977" s="106" t="s">
        <v>119</v>
      </c>
      <c r="U977" s="106" t="s">
        <v>119</v>
      </c>
      <c r="V977" t="s">
        <v>119</v>
      </c>
      <c r="W977" s="11" t="s">
        <v>134</v>
      </c>
      <c r="X977" s="11" t="s">
        <v>119</v>
      </c>
    </row>
    <row r="978" spans="1:24" s="11" customFormat="1" x14ac:dyDescent="0.3">
      <c r="A978" s="13" t="s">
        <v>744</v>
      </c>
      <c r="B978" s="18" t="s">
        <v>119</v>
      </c>
      <c r="C978" s="12" t="s">
        <v>119</v>
      </c>
      <c r="D978" s="12" t="s">
        <v>119</v>
      </c>
      <c r="E978" s="14" t="s">
        <v>119</v>
      </c>
      <c r="F978" s="37" t="s">
        <v>119</v>
      </c>
      <c r="G978" s="37" t="s">
        <v>119</v>
      </c>
      <c r="H978" s="31" t="s">
        <v>119</v>
      </c>
      <c r="I978" s="31">
        <f>6+1+8+8+1</f>
        <v>24</v>
      </c>
      <c r="J978" s="31" t="s">
        <v>119</v>
      </c>
      <c r="K978" s="31" t="s">
        <v>119</v>
      </c>
      <c r="L978" s="31" t="s">
        <v>119</v>
      </c>
      <c r="M978" s="31" t="s">
        <v>119</v>
      </c>
      <c r="N978" s="10" t="s">
        <v>119</v>
      </c>
      <c r="O978" s="43" t="s">
        <v>119</v>
      </c>
      <c r="P978" s="106" t="s">
        <v>119</v>
      </c>
      <c r="Q978" s="106" t="s">
        <v>119</v>
      </c>
      <c r="R978" s="106" t="s">
        <v>119</v>
      </c>
      <c r="S978" s="106" t="s">
        <v>119</v>
      </c>
      <c r="T978" s="106" t="s">
        <v>119</v>
      </c>
      <c r="U978" s="106" t="s">
        <v>119</v>
      </c>
      <c r="V978" t="s">
        <v>119</v>
      </c>
      <c r="W978" s="11" t="s">
        <v>134</v>
      </c>
      <c r="X978" s="11" t="s">
        <v>134</v>
      </c>
    </row>
    <row r="979" spans="1:24" s="11" customFormat="1" x14ac:dyDescent="0.3">
      <c r="A979" s="3" t="s">
        <v>164</v>
      </c>
      <c r="B979" s="2" t="s">
        <v>119</v>
      </c>
      <c r="C979" s="4" t="s">
        <v>119</v>
      </c>
      <c r="D979" s="4" t="s">
        <v>119</v>
      </c>
      <c r="E979" s="1" t="s">
        <v>119</v>
      </c>
      <c r="F979" s="37" t="s">
        <v>119</v>
      </c>
      <c r="G979" s="37" t="s">
        <v>119</v>
      </c>
      <c r="H979" s="28">
        <v>1</v>
      </c>
      <c r="I979" s="28">
        <v>1</v>
      </c>
      <c r="J979" s="28">
        <v>1</v>
      </c>
      <c r="K979" s="28" t="s">
        <v>119</v>
      </c>
      <c r="L979" s="28" t="s">
        <v>119</v>
      </c>
      <c r="M979" s="28" t="s">
        <v>119</v>
      </c>
      <c r="N979" s="10" t="s">
        <v>119</v>
      </c>
      <c r="O979" s="43">
        <v>4</v>
      </c>
      <c r="P979" s="106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t="s">
        <v>119</v>
      </c>
      <c r="W979" s="11" t="s">
        <v>134</v>
      </c>
      <c r="X979" s="11" t="s">
        <v>134</v>
      </c>
    </row>
    <row r="980" spans="1:24" s="11" customFormat="1" x14ac:dyDescent="0.3">
      <c r="A980" s="3" t="s">
        <v>789</v>
      </c>
      <c r="B980" s="2" t="s">
        <v>119</v>
      </c>
      <c r="C980" s="4" t="s">
        <v>119</v>
      </c>
      <c r="D980" s="4" t="s">
        <v>119</v>
      </c>
      <c r="E980" s="1" t="s">
        <v>119</v>
      </c>
      <c r="F980" s="37" t="s">
        <v>119</v>
      </c>
      <c r="G980" s="37" t="s">
        <v>119</v>
      </c>
      <c r="H980" s="28" t="s">
        <v>119</v>
      </c>
      <c r="I980" s="28" t="s">
        <v>119</v>
      </c>
      <c r="J980" s="28" t="s">
        <v>119</v>
      </c>
      <c r="K980" s="28" t="s">
        <v>119</v>
      </c>
      <c r="L980" s="28" t="s">
        <v>119</v>
      </c>
      <c r="M980" s="28" t="s">
        <v>119</v>
      </c>
      <c r="N980" s="10" t="s">
        <v>119</v>
      </c>
      <c r="O980" s="43" t="s">
        <v>119</v>
      </c>
      <c r="P980" s="106" t="s">
        <v>119</v>
      </c>
      <c r="Q980" s="106">
        <v>1</v>
      </c>
      <c r="R980" s="106" t="s">
        <v>119</v>
      </c>
      <c r="S980" s="106">
        <v>3</v>
      </c>
      <c r="T980" s="106" t="s">
        <v>119</v>
      </c>
      <c r="U980" s="106" t="s">
        <v>119</v>
      </c>
      <c r="V980" t="s">
        <v>119</v>
      </c>
      <c r="W980" s="11" t="str">
        <f t="shared" ref="W980:W1040" si="15">IF(SUM(P980:U980)&gt;=1,"X","")</f>
        <v>X</v>
      </c>
      <c r="X980" s="11" t="s">
        <v>119</v>
      </c>
    </row>
    <row r="981" spans="1:24" s="11" customFormat="1" x14ac:dyDescent="0.3">
      <c r="A981" s="3" t="s">
        <v>790</v>
      </c>
      <c r="B981" s="2" t="s">
        <v>119</v>
      </c>
      <c r="C981" s="4" t="s">
        <v>119</v>
      </c>
      <c r="D981" s="4" t="s">
        <v>119</v>
      </c>
      <c r="E981" s="1" t="s">
        <v>119</v>
      </c>
      <c r="F981" s="37" t="s">
        <v>119</v>
      </c>
      <c r="G981" s="37" t="s">
        <v>119</v>
      </c>
      <c r="H981" s="28" t="s">
        <v>119</v>
      </c>
      <c r="I981" s="28" t="s">
        <v>119</v>
      </c>
      <c r="J981" s="28" t="s">
        <v>119</v>
      </c>
      <c r="K981" s="28" t="s">
        <v>119</v>
      </c>
      <c r="L981" s="28" t="s">
        <v>119</v>
      </c>
      <c r="M981" s="28" t="s">
        <v>119</v>
      </c>
      <c r="N981" s="10" t="s">
        <v>119</v>
      </c>
      <c r="O981" s="43" t="s">
        <v>119</v>
      </c>
      <c r="P981" s="106" t="s">
        <v>119</v>
      </c>
      <c r="Q981" s="106">
        <v>1</v>
      </c>
      <c r="R981" s="106" t="s">
        <v>119</v>
      </c>
      <c r="S981" s="106" t="s">
        <v>119</v>
      </c>
      <c r="T981" s="106" t="s">
        <v>119</v>
      </c>
      <c r="U981" s="106" t="s">
        <v>119</v>
      </c>
      <c r="V981" t="s">
        <v>119</v>
      </c>
      <c r="W981" s="11" t="str">
        <f t="shared" si="15"/>
        <v>X</v>
      </c>
      <c r="X981" s="11" t="s">
        <v>134</v>
      </c>
    </row>
    <row r="982" spans="1:24" s="5" customFormat="1" x14ac:dyDescent="0.3">
      <c r="A982" s="8" t="s">
        <v>1012</v>
      </c>
      <c r="B982" s="6" t="s">
        <v>119</v>
      </c>
      <c r="C982" s="7" t="s">
        <v>119</v>
      </c>
      <c r="D982" s="7" t="s">
        <v>119</v>
      </c>
      <c r="E982" s="10" t="s">
        <v>119</v>
      </c>
      <c r="F982" s="29" t="s">
        <v>119</v>
      </c>
      <c r="G982" s="29" t="s">
        <v>119</v>
      </c>
      <c r="H982" s="29" t="s">
        <v>119</v>
      </c>
      <c r="I982" s="29" t="s">
        <v>119</v>
      </c>
      <c r="J982" s="29" t="s">
        <v>119</v>
      </c>
      <c r="K982" s="29" t="s">
        <v>119</v>
      </c>
      <c r="L982" s="29" t="s">
        <v>119</v>
      </c>
      <c r="M982" s="29" t="s">
        <v>119</v>
      </c>
      <c r="N982" s="10" t="s">
        <v>119</v>
      </c>
      <c r="O982" s="43" t="s">
        <v>119</v>
      </c>
      <c r="P982" s="107" t="s">
        <v>119</v>
      </c>
      <c r="Q982" s="107" t="s">
        <v>119</v>
      </c>
      <c r="R982" s="107" t="s">
        <v>119</v>
      </c>
      <c r="S982" s="107">
        <v>1</v>
      </c>
      <c r="T982" s="107" t="s">
        <v>119</v>
      </c>
      <c r="U982" s="107" t="s">
        <v>119</v>
      </c>
      <c r="V982" t="s">
        <v>119</v>
      </c>
      <c r="W982" s="11" t="str">
        <f t="shared" si="15"/>
        <v>X</v>
      </c>
      <c r="X982" s="11" t="s">
        <v>119</v>
      </c>
    </row>
    <row r="983" spans="1:24" s="38" customFormat="1" x14ac:dyDescent="0.3">
      <c r="A983" s="8" t="s">
        <v>55</v>
      </c>
      <c r="B983" s="6">
        <v>0</v>
      </c>
      <c r="C983" s="7">
        <v>0</v>
      </c>
      <c r="D983" s="7">
        <v>0</v>
      </c>
      <c r="E983" s="10">
        <v>3</v>
      </c>
      <c r="F983" s="37" t="s">
        <v>119</v>
      </c>
      <c r="G983" s="37" t="s">
        <v>119</v>
      </c>
      <c r="H983" s="29" t="s">
        <v>119</v>
      </c>
      <c r="I983" s="29" t="s">
        <v>119</v>
      </c>
      <c r="J983" s="29" t="s">
        <v>119</v>
      </c>
      <c r="K983" s="27" t="s">
        <v>119</v>
      </c>
      <c r="L983" s="29" t="s">
        <v>119</v>
      </c>
      <c r="M983" s="29">
        <v>1</v>
      </c>
      <c r="N983" s="10" t="s">
        <v>119</v>
      </c>
      <c r="O983" s="43" t="s">
        <v>119</v>
      </c>
      <c r="P983" s="106">
        <v>1</v>
      </c>
      <c r="Q983" s="106" t="s">
        <v>119</v>
      </c>
      <c r="R983" s="106" t="s">
        <v>119</v>
      </c>
      <c r="S983" s="106" t="s">
        <v>119</v>
      </c>
      <c r="T983" s="106" t="s">
        <v>119</v>
      </c>
      <c r="U983" s="106" t="s">
        <v>119</v>
      </c>
      <c r="V983" t="s">
        <v>119</v>
      </c>
      <c r="W983" s="11" t="str">
        <f t="shared" si="15"/>
        <v>X</v>
      </c>
      <c r="X983" s="11" t="s">
        <v>119</v>
      </c>
    </row>
    <row r="984" spans="1:24" s="38" customFormat="1" x14ac:dyDescent="0.3">
      <c r="A984" s="13" t="s">
        <v>623</v>
      </c>
      <c r="B984" s="18" t="s">
        <v>119</v>
      </c>
      <c r="C984" s="12" t="s">
        <v>119</v>
      </c>
      <c r="D984" s="12" t="s">
        <v>119</v>
      </c>
      <c r="E984" s="14" t="s">
        <v>119</v>
      </c>
      <c r="F984" s="37" t="s">
        <v>119</v>
      </c>
      <c r="G984" s="37" t="s">
        <v>119</v>
      </c>
      <c r="H984" s="31" t="s">
        <v>119</v>
      </c>
      <c r="I984" s="31" t="s">
        <v>119</v>
      </c>
      <c r="J984" s="31" t="s">
        <v>119</v>
      </c>
      <c r="K984" s="34" t="s">
        <v>119</v>
      </c>
      <c r="L984" s="31" t="s">
        <v>119</v>
      </c>
      <c r="M984" s="31" t="s">
        <v>134</v>
      </c>
      <c r="N984" s="10" t="s">
        <v>119</v>
      </c>
      <c r="O984" s="43" t="s">
        <v>119</v>
      </c>
      <c r="P984" s="106" t="s">
        <v>119</v>
      </c>
      <c r="Q984" s="106" t="s">
        <v>119</v>
      </c>
      <c r="R984" s="106" t="s">
        <v>119</v>
      </c>
      <c r="S984" s="106" t="s">
        <v>119</v>
      </c>
      <c r="T984" s="106" t="s">
        <v>119</v>
      </c>
      <c r="U984" s="106" t="s">
        <v>119</v>
      </c>
      <c r="V984" t="s">
        <v>119</v>
      </c>
      <c r="W984" s="11" t="s">
        <v>134</v>
      </c>
      <c r="X984" s="11" t="s">
        <v>134</v>
      </c>
    </row>
    <row r="985" spans="1:24" s="38" customFormat="1" x14ac:dyDescent="0.3">
      <c r="A985" s="13" t="s">
        <v>702</v>
      </c>
      <c r="B985" s="18" t="s">
        <v>119</v>
      </c>
      <c r="C985" s="12" t="s">
        <v>119</v>
      </c>
      <c r="D985" s="12" t="s">
        <v>119</v>
      </c>
      <c r="E985" s="14" t="s">
        <v>119</v>
      </c>
      <c r="F985" s="37" t="s">
        <v>119</v>
      </c>
      <c r="G985" s="37">
        <v>4</v>
      </c>
      <c r="H985" s="31" t="s">
        <v>119</v>
      </c>
      <c r="I985" s="31" t="s">
        <v>119</v>
      </c>
      <c r="J985" s="31" t="s">
        <v>119</v>
      </c>
      <c r="K985" s="34" t="s">
        <v>119</v>
      </c>
      <c r="L985" s="31" t="s">
        <v>119</v>
      </c>
      <c r="M985" s="31" t="s">
        <v>119</v>
      </c>
      <c r="N985" s="10" t="s">
        <v>119</v>
      </c>
      <c r="O985" s="43" t="s">
        <v>119</v>
      </c>
      <c r="P985" s="106" t="s">
        <v>119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t="s">
        <v>119</v>
      </c>
      <c r="W985" s="11" t="s">
        <v>134</v>
      </c>
      <c r="X985" s="11" t="s">
        <v>134</v>
      </c>
    </row>
    <row r="986" spans="1:24" s="38" customFormat="1" x14ac:dyDescent="0.3">
      <c r="A986" s="13" t="s">
        <v>788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 t="s">
        <v>119</v>
      </c>
      <c r="H986" s="31" t="s">
        <v>119</v>
      </c>
      <c r="I986" s="31" t="s">
        <v>119</v>
      </c>
      <c r="J986" s="31" t="s">
        <v>119</v>
      </c>
      <c r="K986" s="34" t="s">
        <v>119</v>
      </c>
      <c r="L986" s="31" t="s">
        <v>119</v>
      </c>
      <c r="M986" s="31" t="s">
        <v>119</v>
      </c>
      <c r="N986" s="10" t="s">
        <v>119</v>
      </c>
      <c r="O986" s="43" t="s">
        <v>119</v>
      </c>
      <c r="P986" s="106" t="s">
        <v>119</v>
      </c>
      <c r="Q986" s="106" t="s">
        <v>119</v>
      </c>
      <c r="R986" s="106" t="s">
        <v>119</v>
      </c>
      <c r="S986" s="106">
        <v>3</v>
      </c>
      <c r="T986" s="106" t="s">
        <v>119</v>
      </c>
      <c r="U986" s="106" t="s">
        <v>119</v>
      </c>
      <c r="V986" t="s">
        <v>119</v>
      </c>
      <c r="W986" s="11" t="str">
        <f t="shared" si="15"/>
        <v>X</v>
      </c>
      <c r="X986" s="11" t="s">
        <v>119</v>
      </c>
    </row>
    <row r="987" spans="1:24" s="38" customFormat="1" x14ac:dyDescent="0.3">
      <c r="A987" s="13" t="s">
        <v>624</v>
      </c>
      <c r="B987" s="18" t="s">
        <v>119</v>
      </c>
      <c r="C987" s="12" t="s">
        <v>119</v>
      </c>
      <c r="D987" s="12" t="s">
        <v>119</v>
      </c>
      <c r="E987" s="14" t="s">
        <v>119</v>
      </c>
      <c r="F987" s="37" t="s">
        <v>119</v>
      </c>
      <c r="G987" s="37" t="s">
        <v>119</v>
      </c>
      <c r="H987" s="31" t="s">
        <v>119</v>
      </c>
      <c r="I987" s="31">
        <v>1</v>
      </c>
      <c r="J987" s="31" t="s">
        <v>119</v>
      </c>
      <c r="K987" s="34" t="s">
        <v>119</v>
      </c>
      <c r="L987" s="31" t="s">
        <v>119</v>
      </c>
      <c r="M987" s="31">
        <f>2+9+3+8+6</f>
        <v>28</v>
      </c>
      <c r="N987" s="10" t="s">
        <v>119</v>
      </c>
      <c r="O987" s="43" t="s">
        <v>119</v>
      </c>
      <c r="P987" s="106" t="s">
        <v>119</v>
      </c>
      <c r="Q987" s="106" t="s">
        <v>119</v>
      </c>
      <c r="R987" s="106" t="s">
        <v>119</v>
      </c>
      <c r="S987" s="106" t="s">
        <v>119</v>
      </c>
      <c r="T987" s="106" t="s">
        <v>119</v>
      </c>
      <c r="U987" s="106" t="s">
        <v>119</v>
      </c>
      <c r="V987" t="s">
        <v>119</v>
      </c>
      <c r="W987" s="11" t="s">
        <v>119</v>
      </c>
      <c r="X987" s="11" t="s">
        <v>134</v>
      </c>
    </row>
    <row r="988" spans="1:24" s="38" customFormat="1" x14ac:dyDescent="0.3">
      <c r="A988" s="13" t="s">
        <v>625</v>
      </c>
      <c r="B988" s="18" t="s">
        <v>119</v>
      </c>
      <c r="C988" s="12" t="s">
        <v>119</v>
      </c>
      <c r="D988" s="12" t="s">
        <v>119</v>
      </c>
      <c r="E988" s="14" t="s">
        <v>119</v>
      </c>
      <c r="F988" s="37" t="s">
        <v>119</v>
      </c>
      <c r="G988" s="37" t="s">
        <v>119</v>
      </c>
      <c r="H988" s="31" t="s">
        <v>119</v>
      </c>
      <c r="I988" s="31" t="s">
        <v>119</v>
      </c>
      <c r="J988" s="31" t="s">
        <v>119</v>
      </c>
      <c r="K988" s="34" t="s">
        <v>119</v>
      </c>
      <c r="L988" s="31" t="s">
        <v>119</v>
      </c>
      <c r="M988" s="31" t="s">
        <v>134</v>
      </c>
      <c r="N988" s="10" t="s">
        <v>119</v>
      </c>
      <c r="O988" s="43" t="s">
        <v>119</v>
      </c>
      <c r="P988" s="106" t="s">
        <v>119</v>
      </c>
      <c r="Q988" s="106" t="s">
        <v>119</v>
      </c>
      <c r="R988" s="106" t="s">
        <v>119</v>
      </c>
      <c r="S988" s="106" t="s">
        <v>119</v>
      </c>
      <c r="T988" s="106" t="s">
        <v>119</v>
      </c>
      <c r="U988" s="106" t="s">
        <v>119</v>
      </c>
      <c r="V988" t="s">
        <v>119</v>
      </c>
      <c r="W988" s="11" t="s">
        <v>134</v>
      </c>
      <c r="X988" s="11" t="s">
        <v>134</v>
      </c>
    </row>
    <row r="989" spans="1:24" s="38" customFormat="1" x14ac:dyDescent="0.3">
      <c r="A989" s="13" t="s">
        <v>745</v>
      </c>
      <c r="B989" s="18" t="s">
        <v>119</v>
      </c>
      <c r="C989" s="12" t="s">
        <v>119</v>
      </c>
      <c r="D989" s="12" t="s">
        <v>119</v>
      </c>
      <c r="E989" s="14" t="s">
        <v>119</v>
      </c>
      <c r="F989" s="37" t="s">
        <v>119</v>
      </c>
      <c r="G989" s="37" t="s">
        <v>119</v>
      </c>
      <c r="H989" s="31" t="s">
        <v>119</v>
      </c>
      <c r="I989" s="31">
        <v>2</v>
      </c>
      <c r="J989" s="31" t="s">
        <v>119</v>
      </c>
      <c r="K989" s="34" t="s">
        <v>119</v>
      </c>
      <c r="L989" s="31" t="s">
        <v>119</v>
      </c>
      <c r="M989" s="31" t="s">
        <v>119</v>
      </c>
      <c r="N989" s="10" t="s">
        <v>119</v>
      </c>
      <c r="O989" s="43" t="s">
        <v>119</v>
      </c>
      <c r="P989" s="106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t="s">
        <v>119</v>
      </c>
      <c r="W989" s="11" t="s">
        <v>134</v>
      </c>
      <c r="X989" s="11" t="s">
        <v>134</v>
      </c>
    </row>
    <row r="990" spans="1:24" s="38" customFormat="1" x14ac:dyDescent="0.3">
      <c r="A990" s="3" t="s">
        <v>189</v>
      </c>
      <c r="B990" s="2" t="s">
        <v>119</v>
      </c>
      <c r="C990" s="4" t="s">
        <v>119</v>
      </c>
      <c r="D990" s="4" t="s">
        <v>119</v>
      </c>
      <c r="E990" s="1" t="s">
        <v>119</v>
      </c>
      <c r="F990" s="37" t="s">
        <v>119</v>
      </c>
      <c r="G990" s="37">
        <v>1</v>
      </c>
      <c r="H990" s="28" t="s">
        <v>119</v>
      </c>
      <c r="I990" s="28">
        <v>8</v>
      </c>
      <c r="J990" s="28">
        <v>1</v>
      </c>
      <c r="K990" s="27" t="s">
        <v>119</v>
      </c>
      <c r="L990" s="37" t="s">
        <v>119</v>
      </c>
      <c r="M990" s="37" t="s">
        <v>119</v>
      </c>
      <c r="N990" s="10" t="s">
        <v>119</v>
      </c>
      <c r="O990" s="43" t="s">
        <v>119</v>
      </c>
      <c r="P990" s="106" t="s">
        <v>119</v>
      </c>
      <c r="Q990" s="106" t="s">
        <v>119</v>
      </c>
      <c r="R990" s="106" t="s">
        <v>119</v>
      </c>
      <c r="S990" s="106">
        <v>5</v>
      </c>
      <c r="T990" s="106" t="s">
        <v>119</v>
      </c>
      <c r="U990" s="106" t="s">
        <v>119</v>
      </c>
      <c r="V990" t="s">
        <v>119</v>
      </c>
      <c r="W990" s="11" t="str">
        <f t="shared" si="15"/>
        <v>X</v>
      </c>
      <c r="X990" s="11" t="s">
        <v>134</v>
      </c>
    </row>
    <row r="991" spans="1:24" s="38" customFormat="1" x14ac:dyDescent="0.3">
      <c r="A991" s="3" t="s">
        <v>703</v>
      </c>
      <c r="B991" s="2" t="s">
        <v>119</v>
      </c>
      <c r="C991" s="4" t="s">
        <v>119</v>
      </c>
      <c r="D991" s="4" t="s">
        <v>119</v>
      </c>
      <c r="E991" s="1" t="s">
        <v>119</v>
      </c>
      <c r="F991" s="37" t="s">
        <v>119</v>
      </c>
      <c r="G991" s="37">
        <v>16</v>
      </c>
      <c r="H991" s="28" t="s">
        <v>119</v>
      </c>
      <c r="I991" s="28" t="s">
        <v>119</v>
      </c>
      <c r="J991" s="28" t="s">
        <v>119</v>
      </c>
      <c r="K991" s="27" t="s">
        <v>119</v>
      </c>
      <c r="L991" s="37" t="s">
        <v>119</v>
      </c>
      <c r="M991" s="37" t="s">
        <v>119</v>
      </c>
      <c r="N991" s="10" t="s">
        <v>119</v>
      </c>
      <c r="O991" s="43" t="s">
        <v>119</v>
      </c>
      <c r="P991" s="106" t="s">
        <v>119</v>
      </c>
      <c r="Q991" s="106" t="s">
        <v>119</v>
      </c>
      <c r="R991" s="106" t="s">
        <v>119</v>
      </c>
      <c r="S991" s="106" t="s">
        <v>119</v>
      </c>
      <c r="T991" s="106" t="s">
        <v>119</v>
      </c>
      <c r="U991" s="106" t="s">
        <v>119</v>
      </c>
      <c r="V991" t="s">
        <v>119</v>
      </c>
      <c r="W991" s="11" t="s">
        <v>134</v>
      </c>
      <c r="X991" s="11" t="s">
        <v>134</v>
      </c>
    </row>
    <row r="992" spans="1:24" s="38" customFormat="1" x14ac:dyDescent="0.3">
      <c r="A992" s="3" t="s">
        <v>1005</v>
      </c>
      <c r="B992" s="2" t="s">
        <v>119</v>
      </c>
      <c r="C992" s="4" t="s">
        <v>119</v>
      </c>
      <c r="D992" s="4" t="s">
        <v>119</v>
      </c>
      <c r="E992" s="1" t="s">
        <v>119</v>
      </c>
      <c r="F992" s="37" t="s">
        <v>119</v>
      </c>
      <c r="G992" s="37" t="s">
        <v>119</v>
      </c>
      <c r="H992" s="28" t="s">
        <v>119</v>
      </c>
      <c r="I992" s="28" t="s">
        <v>119</v>
      </c>
      <c r="J992" s="28" t="s">
        <v>119</v>
      </c>
      <c r="K992" s="27" t="s">
        <v>119</v>
      </c>
      <c r="L992" s="37" t="s">
        <v>119</v>
      </c>
      <c r="M992" s="37" t="s">
        <v>119</v>
      </c>
      <c r="N992" s="10" t="s">
        <v>119</v>
      </c>
      <c r="O992" s="43" t="s">
        <v>119</v>
      </c>
      <c r="P992" s="106" t="s">
        <v>119</v>
      </c>
      <c r="Q992" s="106" t="s">
        <v>119</v>
      </c>
      <c r="R992" s="106" t="s">
        <v>119</v>
      </c>
      <c r="S992" s="106" t="s">
        <v>119</v>
      </c>
      <c r="T992" s="106" t="s">
        <v>119</v>
      </c>
      <c r="U992" s="106">
        <v>2</v>
      </c>
      <c r="V992" t="s">
        <v>119</v>
      </c>
      <c r="W992" s="11" t="str">
        <f t="shared" si="15"/>
        <v>X</v>
      </c>
      <c r="X992" s="11" t="s">
        <v>119</v>
      </c>
    </row>
    <row r="993" spans="1:24" s="38" customFormat="1" x14ac:dyDescent="0.3">
      <c r="A993" s="3" t="s">
        <v>626</v>
      </c>
      <c r="B993" s="2" t="s">
        <v>119</v>
      </c>
      <c r="C993" s="4" t="s">
        <v>119</v>
      </c>
      <c r="D993" s="4" t="s">
        <v>119</v>
      </c>
      <c r="E993" s="1" t="s">
        <v>119</v>
      </c>
      <c r="F993" s="37" t="s">
        <v>119</v>
      </c>
      <c r="G993" s="37" t="s">
        <v>119</v>
      </c>
      <c r="H993" s="28" t="s">
        <v>119</v>
      </c>
      <c r="I993" s="28" t="s">
        <v>119</v>
      </c>
      <c r="J993" s="28" t="s">
        <v>119</v>
      </c>
      <c r="K993" s="27" t="s">
        <v>119</v>
      </c>
      <c r="L993" s="37" t="s">
        <v>119</v>
      </c>
      <c r="M993" s="37" t="s">
        <v>134</v>
      </c>
      <c r="N993" s="10" t="s">
        <v>119</v>
      </c>
      <c r="O993" s="43" t="s">
        <v>119</v>
      </c>
      <c r="P993" s="106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 t="s">
        <v>119</v>
      </c>
      <c r="V993" t="s">
        <v>119</v>
      </c>
      <c r="W993" s="11" t="s">
        <v>134</v>
      </c>
      <c r="X993" s="11" t="s">
        <v>134</v>
      </c>
    </row>
    <row r="994" spans="1:24" s="5" customFormat="1" x14ac:dyDescent="0.3">
      <c r="A994" s="8" t="s">
        <v>1047</v>
      </c>
      <c r="B994" s="6" t="s">
        <v>119</v>
      </c>
      <c r="C994" s="7" t="s">
        <v>119</v>
      </c>
      <c r="D994" s="7" t="s">
        <v>119</v>
      </c>
      <c r="E994" s="10" t="s">
        <v>119</v>
      </c>
      <c r="F994" s="29" t="s">
        <v>119</v>
      </c>
      <c r="G994" s="29" t="s">
        <v>119</v>
      </c>
      <c r="H994" s="29" t="s">
        <v>119</v>
      </c>
      <c r="I994" s="29" t="s">
        <v>119</v>
      </c>
      <c r="J994" s="29">
        <v>1</v>
      </c>
      <c r="K994" s="30" t="s">
        <v>119</v>
      </c>
      <c r="L994" s="29" t="s">
        <v>119</v>
      </c>
      <c r="M994" s="29" t="s">
        <v>119</v>
      </c>
      <c r="N994" s="10" t="s">
        <v>119</v>
      </c>
      <c r="O994" s="43" t="s">
        <v>119</v>
      </c>
      <c r="P994" s="107" t="s">
        <v>119</v>
      </c>
      <c r="Q994" s="107" t="s">
        <v>119</v>
      </c>
      <c r="R994" s="107" t="s">
        <v>119</v>
      </c>
      <c r="S994" s="107" t="s">
        <v>119</v>
      </c>
      <c r="T994" s="107" t="s">
        <v>119</v>
      </c>
      <c r="U994" s="107" t="s">
        <v>119</v>
      </c>
      <c r="V994" t="s">
        <v>119</v>
      </c>
      <c r="W994" s="11" t="s">
        <v>119</v>
      </c>
      <c r="X994" s="11" t="s">
        <v>119</v>
      </c>
    </row>
    <row r="995" spans="1:24" s="38" customFormat="1" x14ac:dyDescent="0.3">
      <c r="A995" s="3" t="s">
        <v>991</v>
      </c>
      <c r="B995" s="2" t="s">
        <v>119</v>
      </c>
      <c r="C995" s="4" t="s">
        <v>119</v>
      </c>
      <c r="D995" s="4" t="s">
        <v>119</v>
      </c>
      <c r="E995" s="1" t="s">
        <v>119</v>
      </c>
      <c r="F995" s="37">
        <v>2</v>
      </c>
      <c r="G995" s="37" t="s">
        <v>119</v>
      </c>
      <c r="H995" s="28" t="s">
        <v>119</v>
      </c>
      <c r="I995" s="28" t="s">
        <v>134</v>
      </c>
      <c r="J995" s="28" t="s">
        <v>119</v>
      </c>
      <c r="K995" s="27" t="s">
        <v>119</v>
      </c>
      <c r="L995" s="37" t="s">
        <v>119</v>
      </c>
      <c r="M995" s="37" t="s">
        <v>119</v>
      </c>
      <c r="N995" s="10" t="s">
        <v>119</v>
      </c>
      <c r="O995" s="43" t="s">
        <v>119</v>
      </c>
      <c r="P995" s="106" t="s">
        <v>119</v>
      </c>
      <c r="Q995" s="106" t="s">
        <v>119</v>
      </c>
      <c r="R995" s="106" t="s">
        <v>119</v>
      </c>
      <c r="S995" s="106">
        <v>1</v>
      </c>
      <c r="T995" s="106" t="s">
        <v>119</v>
      </c>
      <c r="U995" s="106" t="s">
        <v>119</v>
      </c>
      <c r="V995" t="s">
        <v>119</v>
      </c>
      <c r="W995" s="11" t="str">
        <f t="shared" si="15"/>
        <v>X</v>
      </c>
      <c r="X995" s="11" t="s">
        <v>134</v>
      </c>
    </row>
    <row r="996" spans="1:24" s="38" customFormat="1" x14ac:dyDescent="0.3">
      <c r="A996" s="3" t="s">
        <v>704</v>
      </c>
      <c r="B996" s="2" t="s">
        <v>119</v>
      </c>
      <c r="C996" s="4" t="s">
        <v>119</v>
      </c>
      <c r="D996" s="4" t="s">
        <v>119</v>
      </c>
      <c r="E996" s="1" t="s">
        <v>119</v>
      </c>
      <c r="F996" s="37" t="s">
        <v>119</v>
      </c>
      <c r="G996" s="37" t="s">
        <v>119</v>
      </c>
      <c r="H996" s="28">
        <v>3</v>
      </c>
      <c r="I996" s="28" t="s">
        <v>119</v>
      </c>
      <c r="J996" s="28" t="s">
        <v>119</v>
      </c>
      <c r="K996" s="27" t="s">
        <v>119</v>
      </c>
      <c r="L996" s="37" t="s">
        <v>119</v>
      </c>
      <c r="M996" s="37" t="s">
        <v>119</v>
      </c>
      <c r="N996" s="10" t="s">
        <v>119</v>
      </c>
      <c r="O996" s="43" t="s">
        <v>119</v>
      </c>
      <c r="P996" s="106" t="s">
        <v>119</v>
      </c>
      <c r="Q996" s="106" t="s">
        <v>119</v>
      </c>
      <c r="R996" s="106" t="s">
        <v>119</v>
      </c>
      <c r="S996" s="106">
        <v>6</v>
      </c>
      <c r="T996" s="106" t="s">
        <v>119</v>
      </c>
      <c r="U996" s="106" t="s">
        <v>119</v>
      </c>
      <c r="V996" t="s">
        <v>119</v>
      </c>
      <c r="W996" s="11" t="str">
        <f t="shared" si="15"/>
        <v>X</v>
      </c>
      <c r="X996" s="11" t="s">
        <v>119</v>
      </c>
    </row>
    <row r="997" spans="1:24" s="5" customFormat="1" x14ac:dyDescent="0.3">
      <c r="A997" s="8" t="s">
        <v>992</v>
      </c>
      <c r="B997" s="6" t="s">
        <v>119</v>
      </c>
      <c r="C997" s="7" t="s">
        <v>119</v>
      </c>
      <c r="D997" s="7" t="s">
        <v>119</v>
      </c>
      <c r="E997" s="10" t="s">
        <v>119</v>
      </c>
      <c r="F997" s="29">
        <v>1</v>
      </c>
      <c r="G997" s="29" t="s">
        <v>119</v>
      </c>
      <c r="H997" s="29" t="s">
        <v>119</v>
      </c>
      <c r="I997" s="29" t="s">
        <v>119</v>
      </c>
      <c r="J997" s="29" t="s">
        <v>119</v>
      </c>
      <c r="K997" s="30" t="s">
        <v>119</v>
      </c>
      <c r="L997" s="29" t="s">
        <v>119</v>
      </c>
      <c r="M997" s="29" t="s">
        <v>119</v>
      </c>
      <c r="N997" s="10" t="s">
        <v>119</v>
      </c>
      <c r="O997" s="43" t="s">
        <v>119</v>
      </c>
      <c r="P997" s="107" t="s">
        <v>119</v>
      </c>
      <c r="Q997" s="107" t="s">
        <v>119</v>
      </c>
      <c r="R997" s="107" t="s">
        <v>119</v>
      </c>
      <c r="S997" s="107" t="s">
        <v>119</v>
      </c>
      <c r="T997" s="106" t="s">
        <v>119</v>
      </c>
      <c r="U997" s="106" t="s">
        <v>119</v>
      </c>
      <c r="V997" t="s">
        <v>119</v>
      </c>
      <c r="W997" s="11" t="s">
        <v>119</v>
      </c>
      <c r="X997" s="11" t="s">
        <v>119</v>
      </c>
    </row>
    <row r="998" spans="1:24" s="5" customFormat="1" x14ac:dyDescent="0.3">
      <c r="A998" s="8" t="s">
        <v>1316</v>
      </c>
      <c r="B998" s="6" t="s">
        <v>119</v>
      </c>
      <c r="C998" s="7" t="s">
        <v>119</v>
      </c>
      <c r="D998" s="7" t="s">
        <v>119</v>
      </c>
      <c r="E998" s="10" t="s">
        <v>119</v>
      </c>
      <c r="F998" s="29">
        <v>1</v>
      </c>
      <c r="G998" s="29" t="s">
        <v>119</v>
      </c>
      <c r="H998" s="29" t="s">
        <v>119</v>
      </c>
      <c r="I998" s="29" t="s">
        <v>119</v>
      </c>
      <c r="J998" s="29" t="s">
        <v>119</v>
      </c>
      <c r="K998" s="30" t="s">
        <v>119</v>
      </c>
      <c r="L998" s="29" t="s">
        <v>119</v>
      </c>
      <c r="M998" s="29" t="s">
        <v>119</v>
      </c>
      <c r="N998" s="10" t="s">
        <v>119</v>
      </c>
      <c r="O998" s="43" t="s">
        <v>119</v>
      </c>
      <c r="P998" s="107" t="s">
        <v>119</v>
      </c>
      <c r="Q998" s="107" t="s">
        <v>119</v>
      </c>
      <c r="R998" s="107" t="s">
        <v>119</v>
      </c>
      <c r="S998" s="107" t="s">
        <v>119</v>
      </c>
      <c r="T998" s="106" t="s">
        <v>119</v>
      </c>
      <c r="U998" s="106" t="s">
        <v>119</v>
      </c>
      <c r="V998" t="s">
        <v>119</v>
      </c>
      <c r="W998" s="11" t="s">
        <v>119</v>
      </c>
      <c r="X998" s="11" t="s">
        <v>119</v>
      </c>
    </row>
    <row r="999" spans="1:24" s="38" customFormat="1" x14ac:dyDescent="0.3">
      <c r="A999" s="3" t="s">
        <v>627</v>
      </c>
      <c r="B999" s="2" t="s">
        <v>119</v>
      </c>
      <c r="C999" s="4" t="s">
        <v>119</v>
      </c>
      <c r="D999" s="4" t="s">
        <v>119</v>
      </c>
      <c r="E999" s="1" t="s">
        <v>119</v>
      </c>
      <c r="F999" s="37" t="s">
        <v>119</v>
      </c>
      <c r="G999" s="37" t="s">
        <v>119</v>
      </c>
      <c r="H999" s="28" t="s">
        <v>119</v>
      </c>
      <c r="I999" s="28" t="s">
        <v>119</v>
      </c>
      <c r="J999" s="28" t="s">
        <v>119</v>
      </c>
      <c r="K999" s="27" t="s">
        <v>119</v>
      </c>
      <c r="L999" s="37" t="s">
        <v>119</v>
      </c>
      <c r="M999" s="37">
        <v>21</v>
      </c>
      <c r="N999" s="10" t="s">
        <v>119</v>
      </c>
      <c r="O999" s="43" t="s">
        <v>119</v>
      </c>
      <c r="P999" s="106" t="s">
        <v>119</v>
      </c>
      <c r="Q999" s="106" t="s">
        <v>119</v>
      </c>
      <c r="R999" s="106" t="s">
        <v>119</v>
      </c>
      <c r="S999" s="106" t="s">
        <v>119</v>
      </c>
      <c r="T999" s="106" t="s">
        <v>119</v>
      </c>
      <c r="U999" s="106" t="s">
        <v>119</v>
      </c>
      <c r="V999" t="s">
        <v>119</v>
      </c>
      <c r="W999" s="11" t="s">
        <v>134</v>
      </c>
      <c r="X999" s="11" t="s">
        <v>134</v>
      </c>
    </row>
    <row r="1000" spans="1:24" s="38" customFormat="1" x14ac:dyDescent="0.3">
      <c r="A1000" s="3" t="s">
        <v>628</v>
      </c>
      <c r="B1000" s="2" t="s">
        <v>119</v>
      </c>
      <c r="C1000" s="4" t="s">
        <v>119</v>
      </c>
      <c r="D1000" s="4" t="s">
        <v>119</v>
      </c>
      <c r="E1000" s="1" t="s">
        <v>119</v>
      </c>
      <c r="F1000" s="37" t="s">
        <v>119</v>
      </c>
      <c r="G1000" s="37" t="s">
        <v>119</v>
      </c>
      <c r="H1000" s="28" t="s">
        <v>119</v>
      </c>
      <c r="I1000" s="28" t="s">
        <v>119</v>
      </c>
      <c r="J1000" s="28" t="s">
        <v>119</v>
      </c>
      <c r="K1000" s="27" t="s">
        <v>119</v>
      </c>
      <c r="L1000" s="37" t="s">
        <v>119</v>
      </c>
      <c r="M1000" s="37">
        <v>4</v>
      </c>
      <c r="N1000" s="10" t="s">
        <v>119</v>
      </c>
      <c r="O1000" s="43" t="s">
        <v>119</v>
      </c>
      <c r="P1000" s="106" t="s">
        <v>119</v>
      </c>
      <c r="Q1000" s="106" t="s">
        <v>119</v>
      </c>
      <c r="R1000" s="106" t="s">
        <v>119</v>
      </c>
      <c r="S1000" s="106" t="s">
        <v>119</v>
      </c>
      <c r="T1000" s="106" t="s">
        <v>119</v>
      </c>
      <c r="U1000" s="106" t="s">
        <v>119</v>
      </c>
      <c r="V1000" t="s">
        <v>119</v>
      </c>
      <c r="W1000" s="11" t="s">
        <v>134</v>
      </c>
      <c r="X1000" s="11" t="s">
        <v>134</v>
      </c>
    </row>
    <row r="1001" spans="1:24" s="38" customFormat="1" x14ac:dyDescent="0.3">
      <c r="A1001" s="75" t="s">
        <v>778</v>
      </c>
      <c r="B1001" s="2" t="s">
        <v>119</v>
      </c>
      <c r="C1001" s="4" t="s">
        <v>119</v>
      </c>
      <c r="D1001" s="4" t="s">
        <v>119</v>
      </c>
      <c r="E1001" s="1" t="s">
        <v>119</v>
      </c>
      <c r="F1001" s="37" t="s">
        <v>119</v>
      </c>
      <c r="G1001" s="37" t="s">
        <v>119</v>
      </c>
      <c r="H1001" s="28" t="s">
        <v>119</v>
      </c>
      <c r="I1001" s="28" t="s">
        <v>119</v>
      </c>
      <c r="J1001" s="28" t="s">
        <v>119</v>
      </c>
      <c r="K1001" s="27" t="s">
        <v>119</v>
      </c>
      <c r="L1001" s="37" t="s">
        <v>119</v>
      </c>
      <c r="M1001" s="37" t="s">
        <v>119</v>
      </c>
      <c r="N1001" s="10" t="s">
        <v>119</v>
      </c>
      <c r="O1001" s="43" t="s">
        <v>119</v>
      </c>
      <c r="P1001" s="106" t="s">
        <v>119</v>
      </c>
      <c r="Q1001" s="106" t="s">
        <v>119</v>
      </c>
      <c r="R1001" s="106">
        <v>1</v>
      </c>
      <c r="S1001" s="106" t="s">
        <v>119</v>
      </c>
      <c r="T1001" s="106" t="s">
        <v>119</v>
      </c>
      <c r="U1001" s="106" t="s">
        <v>119</v>
      </c>
      <c r="V1001" t="s">
        <v>119</v>
      </c>
      <c r="W1001" s="11" t="str">
        <f t="shared" si="15"/>
        <v>X</v>
      </c>
      <c r="X1001" s="11" t="s">
        <v>134</v>
      </c>
    </row>
    <row r="1002" spans="1:24" s="74" customFormat="1" x14ac:dyDescent="0.3">
      <c r="A1002" s="1" t="s">
        <v>629</v>
      </c>
      <c r="B1002" s="2" t="s">
        <v>119</v>
      </c>
      <c r="C1002" s="4" t="s">
        <v>119</v>
      </c>
      <c r="D1002" s="4" t="s">
        <v>119</v>
      </c>
      <c r="E1002" s="1" t="s">
        <v>119</v>
      </c>
      <c r="F1002" s="37" t="s">
        <v>119</v>
      </c>
      <c r="G1002" s="37" t="s">
        <v>119</v>
      </c>
      <c r="H1002" s="28" t="s">
        <v>119</v>
      </c>
      <c r="I1002" s="28" t="s">
        <v>119</v>
      </c>
      <c r="J1002" s="28">
        <v>1</v>
      </c>
      <c r="K1002" s="27" t="s">
        <v>119</v>
      </c>
      <c r="L1002" s="37" t="s">
        <v>119</v>
      </c>
      <c r="M1002" s="37">
        <v>1</v>
      </c>
      <c r="N1002" s="10" t="s">
        <v>119</v>
      </c>
      <c r="O1002" s="43" t="s">
        <v>119</v>
      </c>
      <c r="P1002" s="106" t="s">
        <v>119</v>
      </c>
      <c r="Q1002" s="106" t="s">
        <v>119</v>
      </c>
      <c r="R1002" s="106" t="s">
        <v>119</v>
      </c>
      <c r="S1002" s="106" t="s">
        <v>119</v>
      </c>
      <c r="T1002" s="106" t="s">
        <v>119</v>
      </c>
      <c r="U1002" s="106" t="s">
        <v>119</v>
      </c>
      <c r="V1002" t="s">
        <v>119</v>
      </c>
      <c r="W1002" s="11" t="s">
        <v>1274</v>
      </c>
      <c r="X1002" s="11" t="s">
        <v>1274</v>
      </c>
    </row>
    <row r="1003" spans="1:24" s="74" customFormat="1" x14ac:dyDescent="0.3">
      <c r="A1003" s="4" t="s">
        <v>1111</v>
      </c>
      <c r="B1003" s="2" t="s">
        <v>119</v>
      </c>
      <c r="C1003" s="4" t="s">
        <v>119</v>
      </c>
      <c r="D1003" s="4" t="s">
        <v>119</v>
      </c>
      <c r="E1003" s="1" t="s">
        <v>119</v>
      </c>
      <c r="F1003" s="37" t="s">
        <v>119</v>
      </c>
      <c r="G1003" s="37" t="s">
        <v>119</v>
      </c>
      <c r="H1003" s="28" t="s">
        <v>119</v>
      </c>
      <c r="I1003" s="28" t="s">
        <v>119</v>
      </c>
      <c r="J1003" s="28" t="s">
        <v>119</v>
      </c>
      <c r="K1003" s="27">
        <v>4</v>
      </c>
      <c r="L1003" s="37" t="s">
        <v>119</v>
      </c>
      <c r="M1003" s="37" t="s">
        <v>119</v>
      </c>
      <c r="N1003" s="10" t="s">
        <v>119</v>
      </c>
      <c r="O1003" s="43" t="s">
        <v>119</v>
      </c>
      <c r="P1003" s="106" t="s">
        <v>119</v>
      </c>
      <c r="Q1003" s="106" t="s">
        <v>119</v>
      </c>
      <c r="R1003" s="106" t="s">
        <v>119</v>
      </c>
      <c r="S1003" s="106" t="s">
        <v>119</v>
      </c>
      <c r="T1003" s="106" t="s">
        <v>119</v>
      </c>
      <c r="U1003" s="106" t="s">
        <v>119</v>
      </c>
      <c r="V1003" t="s">
        <v>119</v>
      </c>
      <c r="W1003" s="11" t="s">
        <v>134</v>
      </c>
      <c r="X1003" s="11" t="s">
        <v>134</v>
      </c>
    </row>
    <row r="1004" spans="1:24" s="74" customFormat="1" x14ac:dyDescent="0.3">
      <c r="A1004" s="4" t="s">
        <v>1112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 t="s">
        <v>119</v>
      </c>
      <c r="I1004" s="28" t="s">
        <v>119</v>
      </c>
      <c r="J1004" s="28" t="s">
        <v>119</v>
      </c>
      <c r="K1004" s="27">
        <v>4</v>
      </c>
      <c r="L1004" s="37" t="s">
        <v>119</v>
      </c>
      <c r="M1004" s="37" t="s">
        <v>119</v>
      </c>
      <c r="N1004" s="10" t="s">
        <v>119</v>
      </c>
      <c r="O1004" s="43" t="s">
        <v>119</v>
      </c>
      <c r="P1004" s="106" t="s">
        <v>119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t="s">
        <v>119</v>
      </c>
      <c r="W1004" s="11" t="s">
        <v>119</v>
      </c>
      <c r="X1004" s="11" t="s">
        <v>134</v>
      </c>
    </row>
    <row r="1005" spans="1:24" x14ac:dyDescent="0.3">
      <c r="A1005" s="1" t="s">
        <v>630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7" t="s">
        <v>119</v>
      </c>
      <c r="L1005" s="37" t="s">
        <v>119</v>
      </c>
      <c r="M1005" s="37" t="s">
        <v>134</v>
      </c>
      <c r="N1005" s="10" t="s">
        <v>119</v>
      </c>
      <c r="O1005" s="43" t="s">
        <v>119</v>
      </c>
      <c r="P1005" s="106" t="s">
        <v>119</v>
      </c>
      <c r="Q1005" s="106" t="s">
        <v>119</v>
      </c>
      <c r="R1005" s="106" t="s">
        <v>119</v>
      </c>
      <c r="S1005" s="106" t="s">
        <v>119</v>
      </c>
      <c r="T1005" s="106" t="s">
        <v>119</v>
      </c>
      <c r="U1005" s="106" t="s">
        <v>119</v>
      </c>
      <c r="V1005" t="s">
        <v>119</v>
      </c>
      <c r="W1005" s="11" t="s">
        <v>134</v>
      </c>
      <c r="X1005" s="11" t="s">
        <v>119</v>
      </c>
    </row>
    <row r="1006" spans="1:24" x14ac:dyDescent="0.3">
      <c r="A1006" s="1" t="s">
        <v>631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7" t="s">
        <v>119</v>
      </c>
      <c r="L1006" s="37" t="s">
        <v>119</v>
      </c>
      <c r="M1006" s="37">
        <f>2+24+1+1+1</f>
        <v>29</v>
      </c>
      <c r="N1006" s="10" t="s">
        <v>119</v>
      </c>
      <c r="O1006" s="43" t="s">
        <v>119</v>
      </c>
      <c r="P1006" s="106" t="s">
        <v>119</v>
      </c>
      <c r="Q1006" s="106" t="s">
        <v>119</v>
      </c>
      <c r="R1006" s="106" t="s">
        <v>119</v>
      </c>
      <c r="S1006" s="106" t="s">
        <v>119</v>
      </c>
      <c r="T1006" s="106" t="s">
        <v>119</v>
      </c>
      <c r="U1006" s="106" t="s">
        <v>119</v>
      </c>
      <c r="V1006" t="s">
        <v>119</v>
      </c>
      <c r="W1006" s="11" t="s">
        <v>134</v>
      </c>
      <c r="X1006" s="11" t="s">
        <v>134</v>
      </c>
    </row>
    <row r="1007" spans="1:24" x14ac:dyDescent="0.3">
      <c r="A1007" s="1" t="s">
        <v>46</v>
      </c>
      <c r="B1007" s="2">
        <v>0</v>
      </c>
      <c r="C1007" s="4">
        <v>0</v>
      </c>
      <c r="D1007" s="4">
        <v>0</v>
      </c>
      <c r="E1007" s="1">
        <v>56</v>
      </c>
      <c r="F1007" s="37" t="s">
        <v>119</v>
      </c>
      <c r="G1007" s="37" t="s">
        <v>119</v>
      </c>
      <c r="H1007" s="28" t="s">
        <v>119</v>
      </c>
      <c r="I1007" s="28" t="s">
        <v>119</v>
      </c>
      <c r="J1007" s="28" t="s">
        <v>119</v>
      </c>
      <c r="K1007" s="28" t="s">
        <v>119</v>
      </c>
      <c r="L1007" s="37" t="s">
        <v>119</v>
      </c>
      <c r="M1007" s="37" t="s">
        <v>119</v>
      </c>
      <c r="N1007" s="10" t="s">
        <v>119</v>
      </c>
      <c r="O1007" s="43" t="s">
        <v>119</v>
      </c>
      <c r="P1007" s="106" t="s">
        <v>119</v>
      </c>
      <c r="Q1007" s="106" t="s">
        <v>119</v>
      </c>
      <c r="R1007" s="106" t="s">
        <v>119</v>
      </c>
      <c r="S1007" s="106" t="s">
        <v>119</v>
      </c>
      <c r="T1007" s="106" t="s">
        <v>119</v>
      </c>
      <c r="U1007" s="106" t="s">
        <v>119</v>
      </c>
      <c r="V1007" t="s">
        <v>119</v>
      </c>
      <c r="W1007" s="11" t="s">
        <v>119</v>
      </c>
      <c r="X1007" s="11" t="s">
        <v>134</v>
      </c>
    </row>
    <row r="1008" spans="1:24" x14ac:dyDescent="0.3">
      <c r="A1008" s="4" t="s">
        <v>785</v>
      </c>
      <c r="B1008" s="2" t="s">
        <v>119</v>
      </c>
      <c r="C1008" s="4" t="s">
        <v>119</v>
      </c>
      <c r="D1008" s="4" t="s">
        <v>119</v>
      </c>
      <c r="E1008" s="1" t="s">
        <v>119</v>
      </c>
      <c r="F1008" s="37" t="s">
        <v>119</v>
      </c>
      <c r="G1008" s="37" t="s">
        <v>119</v>
      </c>
      <c r="H1008" s="28" t="s">
        <v>119</v>
      </c>
      <c r="I1008" s="28" t="s">
        <v>119</v>
      </c>
      <c r="J1008" s="28" t="s">
        <v>119</v>
      </c>
      <c r="K1008" s="28" t="s">
        <v>119</v>
      </c>
      <c r="L1008" s="37" t="s">
        <v>119</v>
      </c>
      <c r="M1008" s="37" t="s">
        <v>119</v>
      </c>
      <c r="N1008" s="10" t="s">
        <v>119</v>
      </c>
      <c r="O1008" s="43" t="s">
        <v>119</v>
      </c>
      <c r="P1008" s="106" t="s">
        <v>119</v>
      </c>
      <c r="Q1008" s="106" t="s">
        <v>119</v>
      </c>
      <c r="R1008" s="106">
        <v>1</v>
      </c>
      <c r="S1008" s="106" t="s">
        <v>119</v>
      </c>
      <c r="T1008" s="106" t="s">
        <v>119</v>
      </c>
      <c r="U1008" s="106" t="s">
        <v>119</v>
      </c>
      <c r="V1008" t="s">
        <v>119</v>
      </c>
      <c r="W1008" s="11" t="str">
        <f t="shared" si="15"/>
        <v>X</v>
      </c>
      <c r="X1008" s="11" t="s">
        <v>134</v>
      </c>
    </row>
    <row r="1009" spans="1:24" x14ac:dyDescent="0.3">
      <c r="A1009" s="4" t="s">
        <v>746</v>
      </c>
      <c r="B1009" s="2" t="s">
        <v>119</v>
      </c>
      <c r="C1009" s="4" t="s">
        <v>119</v>
      </c>
      <c r="D1009" s="4" t="s">
        <v>119</v>
      </c>
      <c r="E1009" s="1" t="s">
        <v>119</v>
      </c>
      <c r="F1009" s="37" t="s">
        <v>119</v>
      </c>
      <c r="G1009" s="37" t="s">
        <v>119</v>
      </c>
      <c r="H1009" s="28" t="s">
        <v>119</v>
      </c>
      <c r="I1009" s="28" t="s">
        <v>134</v>
      </c>
      <c r="J1009" s="28" t="s">
        <v>119</v>
      </c>
      <c r="K1009" s="28" t="s">
        <v>119</v>
      </c>
      <c r="L1009" s="37" t="s">
        <v>119</v>
      </c>
      <c r="M1009" s="37" t="s">
        <v>119</v>
      </c>
      <c r="N1009" s="10" t="s">
        <v>119</v>
      </c>
      <c r="O1009" s="43" t="s">
        <v>119</v>
      </c>
      <c r="P1009" s="106" t="s">
        <v>119</v>
      </c>
      <c r="Q1009" s="106" t="s">
        <v>119</v>
      </c>
      <c r="R1009" s="106" t="s">
        <v>119</v>
      </c>
      <c r="S1009" s="106" t="s">
        <v>119</v>
      </c>
      <c r="T1009" s="106" t="s">
        <v>119</v>
      </c>
      <c r="U1009" s="106" t="s">
        <v>119</v>
      </c>
      <c r="V1009" t="s">
        <v>119</v>
      </c>
      <c r="W1009" s="11" t="s">
        <v>134</v>
      </c>
      <c r="X1009" s="11" t="s">
        <v>119</v>
      </c>
    </row>
    <row r="1010" spans="1:24" s="64" customFormat="1" x14ac:dyDescent="0.3">
      <c r="A1010" s="25" t="s">
        <v>1255</v>
      </c>
      <c r="B1010" s="19" t="s">
        <v>119</v>
      </c>
      <c r="C1010" s="20" t="s">
        <v>119</v>
      </c>
      <c r="D1010" s="20" t="s">
        <v>119</v>
      </c>
      <c r="E1010" s="25" t="s">
        <v>119</v>
      </c>
      <c r="F1010" s="37" t="s">
        <v>119</v>
      </c>
      <c r="G1010" s="37" t="s">
        <v>119</v>
      </c>
      <c r="H1010" s="32" t="s">
        <v>119</v>
      </c>
      <c r="I1010" s="32" t="s">
        <v>119</v>
      </c>
      <c r="J1010" s="32" t="s">
        <v>119</v>
      </c>
      <c r="K1010" s="32" t="s">
        <v>119</v>
      </c>
      <c r="L1010" s="32" t="s">
        <v>119</v>
      </c>
      <c r="M1010" s="32">
        <f>2+1+1+1</f>
        <v>5</v>
      </c>
      <c r="N1010" s="4" t="s">
        <v>119</v>
      </c>
      <c r="O1010" s="43" t="s">
        <v>119</v>
      </c>
      <c r="P1010" s="106" t="s">
        <v>119</v>
      </c>
      <c r="Q1010" s="106" t="s">
        <v>119</v>
      </c>
      <c r="R1010" s="106" t="s">
        <v>119</v>
      </c>
      <c r="S1010" s="106" t="s">
        <v>119</v>
      </c>
      <c r="T1010" s="106" t="s">
        <v>119</v>
      </c>
      <c r="U1010" s="106" t="s">
        <v>119</v>
      </c>
      <c r="V1010" t="s">
        <v>134</v>
      </c>
      <c r="W1010" s="11" t="s">
        <v>119</v>
      </c>
      <c r="X1010" s="88" t="s">
        <v>119</v>
      </c>
    </row>
    <row r="1011" spans="1:24" x14ac:dyDescent="0.3">
      <c r="A1011" s="13" t="s">
        <v>317</v>
      </c>
      <c r="B1011" s="66" t="s">
        <v>119</v>
      </c>
      <c r="C1011" s="4" t="s">
        <v>119</v>
      </c>
      <c r="D1011" s="4" t="s">
        <v>119</v>
      </c>
      <c r="E1011" s="4" t="s">
        <v>119</v>
      </c>
      <c r="F1011" s="37" t="s">
        <v>119</v>
      </c>
      <c r="G1011" s="37" t="s">
        <v>119</v>
      </c>
      <c r="H1011" s="27" t="s">
        <v>119</v>
      </c>
      <c r="I1011" s="27">
        <v>3</v>
      </c>
      <c r="J1011" s="27" t="s">
        <v>119</v>
      </c>
      <c r="K1011" s="28">
        <v>6</v>
      </c>
      <c r="L1011" s="28" t="s">
        <v>119</v>
      </c>
      <c r="M1011" s="28" t="s">
        <v>119</v>
      </c>
      <c r="N1011" s="1">
        <v>1</v>
      </c>
      <c r="O1011" s="43" t="s">
        <v>119</v>
      </c>
      <c r="P1011" s="106" t="s">
        <v>119</v>
      </c>
      <c r="Q1011" s="106" t="s">
        <v>119</v>
      </c>
      <c r="R1011" s="106" t="s">
        <v>119</v>
      </c>
      <c r="S1011" s="106" t="s">
        <v>119</v>
      </c>
      <c r="T1011" s="106" t="s">
        <v>119</v>
      </c>
      <c r="U1011" s="106" t="s">
        <v>119</v>
      </c>
      <c r="V1011" t="s">
        <v>119</v>
      </c>
      <c r="W1011" s="11" t="s">
        <v>134</v>
      </c>
      <c r="X1011" s="11" t="s">
        <v>134</v>
      </c>
    </row>
    <row r="1012" spans="1:24" x14ac:dyDescent="0.3">
      <c r="A1012" s="13" t="s">
        <v>632</v>
      </c>
      <c r="B1012" s="66" t="s">
        <v>119</v>
      </c>
      <c r="C1012" s="4" t="s">
        <v>119</v>
      </c>
      <c r="D1012" s="4" t="s">
        <v>119</v>
      </c>
      <c r="E1012" s="4" t="s">
        <v>119</v>
      </c>
      <c r="F1012" s="37" t="s">
        <v>119</v>
      </c>
      <c r="G1012" s="37" t="s">
        <v>119</v>
      </c>
      <c r="H1012" s="27" t="s">
        <v>119</v>
      </c>
      <c r="I1012" s="27" t="s">
        <v>119</v>
      </c>
      <c r="J1012" s="27" t="s">
        <v>119</v>
      </c>
      <c r="K1012" s="28" t="s">
        <v>119</v>
      </c>
      <c r="L1012" s="28" t="s">
        <v>119</v>
      </c>
      <c r="M1012" s="28">
        <v>1</v>
      </c>
      <c r="N1012" s="1" t="s">
        <v>119</v>
      </c>
      <c r="O1012" s="43" t="s">
        <v>119</v>
      </c>
      <c r="P1012" s="106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t="s">
        <v>119</v>
      </c>
      <c r="W1012" s="11" t="s">
        <v>134</v>
      </c>
      <c r="X1012" s="11" t="s">
        <v>134</v>
      </c>
    </row>
    <row r="1013" spans="1:24" x14ac:dyDescent="0.3">
      <c r="A1013" s="3" t="s">
        <v>165</v>
      </c>
      <c r="B1013" s="2" t="s">
        <v>119</v>
      </c>
      <c r="C1013" s="4" t="s">
        <v>119</v>
      </c>
      <c r="D1013" s="4" t="s">
        <v>119</v>
      </c>
      <c r="E1013" s="1" t="s">
        <v>119</v>
      </c>
      <c r="F1013" s="37">
        <v>2</v>
      </c>
      <c r="G1013" s="37">
        <v>4</v>
      </c>
      <c r="H1013" s="28">
        <v>3</v>
      </c>
      <c r="I1013" s="28">
        <v>6</v>
      </c>
      <c r="J1013" s="28">
        <v>6</v>
      </c>
      <c r="K1013" s="28">
        <v>17</v>
      </c>
      <c r="L1013" s="28">
        <v>3</v>
      </c>
      <c r="M1013" s="28">
        <v>2</v>
      </c>
      <c r="N1013" s="1">
        <v>4</v>
      </c>
      <c r="O1013" s="43" t="s">
        <v>119</v>
      </c>
      <c r="P1013" s="106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t="s">
        <v>119</v>
      </c>
      <c r="W1013" s="11" t="s">
        <v>134</v>
      </c>
      <c r="X1013" s="11" t="s">
        <v>134</v>
      </c>
    </row>
    <row r="1014" spans="1:24" x14ac:dyDescent="0.3">
      <c r="A1014" s="3" t="s">
        <v>633</v>
      </c>
      <c r="B1014" s="2" t="s">
        <v>119</v>
      </c>
      <c r="C1014" s="4" t="s">
        <v>119</v>
      </c>
      <c r="D1014" s="4" t="s">
        <v>119</v>
      </c>
      <c r="E1014" s="1" t="s">
        <v>119</v>
      </c>
      <c r="F1014" s="37" t="s">
        <v>119</v>
      </c>
      <c r="G1014" s="37" t="s">
        <v>119</v>
      </c>
      <c r="H1014" s="28" t="s">
        <v>119</v>
      </c>
      <c r="I1014" s="28" t="s">
        <v>119</v>
      </c>
      <c r="J1014" s="28" t="s">
        <v>119</v>
      </c>
      <c r="K1014" s="28" t="s">
        <v>119</v>
      </c>
      <c r="L1014" s="28" t="s">
        <v>119</v>
      </c>
      <c r="M1014" s="28" t="s">
        <v>134</v>
      </c>
      <c r="N1014" s="1" t="s">
        <v>119</v>
      </c>
      <c r="O1014" s="43" t="s">
        <v>119</v>
      </c>
      <c r="P1014" s="106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t="s">
        <v>119</v>
      </c>
      <c r="W1014" s="11" t="s">
        <v>134</v>
      </c>
      <c r="X1014" s="11" t="s">
        <v>134</v>
      </c>
    </row>
    <row r="1015" spans="1:24" x14ac:dyDescent="0.3">
      <c r="A1015" s="3" t="s">
        <v>183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 t="s">
        <v>119</v>
      </c>
      <c r="G1015" s="37" t="s">
        <v>119</v>
      </c>
      <c r="H1015" s="28" t="s">
        <v>119</v>
      </c>
      <c r="I1015" s="61" t="s">
        <v>119</v>
      </c>
      <c r="J1015" s="28">
        <f>12+1+2+1+2+1+1</f>
        <v>20</v>
      </c>
      <c r="K1015" s="28" t="s">
        <v>119</v>
      </c>
      <c r="L1015" s="28" t="s">
        <v>119</v>
      </c>
      <c r="M1015" s="28" t="s">
        <v>134</v>
      </c>
      <c r="N1015" s="1" t="s">
        <v>119</v>
      </c>
      <c r="O1015" s="43" t="s">
        <v>119</v>
      </c>
      <c r="P1015" s="106" t="s">
        <v>119</v>
      </c>
      <c r="Q1015" s="106" t="s">
        <v>119</v>
      </c>
      <c r="R1015" s="106" t="s">
        <v>119</v>
      </c>
      <c r="S1015" s="106" t="s">
        <v>119</v>
      </c>
      <c r="T1015" s="106" t="s">
        <v>119</v>
      </c>
      <c r="U1015" s="106" t="s">
        <v>119</v>
      </c>
      <c r="V1015" t="s">
        <v>119</v>
      </c>
      <c r="W1015" s="11" t="s">
        <v>134</v>
      </c>
      <c r="X1015" s="11" t="s">
        <v>119</v>
      </c>
    </row>
    <row r="1016" spans="1:24" x14ac:dyDescent="0.3">
      <c r="A1016" s="3" t="s">
        <v>634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 t="s">
        <v>119</v>
      </c>
      <c r="H1016" s="28" t="s">
        <v>119</v>
      </c>
      <c r="I1016" s="28" t="s">
        <v>119</v>
      </c>
      <c r="J1016" s="28" t="s">
        <v>119</v>
      </c>
      <c r="K1016" s="28" t="s">
        <v>119</v>
      </c>
      <c r="L1016" s="28" t="s">
        <v>119</v>
      </c>
      <c r="M1016" s="28" t="s">
        <v>134</v>
      </c>
      <c r="N1016" s="1" t="s">
        <v>119</v>
      </c>
      <c r="O1016" s="43" t="s">
        <v>119</v>
      </c>
      <c r="P1016" s="106" t="s">
        <v>119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t="s">
        <v>119</v>
      </c>
      <c r="W1016" s="11" t="s">
        <v>134</v>
      </c>
      <c r="X1016" s="11" t="s">
        <v>134</v>
      </c>
    </row>
    <row r="1017" spans="1:24" x14ac:dyDescent="0.3">
      <c r="A1017" s="13" t="s">
        <v>318</v>
      </c>
      <c r="B1017" s="66" t="s">
        <v>119</v>
      </c>
      <c r="C1017" s="4" t="s">
        <v>119</v>
      </c>
      <c r="D1017" s="4">
        <v>1</v>
      </c>
      <c r="E1017" s="4" t="s">
        <v>119</v>
      </c>
      <c r="F1017" s="37" t="s">
        <v>119</v>
      </c>
      <c r="G1017" s="37" t="s">
        <v>119</v>
      </c>
      <c r="H1017" s="27" t="s">
        <v>119</v>
      </c>
      <c r="I1017" s="27" t="s">
        <v>119</v>
      </c>
      <c r="J1017" s="27" t="s">
        <v>119</v>
      </c>
      <c r="K1017" s="28">
        <v>1</v>
      </c>
      <c r="L1017" s="28" t="s">
        <v>119</v>
      </c>
      <c r="M1017" s="28" t="s">
        <v>119</v>
      </c>
      <c r="N1017" s="1">
        <v>9</v>
      </c>
      <c r="O1017" s="43">
        <v>2</v>
      </c>
      <c r="P1017" s="106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t="s">
        <v>119</v>
      </c>
      <c r="W1017" s="11" t="s">
        <v>134</v>
      </c>
      <c r="X1017" s="11" t="s">
        <v>134</v>
      </c>
    </row>
    <row r="1018" spans="1:24" x14ac:dyDescent="0.3">
      <c r="A1018" s="3" t="s">
        <v>57</v>
      </c>
      <c r="B1018" s="2">
        <v>1</v>
      </c>
      <c r="C1018" s="4">
        <v>0</v>
      </c>
      <c r="D1018" s="4">
        <v>0</v>
      </c>
      <c r="E1018" s="1">
        <v>0</v>
      </c>
      <c r="F1018" s="37" t="s">
        <v>119</v>
      </c>
      <c r="G1018" s="37" t="s">
        <v>119</v>
      </c>
      <c r="H1018" s="28" t="s">
        <v>119</v>
      </c>
      <c r="I1018" s="28" t="s">
        <v>119</v>
      </c>
      <c r="J1018" s="28" t="s">
        <v>119</v>
      </c>
      <c r="K1018" s="28" t="s">
        <v>119</v>
      </c>
      <c r="L1018" s="28" t="s">
        <v>119</v>
      </c>
      <c r="M1018" s="28" t="s">
        <v>119</v>
      </c>
      <c r="N1018" s="1" t="s">
        <v>119</v>
      </c>
      <c r="O1018" s="43" t="s">
        <v>119</v>
      </c>
      <c r="P1018" s="106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t="s">
        <v>119</v>
      </c>
      <c r="W1018" s="11" t="s">
        <v>1274</v>
      </c>
      <c r="X1018" s="11" t="s">
        <v>1274</v>
      </c>
    </row>
    <row r="1019" spans="1:24" x14ac:dyDescent="0.3">
      <c r="A1019" s="3" t="s">
        <v>241</v>
      </c>
      <c r="B1019" s="2" t="s">
        <v>119</v>
      </c>
      <c r="C1019" s="4" t="s">
        <v>119</v>
      </c>
      <c r="D1019" s="4" t="s">
        <v>119</v>
      </c>
      <c r="E1019" s="1" t="s">
        <v>119</v>
      </c>
      <c r="F1019" s="37">
        <v>1</v>
      </c>
      <c r="G1019" s="37" t="s">
        <v>119</v>
      </c>
      <c r="H1019" s="28" t="s">
        <v>119</v>
      </c>
      <c r="I1019" s="28" t="s">
        <v>119</v>
      </c>
      <c r="J1019" s="28">
        <v>2</v>
      </c>
      <c r="K1019" s="28" t="s">
        <v>119</v>
      </c>
      <c r="L1019" s="28" t="s">
        <v>119</v>
      </c>
      <c r="M1019" s="28" t="s">
        <v>119</v>
      </c>
      <c r="N1019" s="1" t="s">
        <v>119</v>
      </c>
      <c r="O1019" s="43" t="s">
        <v>119</v>
      </c>
      <c r="P1019" s="106" t="s">
        <v>119</v>
      </c>
      <c r="Q1019" s="106" t="s">
        <v>119</v>
      </c>
      <c r="R1019" s="106">
        <v>1</v>
      </c>
      <c r="S1019" s="106" t="s">
        <v>119</v>
      </c>
      <c r="T1019" s="106" t="s">
        <v>119</v>
      </c>
      <c r="U1019" s="106" t="s">
        <v>119</v>
      </c>
      <c r="V1019" t="s">
        <v>119</v>
      </c>
      <c r="W1019" s="11" t="str">
        <f t="shared" si="15"/>
        <v>X</v>
      </c>
      <c r="X1019" s="11" t="s">
        <v>134</v>
      </c>
    </row>
    <row r="1020" spans="1:24" x14ac:dyDescent="0.3">
      <c r="A1020" s="3" t="s">
        <v>333</v>
      </c>
      <c r="B1020" s="2" t="s">
        <v>119</v>
      </c>
      <c r="C1020" s="4" t="s">
        <v>119</v>
      </c>
      <c r="D1020" s="4" t="s">
        <v>119</v>
      </c>
      <c r="E1020" s="1" t="s">
        <v>119</v>
      </c>
      <c r="F1020" s="37" t="s">
        <v>119</v>
      </c>
      <c r="G1020" s="37" t="s">
        <v>119</v>
      </c>
      <c r="H1020" s="28" t="s">
        <v>119</v>
      </c>
      <c r="I1020" s="28">
        <v>2</v>
      </c>
      <c r="J1020" s="28">
        <v>2</v>
      </c>
      <c r="K1020" s="28" t="s">
        <v>119</v>
      </c>
      <c r="L1020" s="28">
        <v>4</v>
      </c>
      <c r="M1020" s="28" t="s">
        <v>119</v>
      </c>
      <c r="N1020" s="1">
        <v>1</v>
      </c>
      <c r="O1020" s="43" t="s">
        <v>119</v>
      </c>
      <c r="P1020" s="106" t="s">
        <v>119</v>
      </c>
      <c r="Q1020" s="106" t="s">
        <v>119</v>
      </c>
      <c r="R1020" s="106" t="s">
        <v>119</v>
      </c>
      <c r="S1020" s="106" t="s">
        <v>119</v>
      </c>
      <c r="T1020" s="106" t="s">
        <v>119</v>
      </c>
      <c r="U1020" s="106" t="s">
        <v>119</v>
      </c>
      <c r="V1020" t="s">
        <v>119</v>
      </c>
      <c r="W1020" s="11" t="s">
        <v>134</v>
      </c>
      <c r="X1020" s="11" t="s">
        <v>134</v>
      </c>
    </row>
    <row r="1021" spans="1:24" x14ac:dyDescent="0.3">
      <c r="A1021" s="3" t="s">
        <v>635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 t="s">
        <v>119</v>
      </c>
      <c r="G1021" s="37" t="s">
        <v>119</v>
      </c>
      <c r="H1021" s="28" t="s">
        <v>119</v>
      </c>
      <c r="I1021" s="28" t="s">
        <v>119</v>
      </c>
      <c r="J1021" s="28" t="s">
        <v>119</v>
      </c>
      <c r="K1021" s="28" t="s">
        <v>119</v>
      </c>
      <c r="L1021" s="28" t="s">
        <v>119</v>
      </c>
      <c r="M1021" s="28" t="s">
        <v>134</v>
      </c>
      <c r="N1021" s="1" t="s">
        <v>119</v>
      </c>
      <c r="O1021" s="43" t="s">
        <v>119</v>
      </c>
      <c r="P1021" s="106" t="s">
        <v>119</v>
      </c>
      <c r="Q1021" s="106" t="s">
        <v>119</v>
      </c>
      <c r="R1021" s="106" t="s">
        <v>119</v>
      </c>
      <c r="S1021" s="106" t="s">
        <v>119</v>
      </c>
      <c r="T1021" s="106" t="s">
        <v>119</v>
      </c>
      <c r="U1021" s="106" t="s">
        <v>119</v>
      </c>
      <c r="V1021" t="s">
        <v>119</v>
      </c>
      <c r="W1021" s="11" t="s">
        <v>134</v>
      </c>
      <c r="X1021" s="11" t="s">
        <v>119</v>
      </c>
    </row>
    <row r="1022" spans="1:24" x14ac:dyDescent="0.3">
      <c r="A1022" s="3" t="s">
        <v>636</v>
      </c>
      <c r="B1022" s="2" t="s">
        <v>119</v>
      </c>
      <c r="C1022" s="4" t="s">
        <v>119</v>
      </c>
      <c r="D1022" s="4" t="s">
        <v>119</v>
      </c>
      <c r="E1022" s="1" t="s">
        <v>119</v>
      </c>
      <c r="F1022" s="37" t="s">
        <v>119</v>
      </c>
      <c r="G1022" s="37" t="s">
        <v>119</v>
      </c>
      <c r="H1022" s="28">
        <v>7</v>
      </c>
      <c r="I1022" s="28" t="s">
        <v>119</v>
      </c>
      <c r="J1022" s="28" t="s">
        <v>119</v>
      </c>
      <c r="K1022" s="28" t="s">
        <v>119</v>
      </c>
      <c r="L1022" s="28" t="s">
        <v>119</v>
      </c>
      <c r="M1022" s="28" t="s">
        <v>134</v>
      </c>
      <c r="N1022" s="1" t="s">
        <v>119</v>
      </c>
      <c r="O1022" s="43" t="s">
        <v>119</v>
      </c>
      <c r="P1022" s="106" t="s">
        <v>119</v>
      </c>
      <c r="Q1022" s="106" t="s">
        <v>119</v>
      </c>
      <c r="R1022" s="106" t="s">
        <v>119</v>
      </c>
      <c r="S1022" s="106" t="s">
        <v>119</v>
      </c>
      <c r="T1022" s="106" t="s">
        <v>119</v>
      </c>
      <c r="U1022" s="106" t="s">
        <v>119</v>
      </c>
      <c r="V1022" t="s">
        <v>119</v>
      </c>
      <c r="W1022" s="11" t="s">
        <v>119</v>
      </c>
      <c r="X1022" s="11" t="s">
        <v>119</v>
      </c>
    </row>
    <row r="1023" spans="1:24" x14ac:dyDescent="0.3">
      <c r="A1023" s="3" t="s">
        <v>44</v>
      </c>
      <c r="B1023" s="2">
        <v>215</v>
      </c>
      <c r="C1023" s="4">
        <v>12</v>
      </c>
      <c r="D1023" s="4">
        <v>0</v>
      </c>
      <c r="E1023" s="1">
        <v>1</v>
      </c>
      <c r="F1023" s="37" t="s">
        <v>119</v>
      </c>
      <c r="G1023" s="37" t="s">
        <v>119</v>
      </c>
      <c r="H1023" s="28">
        <v>1</v>
      </c>
      <c r="I1023" s="27">
        <v>1</v>
      </c>
      <c r="J1023" s="28">
        <f>3+4</f>
        <v>7</v>
      </c>
      <c r="K1023" s="28">
        <v>4</v>
      </c>
      <c r="L1023" s="28" t="s">
        <v>119</v>
      </c>
      <c r="M1023" s="28" t="s">
        <v>134</v>
      </c>
      <c r="N1023" s="1">
        <v>2</v>
      </c>
      <c r="O1023" s="43">
        <v>2</v>
      </c>
      <c r="P1023" s="106" t="s">
        <v>119</v>
      </c>
      <c r="Q1023" s="106">
        <v>4</v>
      </c>
      <c r="R1023" s="106" t="s">
        <v>119</v>
      </c>
      <c r="S1023" s="106" t="s">
        <v>119</v>
      </c>
      <c r="T1023" s="106" t="s">
        <v>119</v>
      </c>
      <c r="U1023" s="106" t="s">
        <v>119</v>
      </c>
      <c r="V1023" t="s">
        <v>119</v>
      </c>
      <c r="W1023" s="11" t="str">
        <f t="shared" si="15"/>
        <v>X</v>
      </c>
      <c r="X1023" s="11" t="s">
        <v>134</v>
      </c>
    </row>
    <row r="1024" spans="1:24" x14ac:dyDescent="0.3">
      <c r="A1024" s="3" t="s">
        <v>166</v>
      </c>
      <c r="B1024" s="2" t="s">
        <v>119</v>
      </c>
      <c r="C1024" s="4" t="s">
        <v>119</v>
      </c>
      <c r="D1024" s="4" t="s">
        <v>119</v>
      </c>
      <c r="E1024" s="1" t="s">
        <v>119</v>
      </c>
      <c r="F1024" s="37">
        <v>30</v>
      </c>
      <c r="G1024" s="37">
        <f>1+3+2+2+2+2+1</f>
        <v>13</v>
      </c>
      <c r="H1024" s="28">
        <v>9</v>
      </c>
      <c r="I1024" s="28">
        <v>8</v>
      </c>
      <c r="J1024" s="28">
        <f>5+1+1+1+2+2+75</f>
        <v>87</v>
      </c>
      <c r="K1024" s="28">
        <v>10</v>
      </c>
      <c r="L1024" s="28">
        <f>3+19+26+9+1+5+8+13+9+5</f>
        <v>98</v>
      </c>
      <c r="M1024" s="28">
        <f>2+8+15+10+14+1+10+6+1</f>
        <v>67</v>
      </c>
      <c r="N1024" s="1">
        <f>2+1+9+1+4+1</f>
        <v>18</v>
      </c>
      <c r="O1024" s="43">
        <f>11+1+3+16+3+1+2+4+24+11</f>
        <v>76</v>
      </c>
      <c r="P1024" s="106">
        <v>8</v>
      </c>
      <c r="Q1024" s="106" t="s">
        <v>119</v>
      </c>
      <c r="R1024" s="106" t="s">
        <v>119</v>
      </c>
      <c r="S1024" s="106">
        <f>13+8+1+2+11</f>
        <v>35</v>
      </c>
      <c r="T1024" s="106">
        <v>10</v>
      </c>
      <c r="U1024" s="106" t="s">
        <v>119</v>
      </c>
      <c r="V1024" t="s">
        <v>119</v>
      </c>
      <c r="W1024" s="11" t="str">
        <f t="shared" si="15"/>
        <v>X</v>
      </c>
      <c r="X1024" s="11" t="s">
        <v>134</v>
      </c>
    </row>
    <row r="1025" spans="1:24" x14ac:dyDescent="0.3">
      <c r="A1025" s="3" t="s">
        <v>782</v>
      </c>
      <c r="B1025" s="2" t="s">
        <v>119</v>
      </c>
      <c r="C1025" s="4" t="s">
        <v>119</v>
      </c>
      <c r="D1025" s="4" t="s">
        <v>119</v>
      </c>
      <c r="E1025" s="1" t="s">
        <v>119</v>
      </c>
      <c r="F1025" s="37" t="s">
        <v>119</v>
      </c>
      <c r="G1025" s="37" t="s">
        <v>119</v>
      </c>
      <c r="H1025" s="28" t="s">
        <v>119</v>
      </c>
      <c r="I1025" s="28" t="s">
        <v>119</v>
      </c>
      <c r="J1025" s="28" t="s">
        <v>119</v>
      </c>
      <c r="K1025" s="28" t="s">
        <v>119</v>
      </c>
      <c r="L1025" s="28" t="s">
        <v>119</v>
      </c>
      <c r="M1025" s="28" t="s">
        <v>119</v>
      </c>
      <c r="N1025" s="1" t="s">
        <v>119</v>
      </c>
      <c r="O1025" s="43" t="s">
        <v>119</v>
      </c>
      <c r="P1025" s="106" t="s">
        <v>119</v>
      </c>
      <c r="Q1025" s="106" t="s">
        <v>119</v>
      </c>
      <c r="R1025" s="106" t="s">
        <v>119</v>
      </c>
      <c r="S1025" s="106">
        <v>14</v>
      </c>
      <c r="T1025" s="106" t="s">
        <v>119</v>
      </c>
      <c r="U1025" s="106">
        <v>1</v>
      </c>
      <c r="V1025" t="s">
        <v>119</v>
      </c>
      <c r="W1025" s="11" t="str">
        <f t="shared" si="15"/>
        <v>X</v>
      </c>
      <c r="X1025" s="11" t="s">
        <v>134</v>
      </c>
    </row>
    <row r="1026" spans="1:24" x14ac:dyDescent="0.3">
      <c r="A1026" s="3" t="s">
        <v>1113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 t="s">
        <v>119</v>
      </c>
      <c r="G1026" s="37" t="s">
        <v>119</v>
      </c>
      <c r="H1026" s="28" t="s">
        <v>119</v>
      </c>
      <c r="I1026" s="28" t="s">
        <v>119</v>
      </c>
      <c r="J1026" s="28" t="s">
        <v>119</v>
      </c>
      <c r="K1026" s="28">
        <v>1</v>
      </c>
      <c r="L1026" s="28" t="s">
        <v>119</v>
      </c>
      <c r="M1026" s="28" t="s">
        <v>119</v>
      </c>
      <c r="N1026" s="1" t="s">
        <v>119</v>
      </c>
      <c r="O1026" s="43" t="s">
        <v>119</v>
      </c>
      <c r="P1026" s="106" t="s">
        <v>119</v>
      </c>
      <c r="Q1026" s="106" t="s">
        <v>119</v>
      </c>
      <c r="R1026" s="106" t="s">
        <v>119</v>
      </c>
      <c r="S1026" s="106" t="s">
        <v>119</v>
      </c>
      <c r="T1026" s="106" t="s">
        <v>119</v>
      </c>
      <c r="U1026" s="106" t="s">
        <v>119</v>
      </c>
      <c r="V1026" t="s">
        <v>119</v>
      </c>
      <c r="W1026" s="11" t="s">
        <v>134</v>
      </c>
      <c r="X1026" s="11" t="s">
        <v>134</v>
      </c>
    </row>
    <row r="1027" spans="1:24" x14ac:dyDescent="0.3">
      <c r="A1027" s="3" t="s">
        <v>1011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8" t="s">
        <v>119</v>
      </c>
      <c r="L1027" s="28" t="s">
        <v>119</v>
      </c>
      <c r="M1027" s="28" t="s">
        <v>119</v>
      </c>
      <c r="N1027" s="1" t="s">
        <v>119</v>
      </c>
      <c r="O1027" s="43" t="s">
        <v>119</v>
      </c>
      <c r="P1027" s="106" t="s">
        <v>119</v>
      </c>
      <c r="Q1027" s="106" t="s">
        <v>119</v>
      </c>
      <c r="R1027" s="106" t="s">
        <v>119</v>
      </c>
      <c r="S1027" s="106" t="s">
        <v>119</v>
      </c>
      <c r="T1027" s="106" t="s">
        <v>119</v>
      </c>
      <c r="U1027" s="106">
        <v>1</v>
      </c>
      <c r="V1027" t="s">
        <v>119</v>
      </c>
      <c r="W1027" s="11" t="str">
        <f t="shared" si="15"/>
        <v>X</v>
      </c>
      <c r="X1027" s="11" t="s">
        <v>134</v>
      </c>
    </row>
    <row r="1028" spans="1:24" x14ac:dyDescent="0.3">
      <c r="A1028" s="3" t="s">
        <v>167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>
        <v>2</v>
      </c>
      <c r="I1028" s="28" t="s">
        <v>119</v>
      </c>
      <c r="J1028" s="28">
        <v>1</v>
      </c>
      <c r="K1028" s="28">
        <v>9</v>
      </c>
      <c r="L1028" s="28" t="s">
        <v>119</v>
      </c>
      <c r="M1028" s="28" t="s">
        <v>134</v>
      </c>
      <c r="N1028" s="1" t="s">
        <v>119</v>
      </c>
      <c r="O1028" s="43" t="s">
        <v>119</v>
      </c>
      <c r="P1028" s="106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 t="s">
        <v>119</v>
      </c>
      <c r="V1028" t="s">
        <v>119</v>
      </c>
      <c r="W1028" s="11" t="s">
        <v>134</v>
      </c>
      <c r="X1028" s="11" t="s">
        <v>134</v>
      </c>
    </row>
    <row r="1029" spans="1:24" x14ac:dyDescent="0.3">
      <c r="A1029" s="3" t="s">
        <v>637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 t="s">
        <v>119</v>
      </c>
      <c r="I1029" s="28" t="s">
        <v>119</v>
      </c>
      <c r="J1029" s="28" t="s">
        <v>119</v>
      </c>
      <c r="K1029" s="28" t="s">
        <v>119</v>
      </c>
      <c r="L1029" s="28" t="s">
        <v>119</v>
      </c>
      <c r="M1029" s="28" t="s">
        <v>134</v>
      </c>
      <c r="N1029" s="1" t="s">
        <v>119</v>
      </c>
      <c r="O1029" s="43" t="s">
        <v>119</v>
      </c>
      <c r="P1029" s="106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 t="s">
        <v>119</v>
      </c>
      <c r="V1029" t="s">
        <v>119</v>
      </c>
      <c r="W1029" s="11" t="s">
        <v>134</v>
      </c>
      <c r="X1029" s="11" t="s">
        <v>134</v>
      </c>
    </row>
    <row r="1030" spans="1:24" x14ac:dyDescent="0.3">
      <c r="A1030" s="3" t="s">
        <v>1114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 t="s">
        <v>119</v>
      </c>
      <c r="I1030" s="28" t="s">
        <v>119</v>
      </c>
      <c r="J1030" s="28" t="s">
        <v>119</v>
      </c>
      <c r="K1030" s="28">
        <v>1</v>
      </c>
      <c r="L1030" s="28" t="s">
        <v>119</v>
      </c>
      <c r="M1030" s="28" t="s">
        <v>119</v>
      </c>
      <c r="N1030" s="1" t="s">
        <v>119</v>
      </c>
      <c r="O1030" s="43" t="s">
        <v>119</v>
      </c>
      <c r="P1030" s="106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t="s">
        <v>119</v>
      </c>
      <c r="W1030" s="11" t="s">
        <v>134</v>
      </c>
      <c r="X1030" s="11" t="s">
        <v>134</v>
      </c>
    </row>
    <row r="1031" spans="1:24" x14ac:dyDescent="0.3">
      <c r="A1031" s="3" t="s">
        <v>638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>
        <v>7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8" t="s">
        <v>119</v>
      </c>
      <c r="L1031" s="28" t="s">
        <v>119</v>
      </c>
      <c r="M1031" s="28">
        <f>1+28+4+4+3</f>
        <v>40</v>
      </c>
      <c r="N1031" s="1" t="s">
        <v>119</v>
      </c>
      <c r="O1031" s="43" t="s">
        <v>119</v>
      </c>
      <c r="P1031" s="106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t="s">
        <v>119</v>
      </c>
      <c r="W1031" s="11" t="s">
        <v>134</v>
      </c>
      <c r="X1031" s="11" t="s">
        <v>134</v>
      </c>
    </row>
    <row r="1032" spans="1:24" x14ac:dyDescent="0.3">
      <c r="A1032" s="3" t="s">
        <v>1009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 t="s">
        <v>119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8" t="s">
        <v>119</v>
      </c>
      <c r="L1032" s="28" t="s">
        <v>119</v>
      </c>
      <c r="M1032" s="28" t="s">
        <v>119</v>
      </c>
      <c r="N1032" s="1" t="s">
        <v>119</v>
      </c>
      <c r="O1032" s="43" t="s">
        <v>119</v>
      </c>
      <c r="P1032" s="106" t="s">
        <v>119</v>
      </c>
      <c r="Q1032" s="106" t="s">
        <v>119</v>
      </c>
      <c r="R1032" s="106" t="s">
        <v>119</v>
      </c>
      <c r="S1032" s="106">
        <v>1</v>
      </c>
      <c r="T1032" s="106" t="s">
        <v>119</v>
      </c>
      <c r="U1032" s="106" t="s">
        <v>119</v>
      </c>
      <c r="V1032" t="s">
        <v>119</v>
      </c>
      <c r="W1032" s="11" t="str">
        <f t="shared" si="15"/>
        <v>X</v>
      </c>
      <c r="X1032" s="11" t="s">
        <v>119</v>
      </c>
    </row>
    <row r="1033" spans="1:24" x14ac:dyDescent="0.3">
      <c r="A1033" s="3" t="s">
        <v>51</v>
      </c>
      <c r="B1033" s="2">
        <v>0</v>
      </c>
      <c r="C1033" s="4">
        <v>1</v>
      </c>
      <c r="D1033" s="4">
        <v>0</v>
      </c>
      <c r="E1033" s="1">
        <v>0</v>
      </c>
      <c r="F1033" s="37" t="s">
        <v>119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28" t="s">
        <v>119</v>
      </c>
      <c r="M1033" s="28">
        <v>2</v>
      </c>
      <c r="N1033" s="1" t="s">
        <v>119</v>
      </c>
      <c r="O1033" s="43" t="s">
        <v>119</v>
      </c>
      <c r="P1033" s="106" t="s">
        <v>119</v>
      </c>
      <c r="Q1033" s="106" t="s">
        <v>119</v>
      </c>
      <c r="R1033" s="106" t="s">
        <v>119</v>
      </c>
      <c r="S1033" s="106" t="s">
        <v>119</v>
      </c>
      <c r="T1033" s="106" t="s">
        <v>119</v>
      </c>
      <c r="U1033" s="106" t="s">
        <v>119</v>
      </c>
      <c r="V1033" t="s">
        <v>119</v>
      </c>
      <c r="W1033" s="11" t="s">
        <v>134</v>
      </c>
      <c r="X1033" s="11" t="s">
        <v>134</v>
      </c>
    </row>
    <row r="1034" spans="1:24" x14ac:dyDescent="0.3">
      <c r="A1034" s="3" t="s">
        <v>52</v>
      </c>
      <c r="B1034" s="2">
        <v>0</v>
      </c>
      <c r="C1034" s="4">
        <v>0</v>
      </c>
      <c r="D1034" s="4">
        <v>0</v>
      </c>
      <c r="E1034" s="1">
        <v>21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28" t="s">
        <v>119</v>
      </c>
      <c r="M1034" s="28" t="s">
        <v>119</v>
      </c>
      <c r="N1034" s="1" t="s">
        <v>119</v>
      </c>
      <c r="O1034" s="43" t="s">
        <v>119</v>
      </c>
      <c r="P1034" s="106" t="s">
        <v>119</v>
      </c>
      <c r="Q1034" s="106" t="s">
        <v>119</v>
      </c>
      <c r="R1034" s="106" t="s">
        <v>119</v>
      </c>
      <c r="S1034" s="106" t="s">
        <v>119</v>
      </c>
      <c r="T1034" s="106" t="s">
        <v>119</v>
      </c>
      <c r="U1034" s="106" t="s">
        <v>119</v>
      </c>
      <c r="V1034" t="s">
        <v>119</v>
      </c>
      <c r="W1034" s="11" t="s">
        <v>119</v>
      </c>
      <c r="X1034" s="11" t="s">
        <v>134</v>
      </c>
    </row>
    <row r="1035" spans="1:24" x14ac:dyDescent="0.3">
      <c r="A1035" s="3" t="s">
        <v>1115</v>
      </c>
      <c r="B1035" s="2" t="s">
        <v>119</v>
      </c>
      <c r="C1035" s="4" t="s">
        <v>119</v>
      </c>
      <c r="D1035" s="4" t="s">
        <v>119</v>
      </c>
      <c r="E1035" s="1" t="s">
        <v>119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>
        <v>4</v>
      </c>
      <c r="L1035" s="28" t="s">
        <v>119</v>
      </c>
      <c r="M1035" s="28" t="s">
        <v>119</v>
      </c>
      <c r="N1035" s="1" t="s">
        <v>119</v>
      </c>
      <c r="O1035" s="43" t="s">
        <v>119</v>
      </c>
      <c r="P1035" s="106" t="s">
        <v>119</v>
      </c>
      <c r="Q1035" s="106" t="s">
        <v>119</v>
      </c>
      <c r="R1035" s="106" t="s">
        <v>119</v>
      </c>
      <c r="S1035" s="106" t="s">
        <v>119</v>
      </c>
      <c r="T1035" s="106" t="s">
        <v>119</v>
      </c>
      <c r="U1035" s="106" t="s">
        <v>119</v>
      </c>
      <c r="V1035" t="s">
        <v>119</v>
      </c>
      <c r="W1035" s="11" t="s">
        <v>134</v>
      </c>
      <c r="X1035" s="11" t="s">
        <v>134</v>
      </c>
    </row>
    <row r="1036" spans="1:24" x14ac:dyDescent="0.3">
      <c r="A1036" s="3" t="s">
        <v>786</v>
      </c>
      <c r="B1036" s="2" t="s">
        <v>119</v>
      </c>
      <c r="C1036" s="4" t="s">
        <v>119</v>
      </c>
      <c r="D1036" s="4" t="s">
        <v>119</v>
      </c>
      <c r="E1036" s="1" t="s">
        <v>119</v>
      </c>
      <c r="F1036" s="37" t="s">
        <v>119</v>
      </c>
      <c r="G1036" s="37" t="s">
        <v>119</v>
      </c>
      <c r="H1036" s="28" t="s">
        <v>119</v>
      </c>
      <c r="I1036" s="28" t="s">
        <v>119</v>
      </c>
      <c r="J1036" s="28" t="s">
        <v>119</v>
      </c>
      <c r="K1036" s="28" t="s">
        <v>119</v>
      </c>
      <c r="L1036" s="28" t="s">
        <v>119</v>
      </c>
      <c r="M1036" s="28" t="s">
        <v>119</v>
      </c>
      <c r="N1036" s="1" t="s">
        <v>119</v>
      </c>
      <c r="O1036" s="43" t="s">
        <v>119</v>
      </c>
      <c r="P1036" s="106" t="s">
        <v>119</v>
      </c>
      <c r="Q1036" s="106">
        <v>4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t="s">
        <v>119</v>
      </c>
      <c r="W1036" s="11" t="str">
        <f t="shared" si="15"/>
        <v>X</v>
      </c>
      <c r="X1036" s="11" t="s">
        <v>119</v>
      </c>
    </row>
    <row r="1037" spans="1:24" x14ac:dyDescent="0.3">
      <c r="A1037" s="3" t="s">
        <v>639</v>
      </c>
      <c r="B1037" s="2" t="s">
        <v>119</v>
      </c>
      <c r="C1037" s="4" t="s">
        <v>119</v>
      </c>
      <c r="D1037" s="4" t="s">
        <v>119</v>
      </c>
      <c r="E1037" s="1" t="s">
        <v>119</v>
      </c>
      <c r="F1037" s="37" t="s">
        <v>119</v>
      </c>
      <c r="G1037" s="37" t="s">
        <v>119</v>
      </c>
      <c r="H1037" s="28" t="s">
        <v>119</v>
      </c>
      <c r="I1037" s="28" t="s">
        <v>119</v>
      </c>
      <c r="J1037" s="28" t="s">
        <v>119</v>
      </c>
      <c r="K1037" s="28" t="s">
        <v>119</v>
      </c>
      <c r="L1037" s="28" t="s">
        <v>119</v>
      </c>
      <c r="M1037" s="28" t="s">
        <v>134</v>
      </c>
      <c r="N1037" s="1" t="s">
        <v>119</v>
      </c>
      <c r="O1037" s="43" t="s">
        <v>119</v>
      </c>
      <c r="P1037" s="106" t="s">
        <v>119</v>
      </c>
      <c r="Q1037" s="106" t="s">
        <v>119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t="s">
        <v>119</v>
      </c>
      <c r="W1037" s="11" t="s">
        <v>119</v>
      </c>
      <c r="X1037" s="11" t="s">
        <v>119</v>
      </c>
    </row>
    <row r="1038" spans="1:24" x14ac:dyDescent="0.3">
      <c r="A1038" s="3" t="s">
        <v>54</v>
      </c>
      <c r="B1038" s="2">
        <v>11</v>
      </c>
      <c r="C1038" s="4">
        <v>1</v>
      </c>
      <c r="D1038" s="4">
        <v>0</v>
      </c>
      <c r="E1038" s="1">
        <v>0</v>
      </c>
      <c r="F1038" s="37" t="s">
        <v>119</v>
      </c>
      <c r="G1038" s="37" t="s">
        <v>119</v>
      </c>
      <c r="H1038" s="28" t="s">
        <v>119</v>
      </c>
      <c r="I1038" s="28" t="s">
        <v>119</v>
      </c>
      <c r="J1038" s="28">
        <v>3</v>
      </c>
      <c r="K1038" s="28" t="s">
        <v>119</v>
      </c>
      <c r="L1038" s="28" t="s">
        <v>119</v>
      </c>
      <c r="M1038" s="28">
        <v>1</v>
      </c>
      <c r="N1038" s="1" t="s">
        <v>119</v>
      </c>
      <c r="O1038" s="43" t="s">
        <v>119</v>
      </c>
      <c r="P1038" s="106" t="s">
        <v>119</v>
      </c>
      <c r="Q1038" s="106" t="s">
        <v>119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t="s">
        <v>119</v>
      </c>
      <c r="W1038" s="11" t="s">
        <v>134</v>
      </c>
      <c r="X1038" s="11" t="s">
        <v>134</v>
      </c>
    </row>
    <row r="1039" spans="1:24" x14ac:dyDescent="0.3">
      <c r="A1039" s="3" t="s">
        <v>640</v>
      </c>
      <c r="B1039" s="2" t="s">
        <v>119</v>
      </c>
      <c r="C1039" s="4" t="s">
        <v>119</v>
      </c>
      <c r="D1039" s="4" t="s">
        <v>119</v>
      </c>
      <c r="E1039" s="1" t="s">
        <v>119</v>
      </c>
      <c r="F1039" s="37" t="s">
        <v>119</v>
      </c>
      <c r="G1039" s="37">
        <v>11</v>
      </c>
      <c r="H1039" s="28" t="s">
        <v>119</v>
      </c>
      <c r="I1039" s="28" t="s">
        <v>119</v>
      </c>
      <c r="J1039" s="28" t="s">
        <v>119</v>
      </c>
      <c r="K1039" s="28" t="s">
        <v>119</v>
      </c>
      <c r="L1039" s="28" t="s">
        <v>119</v>
      </c>
      <c r="M1039" s="28" t="s">
        <v>134</v>
      </c>
      <c r="N1039" s="1" t="s">
        <v>119</v>
      </c>
      <c r="O1039" s="43" t="s">
        <v>119</v>
      </c>
      <c r="P1039" s="106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t="s">
        <v>119</v>
      </c>
      <c r="W1039" s="11" t="s">
        <v>134</v>
      </c>
      <c r="X1039" s="11" t="s">
        <v>134</v>
      </c>
    </row>
    <row r="1040" spans="1:24" x14ac:dyDescent="0.3">
      <c r="A1040" s="3" t="s">
        <v>1010</v>
      </c>
      <c r="B1040" s="2" t="s">
        <v>119</v>
      </c>
      <c r="C1040" s="4" t="s">
        <v>119</v>
      </c>
      <c r="D1040" s="4" t="s">
        <v>119</v>
      </c>
      <c r="E1040" s="1" t="s">
        <v>119</v>
      </c>
      <c r="F1040" s="37" t="s">
        <v>119</v>
      </c>
      <c r="G1040" s="37" t="s">
        <v>119</v>
      </c>
      <c r="H1040" s="28" t="s">
        <v>119</v>
      </c>
      <c r="I1040" s="28" t="s">
        <v>119</v>
      </c>
      <c r="J1040" s="28" t="s">
        <v>119</v>
      </c>
      <c r="K1040" s="28" t="s">
        <v>119</v>
      </c>
      <c r="L1040" s="28" t="s">
        <v>119</v>
      </c>
      <c r="M1040" s="28" t="s">
        <v>119</v>
      </c>
      <c r="N1040" s="1" t="s">
        <v>119</v>
      </c>
      <c r="O1040" s="43" t="s">
        <v>119</v>
      </c>
      <c r="P1040" s="106" t="s">
        <v>119</v>
      </c>
      <c r="Q1040" s="106" t="s">
        <v>119</v>
      </c>
      <c r="R1040" s="106" t="s">
        <v>119</v>
      </c>
      <c r="S1040" s="106">
        <v>1</v>
      </c>
      <c r="T1040" s="106" t="s">
        <v>119</v>
      </c>
      <c r="U1040" s="106" t="s">
        <v>119</v>
      </c>
      <c r="V1040" t="s">
        <v>119</v>
      </c>
      <c r="W1040" s="11" t="str">
        <f t="shared" si="15"/>
        <v>X</v>
      </c>
      <c r="X1040" s="11" t="s">
        <v>119</v>
      </c>
    </row>
    <row r="1041" spans="1:24" x14ac:dyDescent="0.3">
      <c r="A1041" s="3" t="s">
        <v>641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 t="s">
        <v>119</v>
      </c>
      <c r="H1041" s="28" t="s">
        <v>119</v>
      </c>
      <c r="I1041" s="28">
        <v>2</v>
      </c>
      <c r="J1041" s="28" t="s">
        <v>119</v>
      </c>
      <c r="K1041" s="28" t="s">
        <v>119</v>
      </c>
      <c r="L1041" s="28" t="s">
        <v>119</v>
      </c>
      <c r="M1041" s="28">
        <v>10</v>
      </c>
      <c r="N1041" s="1" t="s">
        <v>119</v>
      </c>
      <c r="O1041" s="43" t="s">
        <v>119</v>
      </c>
      <c r="P1041" s="106" t="s">
        <v>119</v>
      </c>
      <c r="Q1041" s="106" t="s">
        <v>119</v>
      </c>
      <c r="R1041" s="106" t="s">
        <v>119</v>
      </c>
      <c r="S1041" s="106" t="s">
        <v>119</v>
      </c>
      <c r="T1041" s="106" t="s">
        <v>119</v>
      </c>
      <c r="U1041" s="106" t="s">
        <v>119</v>
      </c>
      <c r="V1041" t="s">
        <v>119</v>
      </c>
      <c r="W1041" s="11" t="s">
        <v>134</v>
      </c>
      <c r="X1041" s="11" t="s">
        <v>119</v>
      </c>
    </row>
    <row r="1042" spans="1:24" x14ac:dyDescent="0.3">
      <c r="A1042" s="3" t="s">
        <v>642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28" t="s">
        <v>119</v>
      </c>
      <c r="J1042" s="28" t="s">
        <v>119</v>
      </c>
      <c r="K1042" s="28" t="s">
        <v>119</v>
      </c>
      <c r="L1042" s="28" t="s">
        <v>119</v>
      </c>
      <c r="M1042" s="28" t="s">
        <v>134</v>
      </c>
      <c r="N1042" s="1" t="s">
        <v>119</v>
      </c>
      <c r="O1042" s="43" t="s">
        <v>119</v>
      </c>
      <c r="P1042" s="106" t="s">
        <v>119</v>
      </c>
      <c r="Q1042" s="106" t="s">
        <v>119</v>
      </c>
      <c r="R1042" s="106" t="s">
        <v>119</v>
      </c>
      <c r="S1042" s="106" t="s">
        <v>119</v>
      </c>
      <c r="T1042" s="106" t="s">
        <v>119</v>
      </c>
      <c r="U1042" s="106" t="s">
        <v>119</v>
      </c>
      <c r="V1042" t="s">
        <v>119</v>
      </c>
      <c r="W1042" s="11" t="s">
        <v>134</v>
      </c>
      <c r="X1042" s="11" t="s">
        <v>134</v>
      </c>
    </row>
    <row r="1043" spans="1:24" x14ac:dyDescent="0.3">
      <c r="A1043" s="3" t="s">
        <v>53</v>
      </c>
      <c r="B1043" s="2">
        <v>3</v>
      </c>
      <c r="C1043" s="4">
        <v>0</v>
      </c>
      <c r="D1043" s="4">
        <v>0</v>
      </c>
      <c r="E1043" s="1">
        <v>0</v>
      </c>
      <c r="F1043" s="37" t="s">
        <v>119</v>
      </c>
      <c r="G1043" s="37" t="s">
        <v>119</v>
      </c>
      <c r="H1043" s="28" t="s">
        <v>119</v>
      </c>
      <c r="I1043" s="27">
        <v>1</v>
      </c>
      <c r="J1043" s="28">
        <v>6</v>
      </c>
      <c r="K1043" s="28" t="s">
        <v>119</v>
      </c>
      <c r="L1043" s="28" t="s">
        <v>119</v>
      </c>
      <c r="M1043" s="28" t="s">
        <v>134</v>
      </c>
      <c r="N1043" s="1" t="s">
        <v>119</v>
      </c>
      <c r="O1043" s="43" t="s">
        <v>119</v>
      </c>
      <c r="P1043" s="106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t="s">
        <v>119</v>
      </c>
      <c r="W1043" s="11" t="s">
        <v>134</v>
      </c>
      <c r="X1043" s="11" t="s">
        <v>134</v>
      </c>
    </row>
    <row r="1044" spans="1:24" x14ac:dyDescent="0.3">
      <c r="A1044" s="3" t="s">
        <v>643</v>
      </c>
      <c r="B1044" s="2" t="s">
        <v>119</v>
      </c>
      <c r="C1044" s="4" t="s">
        <v>119</v>
      </c>
      <c r="D1044" s="4" t="s">
        <v>119</v>
      </c>
      <c r="E1044" s="1" t="s">
        <v>119</v>
      </c>
      <c r="F1044" s="37" t="s">
        <v>119</v>
      </c>
      <c r="G1044" s="37" t="s">
        <v>119</v>
      </c>
      <c r="H1044" s="28" t="s">
        <v>119</v>
      </c>
      <c r="I1044" s="27" t="s">
        <v>119</v>
      </c>
      <c r="J1044" s="28" t="s">
        <v>119</v>
      </c>
      <c r="K1044" s="28" t="s">
        <v>119</v>
      </c>
      <c r="L1044" s="28" t="s">
        <v>119</v>
      </c>
      <c r="M1044" s="28" t="s">
        <v>134</v>
      </c>
      <c r="N1044" s="1" t="s">
        <v>119</v>
      </c>
      <c r="O1044" s="43" t="s">
        <v>119</v>
      </c>
      <c r="P1044" s="106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t="s">
        <v>119</v>
      </c>
      <c r="W1044" s="11" t="s">
        <v>134</v>
      </c>
      <c r="X1044" s="11" t="s">
        <v>119</v>
      </c>
    </row>
    <row r="1045" spans="1:24" x14ac:dyDescent="0.3">
      <c r="A1045" s="3" t="s">
        <v>644</v>
      </c>
      <c r="B1045" s="2" t="s">
        <v>119</v>
      </c>
      <c r="C1045" s="4" t="s">
        <v>119</v>
      </c>
      <c r="D1045" s="4" t="s">
        <v>119</v>
      </c>
      <c r="E1045" s="1" t="s">
        <v>119</v>
      </c>
      <c r="F1045" s="37" t="s">
        <v>119</v>
      </c>
      <c r="G1045" s="37" t="s">
        <v>119</v>
      </c>
      <c r="H1045" s="28" t="s">
        <v>119</v>
      </c>
      <c r="I1045" s="27" t="s">
        <v>119</v>
      </c>
      <c r="J1045" s="28" t="s">
        <v>119</v>
      </c>
      <c r="K1045" s="28" t="s">
        <v>119</v>
      </c>
      <c r="L1045" s="28" t="s">
        <v>119</v>
      </c>
      <c r="M1045" s="28" t="s">
        <v>134</v>
      </c>
      <c r="N1045" s="1" t="s">
        <v>119</v>
      </c>
      <c r="O1045" s="43" t="s">
        <v>119</v>
      </c>
      <c r="P1045" s="106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t="s">
        <v>119</v>
      </c>
      <c r="W1045" s="11" t="s">
        <v>134</v>
      </c>
      <c r="X1045" s="11" t="s">
        <v>134</v>
      </c>
    </row>
    <row r="1046" spans="1:24" x14ac:dyDescent="0.3">
      <c r="A1046" s="3" t="s">
        <v>645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 t="s">
        <v>119</v>
      </c>
      <c r="G1046" s="37" t="s">
        <v>119</v>
      </c>
      <c r="H1046" s="28" t="s">
        <v>119</v>
      </c>
      <c r="I1046" s="27" t="s">
        <v>119</v>
      </c>
      <c r="J1046" s="28" t="s">
        <v>119</v>
      </c>
      <c r="K1046" s="28" t="s">
        <v>119</v>
      </c>
      <c r="L1046" s="28" t="s">
        <v>119</v>
      </c>
      <c r="M1046" s="28" t="s">
        <v>134</v>
      </c>
      <c r="N1046" s="1" t="s">
        <v>119</v>
      </c>
      <c r="O1046" s="43" t="s">
        <v>119</v>
      </c>
      <c r="P1046" s="106" t="s">
        <v>119</v>
      </c>
      <c r="Q1046" s="106" t="s">
        <v>119</v>
      </c>
      <c r="R1046" s="106" t="s">
        <v>119</v>
      </c>
      <c r="S1046" s="106" t="s">
        <v>119</v>
      </c>
      <c r="T1046" s="106" t="s">
        <v>119</v>
      </c>
      <c r="U1046" s="106" t="s">
        <v>119</v>
      </c>
      <c r="V1046" t="s">
        <v>119</v>
      </c>
      <c r="W1046" s="11" t="s">
        <v>134</v>
      </c>
      <c r="X1046" s="11" t="s">
        <v>119</v>
      </c>
    </row>
    <row r="1047" spans="1:24" x14ac:dyDescent="0.3">
      <c r="A1047" s="3" t="s">
        <v>242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>
        <v>2</v>
      </c>
      <c r="I1047" s="27" t="s">
        <v>119</v>
      </c>
      <c r="J1047" s="28">
        <v>2</v>
      </c>
      <c r="K1047" s="28" t="s">
        <v>119</v>
      </c>
      <c r="L1047" s="28" t="s">
        <v>119</v>
      </c>
      <c r="M1047" s="28" t="s">
        <v>119</v>
      </c>
      <c r="N1047" s="1" t="s">
        <v>119</v>
      </c>
      <c r="O1047" s="43" t="s">
        <v>119</v>
      </c>
      <c r="P1047" s="106" t="s">
        <v>119</v>
      </c>
      <c r="Q1047" s="106">
        <v>2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t="s">
        <v>119</v>
      </c>
      <c r="W1047" s="11" t="str">
        <f t="shared" ref="W1047:W1098" si="16">IF(SUM(P1047:U1047)&gt;=1,"X","")</f>
        <v>X</v>
      </c>
      <c r="X1047" s="11" t="s">
        <v>134</v>
      </c>
    </row>
    <row r="1048" spans="1:24" x14ac:dyDescent="0.3">
      <c r="A1048" s="3" t="s">
        <v>787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 t="s">
        <v>119</v>
      </c>
      <c r="I1048" s="27" t="s">
        <v>119</v>
      </c>
      <c r="J1048" s="28" t="s">
        <v>119</v>
      </c>
      <c r="K1048" s="28" t="s">
        <v>119</v>
      </c>
      <c r="L1048" s="28" t="s">
        <v>119</v>
      </c>
      <c r="M1048" s="28" t="s">
        <v>119</v>
      </c>
      <c r="N1048" s="1" t="s">
        <v>119</v>
      </c>
      <c r="O1048" s="43" t="s">
        <v>119</v>
      </c>
      <c r="P1048" s="106" t="s">
        <v>119</v>
      </c>
      <c r="Q1048" s="106">
        <v>1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t="s">
        <v>119</v>
      </c>
      <c r="W1048" s="11" t="str">
        <f t="shared" si="16"/>
        <v>X</v>
      </c>
      <c r="X1048" s="11" t="s">
        <v>134</v>
      </c>
    </row>
    <row r="1049" spans="1:24" x14ac:dyDescent="0.3">
      <c r="A1049" s="3" t="s">
        <v>243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 t="s">
        <v>119</v>
      </c>
      <c r="I1049" s="27">
        <f>1+1+2+85+1</f>
        <v>90</v>
      </c>
      <c r="J1049" s="28">
        <v>6</v>
      </c>
      <c r="K1049" s="28" t="s">
        <v>119</v>
      </c>
      <c r="L1049" s="28" t="s">
        <v>119</v>
      </c>
      <c r="M1049" s="28" t="s">
        <v>134</v>
      </c>
      <c r="N1049" s="1" t="s">
        <v>119</v>
      </c>
      <c r="O1049" s="43" t="s">
        <v>119</v>
      </c>
      <c r="P1049" s="106" t="s">
        <v>119</v>
      </c>
      <c r="Q1049" s="106">
        <v>12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t="s">
        <v>119</v>
      </c>
      <c r="W1049" s="11" t="str">
        <f t="shared" si="16"/>
        <v>X</v>
      </c>
      <c r="X1049" s="11" t="s">
        <v>134</v>
      </c>
    </row>
    <row r="1050" spans="1:24" x14ac:dyDescent="0.3">
      <c r="A1050" s="3" t="s">
        <v>646</v>
      </c>
      <c r="B1050" s="2" t="s">
        <v>119</v>
      </c>
      <c r="C1050" s="4" t="s">
        <v>119</v>
      </c>
      <c r="D1050" s="4" t="s">
        <v>119</v>
      </c>
      <c r="E1050" s="1" t="s">
        <v>119</v>
      </c>
      <c r="F1050" s="37" t="s">
        <v>119</v>
      </c>
      <c r="G1050" s="37" t="s">
        <v>119</v>
      </c>
      <c r="H1050" s="28" t="s">
        <v>119</v>
      </c>
      <c r="I1050" s="27">
        <v>3</v>
      </c>
      <c r="J1050" s="28" t="s">
        <v>119</v>
      </c>
      <c r="K1050" s="28" t="s">
        <v>119</v>
      </c>
      <c r="L1050" s="28" t="s">
        <v>119</v>
      </c>
      <c r="M1050" s="28" t="s">
        <v>134</v>
      </c>
      <c r="N1050" s="1" t="s">
        <v>119</v>
      </c>
      <c r="O1050" s="43" t="s">
        <v>119</v>
      </c>
      <c r="P1050" s="106" t="s">
        <v>119</v>
      </c>
      <c r="Q1050" s="106" t="s">
        <v>119</v>
      </c>
      <c r="R1050" s="106" t="s">
        <v>119</v>
      </c>
      <c r="S1050" s="106" t="s">
        <v>119</v>
      </c>
      <c r="T1050" s="106" t="s">
        <v>119</v>
      </c>
      <c r="U1050" s="106" t="s">
        <v>119</v>
      </c>
      <c r="V1050" t="s">
        <v>119</v>
      </c>
      <c r="W1050" s="11" t="s">
        <v>134</v>
      </c>
      <c r="X1050" s="11" t="s">
        <v>134</v>
      </c>
    </row>
    <row r="1051" spans="1:24" x14ac:dyDescent="0.3">
      <c r="A1051" s="3" t="s">
        <v>647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 t="s">
        <v>119</v>
      </c>
      <c r="G1051" s="37" t="s">
        <v>119</v>
      </c>
      <c r="H1051" s="28" t="s">
        <v>119</v>
      </c>
      <c r="I1051" s="27" t="s">
        <v>119</v>
      </c>
      <c r="J1051" s="28" t="s">
        <v>119</v>
      </c>
      <c r="K1051" s="28" t="s">
        <v>119</v>
      </c>
      <c r="L1051" s="28" t="s">
        <v>119</v>
      </c>
      <c r="M1051" s="28" t="s">
        <v>134</v>
      </c>
      <c r="N1051" s="1" t="s">
        <v>119</v>
      </c>
      <c r="O1051" s="43" t="s">
        <v>119</v>
      </c>
      <c r="P1051" s="106" t="s">
        <v>119</v>
      </c>
      <c r="Q1051" s="106" t="s">
        <v>119</v>
      </c>
      <c r="R1051" s="106" t="s">
        <v>119</v>
      </c>
      <c r="S1051" s="106" t="s">
        <v>119</v>
      </c>
      <c r="T1051" s="106" t="s">
        <v>119</v>
      </c>
      <c r="U1051" s="106" t="s">
        <v>119</v>
      </c>
      <c r="V1051" t="s">
        <v>119</v>
      </c>
      <c r="W1051" s="11" t="s">
        <v>134</v>
      </c>
      <c r="X1051" s="11" t="s">
        <v>134</v>
      </c>
    </row>
    <row r="1052" spans="1:24" x14ac:dyDescent="0.3">
      <c r="A1052" s="3" t="s">
        <v>45</v>
      </c>
      <c r="B1052" s="2">
        <v>0</v>
      </c>
      <c r="C1052" s="4">
        <v>0</v>
      </c>
      <c r="D1052" s="4">
        <v>0</v>
      </c>
      <c r="E1052" s="1">
        <v>2</v>
      </c>
      <c r="F1052" s="37" t="s">
        <v>119</v>
      </c>
      <c r="G1052" s="37" t="s">
        <v>119</v>
      </c>
      <c r="H1052" s="28" t="s">
        <v>119</v>
      </c>
      <c r="I1052" s="28" t="s">
        <v>119</v>
      </c>
      <c r="J1052" s="28" t="s">
        <v>119</v>
      </c>
      <c r="K1052" s="28" t="s">
        <v>119</v>
      </c>
      <c r="L1052" s="28" t="s">
        <v>119</v>
      </c>
      <c r="M1052" s="28" t="s">
        <v>119</v>
      </c>
      <c r="N1052" s="1" t="s">
        <v>119</v>
      </c>
      <c r="O1052" s="43" t="s">
        <v>119</v>
      </c>
      <c r="P1052" s="106" t="s">
        <v>119</v>
      </c>
      <c r="Q1052" s="106" t="s">
        <v>119</v>
      </c>
      <c r="R1052" s="106" t="s">
        <v>119</v>
      </c>
      <c r="S1052" s="106" t="s">
        <v>119</v>
      </c>
      <c r="T1052" s="106" t="s">
        <v>119</v>
      </c>
      <c r="U1052" s="106" t="s">
        <v>119</v>
      </c>
      <c r="V1052" t="s">
        <v>119</v>
      </c>
      <c r="W1052" s="11" t="s">
        <v>134</v>
      </c>
      <c r="X1052" s="11" t="s">
        <v>134</v>
      </c>
    </row>
    <row r="1053" spans="1:24" x14ac:dyDescent="0.3">
      <c r="A1053" s="3" t="s">
        <v>1116</v>
      </c>
      <c r="B1053" s="2" t="s">
        <v>119</v>
      </c>
      <c r="C1053" s="4" t="s">
        <v>119</v>
      </c>
      <c r="D1053" s="4" t="s">
        <v>119</v>
      </c>
      <c r="E1053" s="1" t="s">
        <v>119</v>
      </c>
      <c r="F1053" s="37" t="s">
        <v>119</v>
      </c>
      <c r="G1053" s="37" t="s">
        <v>119</v>
      </c>
      <c r="H1053" s="28" t="s">
        <v>119</v>
      </c>
      <c r="I1053" s="28" t="s">
        <v>119</v>
      </c>
      <c r="J1053" s="28" t="s">
        <v>119</v>
      </c>
      <c r="K1053" s="28" t="s">
        <v>134</v>
      </c>
      <c r="L1053" s="28" t="s">
        <v>119</v>
      </c>
      <c r="M1053" s="28" t="s">
        <v>119</v>
      </c>
      <c r="N1053" s="1" t="s">
        <v>119</v>
      </c>
      <c r="O1053" s="43" t="s">
        <v>119</v>
      </c>
      <c r="P1053" s="106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t="s">
        <v>119</v>
      </c>
      <c r="W1053" s="11" t="s">
        <v>119</v>
      </c>
      <c r="X1053" s="11" t="s">
        <v>119</v>
      </c>
    </row>
    <row r="1054" spans="1:24" x14ac:dyDescent="0.3">
      <c r="A1054" s="3" t="s">
        <v>648</v>
      </c>
      <c r="B1054" s="2" t="s">
        <v>119</v>
      </c>
      <c r="C1054" s="4" t="s">
        <v>119</v>
      </c>
      <c r="D1054" s="4" t="s">
        <v>119</v>
      </c>
      <c r="E1054" s="1" t="s">
        <v>119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119</v>
      </c>
      <c r="L1054" s="28" t="s">
        <v>119</v>
      </c>
      <c r="M1054" s="28" t="s">
        <v>134</v>
      </c>
      <c r="N1054" s="1" t="s">
        <v>119</v>
      </c>
      <c r="O1054" s="43" t="s">
        <v>119</v>
      </c>
      <c r="P1054" s="106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t="s">
        <v>119</v>
      </c>
      <c r="W1054" s="11" t="s">
        <v>134</v>
      </c>
      <c r="X1054" s="11" t="s">
        <v>134</v>
      </c>
    </row>
    <row r="1055" spans="1:24" x14ac:dyDescent="0.3">
      <c r="A1055" s="3" t="s">
        <v>795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 t="s">
        <v>119</v>
      </c>
      <c r="I1055" s="28" t="s">
        <v>119</v>
      </c>
      <c r="J1055" s="28" t="s">
        <v>119</v>
      </c>
      <c r="K1055" s="28" t="s">
        <v>119</v>
      </c>
      <c r="L1055" s="28" t="s">
        <v>119</v>
      </c>
      <c r="M1055" s="28" t="s">
        <v>119</v>
      </c>
      <c r="N1055" s="1" t="s">
        <v>119</v>
      </c>
      <c r="O1055" s="43" t="s">
        <v>119</v>
      </c>
      <c r="P1055" s="106" t="s">
        <v>119</v>
      </c>
      <c r="Q1055" s="106" t="s">
        <v>119</v>
      </c>
      <c r="R1055" s="106" t="s">
        <v>119</v>
      </c>
      <c r="S1055" s="106">
        <f>3+7</f>
        <v>10</v>
      </c>
      <c r="T1055" s="106" t="s">
        <v>119</v>
      </c>
      <c r="U1055" s="106" t="s">
        <v>119</v>
      </c>
      <c r="V1055" t="s">
        <v>119</v>
      </c>
      <c r="W1055" s="11" t="str">
        <f t="shared" si="16"/>
        <v>X</v>
      </c>
      <c r="X1055" s="11" t="s">
        <v>119</v>
      </c>
    </row>
    <row r="1056" spans="1:24" x14ac:dyDescent="0.3">
      <c r="A1056" s="3" t="s">
        <v>649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>
        <f>1+1+6+32+35+58+56+14+30+1+1+27+2+10+4+13</f>
        <v>291</v>
      </c>
      <c r="N1056" s="1" t="s">
        <v>119</v>
      </c>
      <c r="O1056" s="43" t="s">
        <v>119</v>
      </c>
      <c r="P1056" s="106" t="s">
        <v>119</v>
      </c>
      <c r="Q1056" s="106" t="s">
        <v>119</v>
      </c>
      <c r="R1056" s="106" t="s">
        <v>119</v>
      </c>
      <c r="S1056" s="106">
        <v>11</v>
      </c>
      <c r="T1056" s="106" t="s">
        <v>119</v>
      </c>
      <c r="U1056" s="106" t="s">
        <v>119</v>
      </c>
      <c r="V1056" t="s">
        <v>119</v>
      </c>
      <c r="W1056" s="11" t="str">
        <f t="shared" si="16"/>
        <v>X</v>
      </c>
      <c r="X1056" s="11" t="s">
        <v>119</v>
      </c>
    </row>
    <row r="1057" spans="1:24" s="5" customFormat="1" x14ac:dyDescent="0.3">
      <c r="A1057" s="8" t="s">
        <v>705</v>
      </c>
      <c r="B1057" s="6" t="s">
        <v>119</v>
      </c>
      <c r="C1057" s="7" t="s">
        <v>119</v>
      </c>
      <c r="D1057" s="7" t="s">
        <v>119</v>
      </c>
      <c r="E1057" s="10" t="s">
        <v>119</v>
      </c>
      <c r="F1057" s="37" t="s">
        <v>119</v>
      </c>
      <c r="G1057" s="29" t="s">
        <v>119</v>
      </c>
      <c r="H1057" s="29">
        <v>1</v>
      </c>
      <c r="I1057" s="29" t="s">
        <v>119</v>
      </c>
      <c r="J1057" s="29" t="s">
        <v>119</v>
      </c>
      <c r="K1057" s="29" t="s">
        <v>119</v>
      </c>
      <c r="L1057" s="29" t="s">
        <v>119</v>
      </c>
      <c r="M1057" s="29" t="s">
        <v>119</v>
      </c>
      <c r="N1057" s="10" t="s">
        <v>119</v>
      </c>
      <c r="O1057" s="43" t="s">
        <v>119</v>
      </c>
      <c r="P1057" s="106" t="s">
        <v>119</v>
      </c>
      <c r="Q1057" s="106" t="s">
        <v>119</v>
      </c>
      <c r="R1057" s="106" t="s">
        <v>119</v>
      </c>
      <c r="S1057" s="106" t="s">
        <v>119</v>
      </c>
      <c r="T1057" s="106" t="s">
        <v>119</v>
      </c>
      <c r="U1057" s="106" t="s">
        <v>119</v>
      </c>
      <c r="V1057" t="s">
        <v>119</v>
      </c>
      <c r="W1057" s="11" t="s">
        <v>119</v>
      </c>
      <c r="X1057" s="11" t="s">
        <v>119</v>
      </c>
    </row>
    <row r="1058" spans="1:24" s="5" customFormat="1" x14ac:dyDescent="0.3">
      <c r="A1058" s="8" t="s">
        <v>798</v>
      </c>
      <c r="B1058" s="6" t="s">
        <v>119</v>
      </c>
      <c r="C1058" s="7" t="s">
        <v>119</v>
      </c>
      <c r="D1058" s="7" t="s">
        <v>119</v>
      </c>
      <c r="E1058" s="10" t="s">
        <v>119</v>
      </c>
      <c r="F1058" s="37" t="s">
        <v>119</v>
      </c>
      <c r="G1058" s="29" t="s">
        <v>119</v>
      </c>
      <c r="H1058" s="29" t="s">
        <v>119</v>
      </c>
      <c r="I1058" s="29" t="s">
        <v>119</v>
      </c>
      <c r="J1058" s="29" t="s">
        <v>119</v>
      </c>
      <c r="K1058" s="29" t="s">
        <v>119</v>
      </c>
      <c r="L1058" s="29" t="s">
        <v>119</v>
      </c>
      <c r="M1058" s="29" t="s">
        <v>119</v>
      </c>
      <c r="N1058" s="10" t="s">
        <v>119</v>
      </c>
      <c r="O1058" s="43" t="s">
        <v>119</v>
      </c>
      <c r="P1058" s="106">
        <v>1</v>
      </c>
      <c r="Q1058" s="106" t="s">
        <v>119</v>
      </c>
      <c r="R1058" s="106" t="s">
        <v>119</v>
      </c>
      <c r="S1058" s="106" t="s">
        <v>119</v>
      </c>
      <c r="T1058" s="106" t="s">
        <v>119</v>
      </c>
      <c r="U1058" s="106" t="s">
        <v>119</v>
      </c>
      <c r="V1058" t="s">
        <v>119</v>
      </c>
      <c r="W1058" s="11" t="s">
        <v>119</v>
      </c>
      <c r="X1058" s="11" t="s">
        <v>119</v>
      </c>
    </row>
    <row r="1059" spans="1:24" x14ac:dyDescent="0.3">
      <c r="A1059" s="3" t="s">
        <v>61</v>
      </c>
      <c r="B1059" s="2">
        <v>2</v>
      </c>
      <c r="C1059" s="4">
        <v>0</v>
      </c>
      <c r="D1059" s="4">
        <v>0</v>
      </c>
      <c r="E1059" s="1">
        <v>0</v>
      </c>
      <c r="F1059" s="37" t="s">
        <v>119</v>
      </c>
      <c r="G1059" s="37" t="s">
        <v>119</v>
      </c>
      <c r="H1059" s="28" t="s">
        <v>119</v>
      </c>
      <c r="I1059" s="28" t="s">
        <v>119</v>
      </c>
      <c r="J1059" s="28">
        <v>2</v>
      </c>
      <c r="K1059" s="28">
        <v>1</v>
      </c>
      <c r="L1059" s="28" t="s">
        <v>119</v>
      </c>
      <c r="M1059" s="28" t="s">
        <v>134</v>
      </c>
      <c r="N1059" s="1" t="s">
        <v>119</v>
      </c>
      <c r="O1059" s="43" t="s">
        <v>119</v>
      </c>
      <c r="P1059" s="106" t="s">
        <v>119</v>
      </c>
      <c r="Q1059" s="106" t="s">
        <v>119</v>
      </c>
      <c r="R1059" s="106" t="s">
        <v>119</v>
      </c>
      <c r="S1059" s="106">
        <f>5+1</f>
        <v>6</v>
      </c>
      <c r="T1059" s="106" t="s">
        <v>119</v>
      </c>
      <c r="U1059" s="106" t="s">
        <v>119</v>
      </c>
      <c r="V1059" t="s">
        <v>119</v>
      </c>
      <c r="W1059" s="11" t="str">
        <f t="shared" si="16"/>
        <v>X</v>
      </c>
      <c r="X1059" s="11" t="s">
        <v>134</v>
      </c>
    </row>
    <row r="1060" spans="1:24" x14ac:dyDescent="0.3">
      <c r="A1060" s="3" t="s">
        <v>748</v>
      </c>
      <c r="B1060" s="2" t="s">
        <v>119</v>
      </c>
      <c r="C1060" s="4" t="s">
        <v>119</v>
      </c>
      <c r="D1060" s="4" t="s">
        <v>119</v>
      </c>
      <c r="E1060" s="1" t="s">
        <v>119</v>
      </c>
      <c r="F1060" s="37" t="s">
        <v>119</v>
      </c>
      <c r="G1060" s="37" t="s">
        <v>119</v>
      </c>
      <c r="H1060" s="28" t="s">
        <v>119</v>
      </c>
      <c r="I1060" s="28">
        <v>2</v>
      </c>
      <c r="J1060" s="28" t="s">
        <v>119</v>
      </c>
      <c r="K1060" s="28" t="s">
        <v>119</v>
      </c>
      <c r="L1060" s="28" t="s">
        <v>119</v>
      </c>
      <c r="M1060" s="28" t="s">
        <v>119</v>
      </c>
      <c r="N1060" s="1" t="s">
        <v>119</v>
      </c>
      <c r="O1060" s="43">
        <v>1</v>
      </c>
      <c r="P1060" s="106" t="s">
        <v>119</v>
      </c>
      <c r="Q1060" s="106" t="s">
        <v>119</v>
      </c>
      <c r="R1060" s="106" t="s">
        <v>119</v>
      </c>
      <c r="S1060" s="106" t="s">
        <v>119</v>
      </c>
      <c r="T1060" s="106" t="s">
        <v>119</v>
      </c>
      <c r="U1060" s="106" t="s">
        <v>119</v>
      </c>
      <c r="V1060" t="s">
        <v>119</v>
      </c>
      <c r="W1060" s="11" t="s">
        <v>134</v>
      </c>
      <c r="X1060" s="11" t="s">
        <v>134</v>
      </c>
    </row>
    <row r="1061" spans="1:24" x14ac:dyDescent="0.3">
      <c r="A1061" s="3" t="s">
        <v>58</v>
      </c>
      <c r="B1061" s="2">
        <v>12</v>
      </c>
      <c r="C1061" s="4">
        <v>9</v>
      </c>
      <c r="D1061" s="4">
        <v>1</v>
      </c>
      <c r="E1061" s="1">
        <v>2</v>
      </c>
      <c r="F1061" s="37" t="s">
        <v>119</v>
      </c>
      <c r="G1061" s="37" t="s">
        <v>119</v>
      </c>
      <c r="H1061" s="28" t="s">
        <v>119</v>
      </c>
      <c r="I1061" s="28" t="s">
        <v>119</v>
      </c>
      <c r="J1061" s="28" t="s">
        <v>119</v>
      </c>
      <c r="K1061" s="28" t="s">
        <v>119</v>
      </c>
      <c r="L1061" s="28" t="s">
        <v>119</v>
      </c>
      <c r="M1061" s="28" t="s">
        <v>119</v>
      </c>
      <c r="N1061" s="1" t="s">
        <v>119</v>
      </c>
      <c r="O1061" s="43" t="s">
        <v>119</v>
      </c>
      <c r="P1061" s="106" t="s">
        <v>119</v>
      </c>
      <c r="Q1061" s="106" t="s">
        <v>119</v>
      </c>
      <c r="R1061" s="106" t="s">
        <v>119</v>
      </c>
      <c r="S1061" s="106" t="s">
        <v>119</v>
      </c>
      <c r="T1061" s="106" t="s">
        <v>119</v>
      </c>
      <c r="U1061" s="106" t="s">
        <v>119</v>
      </c>
      <c r="V1061" t="s">
        <v>119</v>
      </c>
      <c r="W1061" s="11" t="s">
        <v>134</v>
      </c>
      <c r="X1061" s="11" t="s">
        <v>134</v>
      </c>
    </row>
    <row r="1062" spans="1:24" x14ac:dyDescent="0.3">
      <c r="A1062" s="3" t="s">
        <v>671</v>
      </c>
      <c r="B1062" s="2" t="s">
        <v>119</v>
      </c>
      <c r="C1062" s="4" t="s">
        <v>119</v>
      </c>
      <c r="D1062" s="4" t="s">
        <v>119</v>
      </c>
      <c r="E1062" s="1" t="s">
        <v>119</v>
      </c>
      <c r="F1062" s="37" t="s">
        <v>119</v>
      </c>
      <c r="G1062" s="37" t="s">
        <v>119</v>
      </c>
      <c r="H1062" s="28">
        <v>3</v>
      </c>
      <c r="I1062" s="28" t="s">
        <v>119</v>
      </c>
      <c r="J1062" s="28" t="s">
        <v>119</v>
      </c>
      <c r="K1062" s="28" t="s">
        <v>119</v>
      </c>
      <c r="L1062" s="28" t="s">
        <v>119</v>
      </c>
      <c r="M1062" s="28" t="s">
        <v>119</v>
      </c>
      <c r="N1062" s="1">
        <v>1</v>
      </c>
      <c r="O1062" s="43" t="s">
        <v>119</v>
      </c>
      <c r="P1062" s="106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t="s">
        <v>119</v>
      </c>
      <c r="W1062" s="11" t="s">
        <v>119</v>
      </c>
      <c r="X1062" s="11" t="s">
        <v>134</v>
      </c>
    </row>
    <row r="1063" spans="1:24" x14ac:dyDescent="0.3">
      <c r="A1063" s="3" t="s">
        <v>60</v>
      </c>
      <c r="B1063" s="2">
        <v>7</v>
      </c>
      <c r="C1063" s="4">
        <v>0</v>
      </c>
      <c r="D1063" s="4">
        <v>0</v>
      </c>
      <c r="E1063" s="1">
        <v>0</v>
      </c>
      <c r="F1063" s="37" t="s">
        <v>119</v>
      </c>
      <c r="G1063" s="37" t="s">
        <v>119</v>
      </c>
      <c r="H1063" s="28" t="s">
        <v>119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 t="s">
        <v>119</v>
      </c>
      <c r="O1063" s="43" t="s">
        <v>119</v>
      </c>
      <c r="P1063" s="106" t="s">
        <v>119</v>
      </c>
      <c r="Q1063" s="106" t="s">
        <v>119</v>
      </c>
      <c r="R1063" s="106" t="s">
        <v>119</v>
      </c>
      <c r="S1063" s="106" t="s">
        <v>119</v>
      </c>
      <c r="T1063" s="106" t="s">
        <v>119</v>
      </c>
      <c r="U1063" s="106" t="s">
        <v>119</v>
      </c>
      <c r="V1063" t="s">
        <v>119</v>
      </c>
      <c r="W1063" s="11" t="s">
        <v>119</v>
      </c>
      <c r="X1063" s="11" t="s">
        <v>119</v>
      </c>
    </row>
    <row r="1064" spans="1:24" x14ac:dyDescent="0.3">
      <c r="A1064" s="3" t="s">
        <v>796</v>
      </c>
      <c r="B1064" s="2" t="s">
        <v>119</v>
      </c>
      <c r="C1064" s="4" t="s">
        <v>119</v>
      </c>
      <c r="D1064" s="4" t="s">
        <v>119</v>
      </c>
      <c r="E1064" s="1" t="s">
        <v>119</v>
      </c>
      <c r="F1064" s="37" t="s">
        <v>119</v>
      </c>
      <c r="G1064" s="37" t="s">
        <v>119</v>
      </c>
      <c r="H1064" s="28" t="s">
        <v>119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119</v>
      </c>
      <c r="N1064" s="1" t="s">
        <v>119</v>
      </c>
      <c r="O1064" s="43" t="s">
        <v>119</v>
      </c>
      <c r="P1064" s="106" t="s">
        <v>119</v>
      </c>
      <c r="Q1064" s="106" t="s">
        <v>119</v>
      </c>
      <c r="R1064" s="106">
        <v>5</v>
      </c>
      <c r="S1064" s="106">
        <v>3</v>
      </c>
      <c r="T1064" s="106" t="s">
        <v>119</v>
      </c>
      <c r="U1064" s="106" t="s">
        <v>119</v>
      </c>
      <c r="V1064" t="s">
        <v>119</v>
      </c>
      <c r="W1064" s="11" t="str">
        <f t="shared" si="16"/>
        <v>X</v>
      </c>
      <c r="X1064" s="11" t="s">
        <v>1274</v>
      </c>
    </row>
    <row r="1065" spans="1:24" x14ac:dyDescent="0.3">
      <c r="A1065" s="3" t="s">
        <v>190</v>
      </c>
      <c r="B1065" s="2" t="s">
        <v>119</v>
      </c>
      <c r="C1065" s="4" t="s">
        <v>119</v>
      </c>
      <c r="D1065" s="4" t="s">
        <v>119</v>
      </c>
      <c r="E1065" s="1" t="s">
        <v>119</v>
      </c>
      <c r="F1065" s="37" t="s">
        <v>119</v>
      </c>
      <c r="G1065" s="37">
        <v>1</v>
      </c>
      <c r="H1065" s="28" t="s">
        <v>119</v>
      </c>
      <c r="I1065" s="28">
        <f>1+1+1+1+1+9</f>
        <v>14</v>
      </c>
      <c r="J1065" s="28" t="s">
        <v>119</v>
      </c>
      <c r="K1065" s="28">
        <v>1</v>
      </c>
      <c r="L1065" s="28" t="s">
        <v>119</v>
      </c>
      <c r="M1065" s="28" t="s">
        <v>119</v>
      </c>
      <c r="N1065" s="1" t="s">
        <v>119</v>
      </c>
      <c r="O1065" s="43" t="s">
        <v>119</v>
      </c>
      <c r="P1065" s="106" t="s">
        <v>119</v>
      </c>
      <c r="Q1065" s="106" t="s">
        <v>119</v>
      </c>
      <c r="R1065" s="106" t="s">
        <v>119</v>
      </c>
      <c r="S1065" s="106" t="s">
        <v>119</v>
      </c>
      <c r="T1065" s="106" t="s">
        <v>119</v>
      </c>
      <c r="U1065" s="106" t="s">
        <v>119</v>
      </c>
      <c r="V1065" t="s">
        <v>119</v>
      </c>
      <c r="W1065" s="11" t="s">
        <v>119</v>
      </c>
      <c r="X1065" s="11" t="s">
        <v>134</v>
      </c>
    </row>
    <row r="1066" spans="1:24" x14ac:dyDescent="0.3">
      <c r="A1066" s="3" t="s">
        <v>1209</v>
      </c>
      <c r="B1066" s="2" t="s">
        <v>119</v>
      </c>
      <c r="C1066" s="2" t="s">
        <v>119</v>
      </c>
      <c r="D1066" s="2" t="s">
        <v>119</v>
      </c>
      <c r="E1066" s="2" t="s">
        <v>119</v>
      </c>
      <c r="F1066" s="2" t="s">
        <v>119</v>
      </c>
      <c r="G1066" s="2" t="s">
        <v>119</v>
      </c>
      <c r="H1066" s="2" t="s">
        <v>119</v>
      </c>
      <c r="I1066" s="2" t="s">
        <v>119</v>
      </c>
      <c r="J1066" s="28" t="s">
        <v>134</v>
      </c>
      <c r="K1066" s="43" t="s">
        <v>119</v>
      </c>
      <c r="L1066" s="43" t="s">
        <v>119</v>
      </c>
      <c r="M1066" s="43" t="s">
        <v>119</v>
      </c>
      <c r="N1066" s="43" t="s">
        <v>119</v>
      </c>
      <c r="O1066" s="43" t="s">
        <v>119</v>
      </c>
      <c r="P1066" s="106" t="s">
        <v>119</v>
      </c>
      <c r="Q1066" s="106" t="s">
        <v>119</v>
      </c>
      <c r="R1066" s="106" t="s">
        <v>119</v>
      </c>
      <c r="S1066" s="106" t="s">
        <v>119</v>
      </c>
      <c r="T1066" s="106" t="s">
        <v>119</v>
      </c>
      <c r="U1066" s="106" t="s">
        <v>119</v>
      </c>
      <c r="V1066" t="s">
        <v>134</v>
      </c>
      <c r="W1066" s="11" t="s">
        <v>119</v>
      </c>
      <c r="X1066" s="11" t="s">
        <v>119</v>
      </c>
    </row>
    <row r="1067" spans="1:24" x14ac:dyDescent="0.3">
      <c r="A1067" s="3" t="s">
        <v>650</v>
      </c>
      <c r="B1067" s="2" t="s">
        <v>119</v>
      </c>
      <c r="C1067" s="4" t="s">
        <v>119</v>
      </c>
      <c r="D1067" s="4" t="s">
        <v>119</v>
      </c>
      <c r="E1067" s="1" t="s">
        <v>119</v>
      </c>
      <c r="F1067" s="37" t="s">
        <v>119</v>
      </c>
      <c r="G1067" s="37" t="s">
        <v>119</v>
      </c>
      <c r="H1067" s="28" t="s">
        <v>119</v>
      </c>
      <c r="I1067" s="28" t="s">
        <v>119</v>
      </c>
      <c r="J1067" s="28" t="s">
        <v>119</v>
      </c>
      <c r="K1067" s="28" t="s">
        <v>119</v>
      </c>
      <c r="L1067" s="28" t="s">
        <v>119</v>
      </c>
      <c r="M1067" s="28">
        <f>1+1+33+22+4+1+2+1000+1+1</f>
        <v>1066</v>
      </c>
      <c r="N1067" s="1" t="s">
        <v>119</v>
      </c>
      <c r="O1067" s="43" t="s">
        <v>119</v>
      </c>
      <c r="P1067" s="106" t="s">
        <v>119</v>
      </c>
      <c r="Q1067" s="106" t="s">
        <v>119</v>
      </c>
      <c r="R1067" s="106" t="s">
        <v>119</v>
      </c>
      <c r="S1067" s="106" t="s">
        <v>119</v>
      </c>
      <c r="T1067" s="106" t="s">
        <v>119</v>
      </c>
      <c r="U1067" s="106" t="s">
        <v>119</v>
      </c>
      <c r="V1067" t="s">
        <v>119</v>
      </c>
      <c r="W1067" s="11" t="s">
        <v>134</v>
      </c>
      <c r="X1067" s="11" t="s">
        <v>119</v>
      </c>
    </row>
    <row r="1068" spans="1:24" x14ac:dyDescent="0.3">
      <c r="A1068" s="3" t="s">
        <v>191</v>
      </c>
      <c r="B1068" s="2" t="s">
        <v>119</v>
      </c>
      <c r="C1068" s="4" t="s">
        <v>119</v>
      </c>
      <c r="D1068" s="4" t="s">
        <v>119</v>
      </c>
      <c r="E1068" s="1" t="s">
        <v>119</v>
      </c>
      <c r="F1068" s="37">
        <f>1+8+2+1+3+22+2+3+5</f>
        <v>47</v>
      </c>
      <c r="G1068" s="37" t="s">
        <v>119</v>
      </c>
      <c r="H1068" s="28" t="s">
        <v>119</v>
      </c>
      <c r="I1068" s="28">
        <f>3+1+4+1+2+3+1+2+1+1+2+4+1</f>
        <v>26</v>
      </c>
      <c r="J1068" s="28">
        <f>3+2+19+4</f>
        <v>28</v>
      </c>
      <c r="K1068" s="28">
        <v>6</v>
      </c>
      <c r="L1068" s="28" t="s">
        <v>119</v>
      </c>
      <c r="M1068" s="28" t="s">
        <v>119</v>
      </c>
      <c r="N1068" s="1">
        <v>1</v>
      </c>
      <c r="O1068" s="43">
        <v>4</v>
      </c>
      <c r="P1068" s="106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t="s">
        <v>119</v>
      </c>
      <c r="W1068" s="11" t="s">
        <v>134</v>
      </c>
      <c r="X1068" s="11" t="s">
        <v>134</v>
      </c>
    </row>
    <row r="1069" spans="1:24" x14ac:dyDescent="0.3">
      <c r="A1069" s="3" t="s">
        <v>651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 t="s">
        <v>119</v>
      </c>
      <c r="G1069" s="37" t="s">
        <v>119</v>
      </c>
      <c r="H1069" s="28" t="s">
        <v>119</v>
      </c>
      <c r="I1069" s="28" t="s">
        <v>119</v>
      </c>
      <c r="J1069" s="28" t="s">
        <v>119</v>
      </c>
      <c r="K1069" s="28" t="s">
        <v>119</v>
      </c>
      <c r="L1069" s="28" t="s">
        <v>119</v>
      </c>
      <c r="M1069" s="28">
        <v>1</v>
      </c>
      <c r="N1069" s="1" t="s">
        <v>119</v>
      </c>
      <c r="O1069" s="43" t="s">
        <v>119</v>
      </c>
      <c r="P1069" s="106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t="s">
        <v>119</v>
      </c>
      <c r="W1069" s="11" t="s">
        <v>134</v>
      </c>
      <c r="X1069" s="11" t="s">
        <v>134</v>
      </c>
    </row>
    <row r="1070" spans="1:24" x14ac:dyDescent="0.3">
      <c r="A1070" s="3" t="s">
        <v>706</v>
      </c>
      <c r="B1070" s="2" t="s">
        <v>119</v>
      </c>
      <c r="C1070" s="4" t="s">
        <v>119</v>
      </c>
      <c r="D1070" s="4" t="s">
        <v>119</v>
      </c>
      <c r="E1070" s="1" t="s">
        <v>119</v>
      </c>
      <c r="F1070" s="37" t="s">
        <v>119</v>
      </c>
      <c r="G1070" s="37" t="s">
        <v>119</v>
      </c>
      <c r="H1070" s="28">
        <v>1</v>
      </c>
      <c r="I1070" s="28">
        <v>4</v>
      </c>
      <c r="J1070" s="28" t="s">
        <v>119</v>
      </c>
      <c r="K1070" s="28" t="s">
        <v>119</v>
      </c>
      <c r="L1070" s="28" t="s">
        <v>119</v>
      </c>
      <c r="M1070" s="28" t="s">
        <v>119</v>
      </c>
      <c r="N1070" s="1" t="s">
        <v>119</v>
      </c>
      <c r="O1070" s="43">
        <v>14</v>
      </c>
      <c r="P1070" s="106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t="s">
        <v>119</v>
      </c>
      <c r="W1070" s="11" t="s">
        <v>119</v>
      </c>
      <c r="X1070" s="11" t="s">
        <v>134</v>
      </c>
    </row>
    <row r="1071" spans="1:24" x14ac:dyDescent="0.3">
      <c r="A1071" s="3" t="s">
        <v>652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 t="s">
        <v>119</v>
      </c>
      <c r="I1071" s="28" t="s">
        <v>119</v>
      </c>
      <c r="J1071" s="28" t="s">
        <v>119</v>
      </c>
      <c r="K1071" s="28">
        <v>1</v>
      </c>
      <c r="L1071" s="28" t="s">
        <v>119</v>
      </c>
      <c r="M1071" s="28">
        <f>1+2+3+2+2</f>
        <v>10</v>
      </c>
      <c r="N1071" s="1" t="s">
        <v>119</v>
      </c>
      <c r="O1071" s="43" t="s">
        <v>119</v>
      </c>
      <c r="P1071" s="106" t="s">
        <v>119</v>
      </c>
      <c r="Q1071" s="106">
        <v>1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t="s">
        <v>119</v>
      </c>
      <c r="W1071" s="11" t="str">
        <f t="shared" si="16"/>
        <v>X</v>
      </c>
      <c r="X1071" s="11" t="s">
        <v>134</v>
      </c>
    </row>
    <row r="1072" spans="1:24" x14ac:dyDescent="0.3">
      <c r="A1072" s="3" t="s">
        <v>192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 t="s">
        <v>119</v>
      </c>
      <c r="I1072" s="28">
        <v>2</v>
      </c>
      <c r="J1072" s="28">
        <f>1+1+1+1+1</f>
        <v>5</v>
      </c>
      <c r="K1072" s="28">
        <v>1</v>
      </c>
      <c r="L1072" s="28" t="s">
        <v>119</v>
      </c>
      <c r="M1072" s="28">
        <f>2+2+1+1+1</f>
        <v>7</v>
      </c>
      <c r="N1072" s="4" t="s">
        <v>119</v>
      </c>
      <c r="O1072" s="43">
        <v>3</v>
      </c>
      <c r="P1072" s="106" t="s">
        <v>119</v>
      </c>
      <c r="Q1072" s="106" t="s">
        <v>119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t="s">
        <v>119</v>
      </c>
      <c r="W1072" s="11" t="s">
        <v>134</v>
      </c>
      <c r="X1072" s="11" t="s">
        <v>134</v>
      </c>
    </row>
    <row r="1073" spans="1:24" x14ac:dyDescent="0.3">
      <c r="A1073" s="3" t="s">
        <v>1014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8" t="s">
        <v>119</v>
      </c>
      <c r="J1073" s="28" t="s">
        <v>119</v>
      </c>
      <c r="K1073" s="28" t="s">
        <v>119</v>
      </c>
      <c r="L1073" s="28" t="s">
        <v>119</v>
      </c>
      <c r="M1073" s="28" t="s">
        <v>119</v>
      </c>
      <c r="N1073" s="4" t="s">
        <v>119</v>
      </c>
      <c r="O1073" s="43" t="s">
        <v>119</v>
      </c>
      <c r="P1073" s="106" t="s">
        <v>119</v>
      </c>
      <c r="Q1073" s="106" t="s">
        <v>119</v>
      </c>
      <c r="R1073" s="106" t="s">
        <v>119</v>
      </c>
      <c r="S1073" s="106">
        <v>1</v>
      </c>
      <c r="T1073" s="106" t="s">
        <v>119</v>
      </c>
      <c r="U1073" s="106" t="s">
        <v>119</v>
      </c>
      <c r="V1073" t="s">
        <v>119</v>
      </c>
      <c r="W1073" s="11" t="str">
        <f t="shared" si="16"/>
        <v>X</v>
      </c>
      <c r="X1073" s="11" t="s">
        <v>134</v>
      </c>
    </row>
    <row r="1074" spans="1:24" x14ac:dyDescent="0.3">
      <c r="A1074" s="3" t="s">
        <v>653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 t="s">
        <v>119</v>
      </c>
      <c r="I1074" s="28" t="s">
        <v>119</v>
      </c>
      <c r="J1074" s="28" t="s">
        <v>119</v>
      </c>
      <c r="K1074" s="28" t="s">
        <v>119</v>
      </c>
      <c r="L1074" s="28" t="s">
        <v>119</v>
      </c>
      <c r="M1074" s="28" t="s">
        <v>134</v>
      </c>
      <c r="N1074" s="4" t="s">
        <v>119</v>
      </c>
      <c r="O1074" s="43" t="s">
        <v>119</v>
      </c>
      <c r="P1074" s="106" t="s">
        <v>119</v>
      </c>
      <c r="Q1074" s="106" t="s">
        <v>119</v>
      </c>
      <c r="R1074" s="106" t="s">
        <v>119</v>
      </c>
      <c r="S1074" s="106" t="s">
        <v>119</v>
      </c>
      <c r="T1074" s="106" t="s">
        <v>119</v>
      </c>
      <c r="U1074" s="106" t="s">
        <v>119</v>
      </c>
      <c r="V1074" t="s">
        <v>119</v>
      </c>
      <c r="W1074" s="11" t="s">
        <v>134</v>
      </c>
      <c r="X1074" s="11" t="s">
        <v>134</v>
      </c>
    </row>
    <row r="1075" spans="1:24" x14ac:dyDescent="0.3">
      <c r="A1075" s="3" t="s">
        <v>793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8" t="s">
        <v>119</v>
      </c>
      <c r="J1075" s="28" t="s">
        <v>119</v>
      </c>
      <c r="K1075" s="28" t="s">
        <v>119</v>
      </c>
      <c r="L1075" s="28" t="s">
        <v>119</v>
      </c>
      <c r="M1075" s="28" t="s">
        <v>119</v>
      </c>
      <c r="N1075" s="4" t="s">
        <v>119</v>
      </c>
      <c r="O1075" s="43" t="s">
        <v>119</v>
      </c>
      <c r="P1075" s="106" t="s">
        <v>119</v>
      </c>
      <c r="Q1075" s="106" t="s">
        <v>119</v>
      </c>
      <c r="R1075" s="106" t="s">
        <v>119</v>
      </c>
      <c r="S1075" s="106">
        <v>1</v>
      </c>
      <c r="T1075" s="106">
        <v>1</v>
      </c>
      <c r="U1075" s="106" t="s">
        <v>119</v>
      </c>
      <c r="V1075" t="s">
        <v>119</v>
      </c>
      <c r="W1075" s="11" t="str">
        <f t="shared" si="16"/>
        <v>X</v>
      </c>
      <c r="X1075" s="11" t="s">
        <v>134</v>
      </c>
    </row>
    <row r="1076" spans="1:24" x14ac:dyDescent="0.3">
      <c r="A1076" s="3" t="s">
        <v>792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8" t="s">
        <v>119</v>
      </c>
      <c r="J1076" s="28" t="s">
        <v>119</v>
      </c>
      <c r="K1076" s="28" t="s">
        <v>119</v>
      </c>
      <c r="L1076" s="28" t="s">
        <v>119</v>
      </c>
      <c r="M1076" s="28" t="s">
        <v>119</v>
      </c>
      <c r="N1076" s="4" t="s">
        <v>119</v>
      </c>
      <c r="O1076" s="43" t="s">
        <v>119</v>
      </c>
      <c r="P1076" s="106">
        <v>1</v>
      </c>
      <c r="Q1076" s="106" t="s">
        <v>119</v>
      </c>
      <c r="R1076" s="106" t="s">
        <v>119</v>
      </c>
      <c r="S1076" s="106" t="s">
        <v>119</v>
      </c>
      <c r="T1076" s="106" t="s">
        <v>119</v>
      </c>
      <c r="U1076" s="106" t="s">
        <v>119</v>
      </c>
      <c r="V1076" t="s">
        <v>119</v>
      </c>
      <c r="W1076" s="11" t="str">
        <f t="shared" si="16"/>
        <v>X</v>
      </c>
      <c r="X1076" s="11" t="s">
        <v>119</v>
      </c>
    </row>
    <row r="1077" spans="1:24" x14ac:dyDescent="0.3">
      <c r="A1077" s="3" t="s">
        <v>168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>
        <f>1+3+2+2+5+5+3+1</f>
        <v>22</v>
      </c>
      <c r="H1077" s="28">
        <v>8</v>
      </c>
      <c r="I1077" s="28">
        <v>7</v>
      </c>
      <c r="J1077" s="28">
        <v>11</v>
      </c>
      <c r="K1077" s="28">
        <f>1+1+3+5+12+1</f>
        <v>23</v>
      </c>
      <c r="L1077" s="28">
        <v>7</v>
      </c>
      <c r="M1077" s="28">
        <f>8+32+4+7+2+68+174+9+10+28+4+1+8</f>
        <v>355</v>
      </c>
      <c r="N1077" s="4">
        <v>3</v>
      </c>
      <c r="O1077" s="43">
        <v>10</v>
      </c>
      <c r="P1077" s="106" t="s">
        <v>119</v>
      </c>
      <c r="Q1077" s="106" t="s">
        <v>119</v>
      </c>
      <c r="R1077" s="106" t="s">
        <v>119</v>
      </c>
      <c r="S1077" s="106" t="s">
        <v>119</v>
      </c>
      <c r="T1077" s="106">
        <v>1</v>
      </c>
      <c r="U1077" s="106">
        <v>15</v>
      </c>
      <c r="V1077" t="s">
        <v>119</v>
      </c>
      <c r="W1077" s="11" t="str">
        <f t="shared" si="16"/>
        <v>X</v>
      </c>
      <c r="X1077" s="11" t="s">
        <v>134</v>
      </c>
    </row>
    <row r="1078" spans="1:24" x14ac:dyDescent="0.3">
      <c r="A1078" s="3" t="s">
        <v>169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>
        <f>2+1+1</f>
        <v>4</v>
      </c>
      <c r="G1078" s="37">
        <v>1</v>
      </c>
      <c r="H1078" s="28">
        <v>3</v>
      </c>
      <c r="I1078" s="28" t="s">
        <v>119</v>
      </c>
      <c r="J1078" s="28" t="s">
        <v>119</v>
      </c>
      <c r="K1078" s="28" t="s">
        <v>119</v>
      </c>
      <c r="L1078" s="28" t="s">
        <v>119</v>
      </c>
      <c r="M1078" s="28">
        <f>1+1+2+1+1+1</f>
        <v>7</v>
      </c>
      <c r="N1078" s="1">
        <v>1</v>
      </c>
      <c r="O1078" s="43" t="s">
        <v>119</v>
      </c>
      <c r="P1078" s="106" t="s">
        <v>119</v>
      </c>
      <c r="Q1078" s="106" t="s">
        <v>119</v>
      </c>
      <c r="R1078" s="106" t="s">
        <v>119</v>
      </c>
      <c r="S1078" s="106" t="s">
        <v>119</v>
      </c>
      <c r="T1078" s="106" t="s">
        <v>119</v>
      </c>
      <c r="U1078" s="106" t="s">
        <v>119</v>
      </c>
      <c r="V1078" t="s">
        <v>119</v>
      </c>
      <c r="W1078" s="11" t="s">
        <v>134</v>
      </c>
      <c r="X1078" s="11" t="s">
        <v>119</v>
      </c>
    </row>
    <row r="1079" spans="1:24" x14ac:dyDescent="0.3">
      <c r="A1079" s="3" t="s">
        <v>1013</v>
      </c>
      <c r="B1079" s="2" t="s">
        <v>119</v>
      </c>
      <c r="C1079" s="4" t="s">
        <v>119</v>
      </c>
      <c r="D1079" s="4" t="s">
        <v>119</v>
      </c>
      <c r="E1079" s="1" t="s">
        <v>119</v>
      </c>
      <c r="F1079" s="37" t="s">
        <v>119</v>
      </c>
      <c r="G1079" s="37" t="s">
        <v>119</v>
      </c>
      <c r="H1079" s="28" t="s">
        <v>119</v>
      </c>
      <c r="I1079" s="28" t="s">
        <v>119</v>
      </c>
      <c r="J1079" s="28" t="s">
        <v>119</v>
      </c>
      <c r="K1079" s="28" t="s">
        <v>119</v>
      </c>
      <c r="L1079" s="28" t="s">
        <v>119</v>
      </c>
      <c r="M1079" s="28" t="s">
        <v>119</v>
      </c>
      <c r="N1079" s="1" t="s">
        <v>119</v>
      </c>
      <c r="O1079" s="43" t="s">
        <v>119</v>
      </c>
      <c r="P1079" s="106" t="s">
        <v>119</v>
      </c>
      <c r="Q1079" s="106" t="s">
        <v>119</v>
      </c>
      <c r="R1079" s="106" t="s">
        <v>119</v>
      </c>
      <c r="S1079" s="106" t="s">
        <v>119</v>
      </c>
      <c r="T1079" s="106" t="s">
        <v>119</v>
      </c>
      <c r="U1079" s="106">
        <v>9</v>
      </c>
      <c r="V1079" t="s">
        <v>119</v>
      </c>
      <c r="W1079" s="11" t="str">
        <f t="shared" si="16"/>
        <v>X</v>
      </c>
      <c r="X1079" s="11" t="s">
        <v>134</v>
      </c>
    </row>
    <row r="1080" spans="1:24" x14ac:dyDescent="0.3">
      <c r="A1080" s="3" t="s">
        <v>1015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 t="s">
        <v>119</v>
      </c>
      <c r="G1080" s="37" t="s">
        <v>119</v>
      </c>
      <c r="H1080" s="28" t="s">
        <v>119</v>
      </c>
      <c r="I1080" s="28" t="s">
        <v>119</v>
      </c>
      <c r="J1080" s="28" t="s">
        <v>119</v>
      </c>
      <c r="K1080" s="28" t="s">
        <v>119</v>
      </c>
      <c r="L1080" s="28" t="s">
        <v>119</v>
      </c>
      <c r="M1080" s="28" t="s">
        <v>119</v>
      </c>
      <c r="N1080" s="1" t="s">
        <v>119</v>
      </c>
      <c r="O1080" s="43" t="s">
        <v>119</v>
      </c>
      <c r="P1080" s="106" t="s">
        <v>119</v>
      </c>
      <c r="Q1080" s="106" t="s">
        <v>119</v>
      </c>
      <c r="R1080" s="106" t="s">
        <v>119</v>
      </c>
      <c r="S1080" s="106">
        <v>19</v>
      </c>
      <c r="T1080" s="106">
        <v>1</v>
      </c>
      <c r="U1080" s="106">
        <v>10</v>
      </c>
      <c r="V1080" t="s">
        <v>119</v>
      </c>
      <c r="W1080" s="11" t="str">
        <f t="shared" si="16"/>
        <v>X</v>
      </c>
      <c r="X1080" s="11" t="s">
        <v>119</v>
      </c>
    </row>
    <row r="1081" spans="1:24" x14ac:dyDescent="0.3">
      <c r="A1081" s="3" t="s">
        <v>654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134</v>
      </c>
      <c r="N1081" s="1" t="s">
        <v>119</v>
      </c>
      <c r="O1081" s="43" t="s">
        <v>119</v>
      </c>
      <c r="P1081" s="106" t="s">
        <v>119</v>
      </c>
      <c r="Q1081" s="106" t="s">
        <v>119</v>
      </c>
      <c r="R1081" s="106" t="s">
        <v>119</v>
      </c>
      <c r="S1081" s="106" t="s">
        <v>119</v>
      </c>
      <c r="T1081" s="106" t="s">
        <v>119</v>
      </c>
      <c r="U1081" s="106" t="s">
        <v>119</v>
      </c>
      <c r="V1081" t="s">
        <v>119</v>
      </c>
      <c r="W1081" s="11" t="s">
        <v>134</v>
      </c>
      <c r="X1081" s="11" t="s">
        <v>119</v>
      </c>
    </row>
    <row r="1082" spans="1:24" x14ac:dyDescent="0.3">
      <c r="A1082" s="3" t="s">
        <v>1233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>
        <v>4</v>
      </c>
      <c r="K1082" s="28" t="s">
        <v>119</v>
      </c>
      <c r="L1082" s="28" t="s">
        <v>119</v>
      </c>
      <c r="M1082" s="28" t="s">
        <v>119</v>
      </c>
      <c r="N1082" s="1" t="s">
        <v>119</v>
      </c>
      <c r="O1082" s="43" t="s">
        <v>119</v>
      </c>
      <c r="P1082" s="106" t="s">
        <v>119</v>
      </c>
      <c r="Q1082" s="106" t="s">
        <v>119</v>
      </c>
      <c r="R1082" s="106" t="s">
        <v>119</v>
      </c>
      <c r="S1082" s="106" t="s">
        <v>119</v>
      </c>
      <c r="T1082" s="106" t="s">
        <v>119</v>
      </c>
      <c r="U1082" s="106" t="s">
        <v>119</v>
      </c>
      <c r="V1082" t="s">
        <v>134</v>
      </c>
      <c r="W1082" s="11" t="s">
        <v>119</v>
      </c>
      <c r="X1082" s="11" t="s">
        <v>119</v>
      </c>
    </row>
    <row r="1083" spans="1:24" x14ac:dyDescent="0.3">
      <c r="A1083" s="3" t="s">
        <v>170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>
        <v>20</v>
      </c>
      <c r="I1083" s="28" t="s">
        <v>119</v>
      </c>
      <c r="J1083" s="28" t="s">
        <v>119</v>
      </c>
      <c r="K1083" s="28" t="s">
        <v>119</v>
      </c>
      <c r="L1083" s="28" t="s">
        <v>119</v>
      </c>
      <c r="M1083" s="27" t="s">
        <v>119</v>
      </c>
      <c r="N1083" s="1" t="s">
        <v>119</v>
      </c>
      <c r="O1083" s="43" t="s">
        <v>119</v>
      </c>
      <c r="P1083" s="106">
        <v>1</v>
      </c>
      <c r="Q1083" s="106">
        <v>13</v>
      </c>
      <c r="R1083" s="106" t="s">
        <v>119</v>
      </c>
      <c r="S1083" s="106">
        <v>57</v>
      </c>
      <c r="T1083" s="106">
        <v>6</v>
      </c>
      <c r="U1083" s="106" t="s">
        <v>119</v>
      </c>
      <c r="V1083" t="s">
        <v>119</v>
      </c>
      <c r="W1083" s="11" t="str">
        <f t="shared" si="16"/>
        <v>X</v>
      </c>
      <c r="X1083" s="11" t="s">
        <v>134</v>
      </c>
    </row>
    <row r="1084" spans="1:24" x14ac:dyDescent="0.3">
      <c r="A1084" s="3" t="s">
        <v>797</v>
      </c>
      <c r="B1084" s="2" t="s">
        <v>119</v>
      </c>
      <c r="C1084" s="4" t="s">
        <v>119</v>
      </c>
      <c r="D1084" s="4" t="s">
        <v>119</v>
      </c>
      <c r="E1084" s="1" t="s">
        <v>119</v>
      </c>
      <c r="F1084" s="37" t="s">
        <v>119</v>
      </c>
      <c r="G1084" s="37" t="s">
        <v>119</v>
      </c>
      <c r="H1084" s="28" t="s">
        <v>119</v>
      </c>
      <c r="I1084" s="28" t="s">
        <v>119</v>
      </c>
      <c r="J1084" s="28" t="s">
        <v>119</v>
      </c>
      <c r="K1084" s="28" t="s">
        <v>119</v>
      </c>
      <c r="L1084" s="28" t="s">
        <v>119</v>
      </c>
      <c r="M1084" s="27" t="s">
        <v>119</v>
      </c>
      <c r="N1084" s="1" t="s">
        <v>119</v>
      </c>
      <c r="O1084" s="43" t="s">
        <v>119</v>
      </c>
      <c r="P1084" s="106" t="s">
        <v>119</v>
      </c>
      <c r="Q1084" s="106" t="s">
        <v>119</v>
      </c>
      <c r="R1084" s="106" t="s">
        <v>119</v>
      </c>
      <c r="S1084" s="106">
        <f>6+4+11</f>
        <v>21</v>
      </c>
      <c r="T1084" s="106" t="s">
        <v>119</v>
      </c>
      <c r="U1084" s="106">
        <v>1</v>
      </c>
      <c r="V1084" t="s">
        <v>119</v>
      </c>
      <c r="W1084" s="11" t="str">
        <f t="shared" si="16"/>
        <v>X</v>
      </c>
      <c r="X1084" s="11" t="s">
        <v>119</v>
      </c>
    </row>
    <row r="1085" spans="1:24" x14ac:dyDescent="0.3">
      <c r="A1085" s="3" t="s">
        <v>59</v>
      </c>
      <c r="B1085" s="2">
        <v>61</v>
      </c>
      <c r="C1085" s="4">
        <v>4</v>
      </c>
      <c r="D1085" s="4">
        <v>0</v>
      </c>
      <c r="E1085" s="1">
        <v>9</v>
      </c>
      <c r="F1085" s="37" t="s">
        <v>119</v>
      </c>
      <c r="G1085" s="37" t="s">
        <v>119</v>
      </c>
      <c r="H1085" s="27">
        <v>4</v>
      </c>
      <c r="I1085" s="28" t="s">
        <v>119</v>
      </c>
      <c r="J1085" s="28" t="s">
        <v>119</v>
      </c>
      <c r="K1085" s="28" t="s">
        <v>119</v>
      </c>
      <c r="L1085" s="28" t="s">
        <v>119</v>
      </c>
      <c r="M1085" s="27" t="s">
        <v>119</v>
      </c>
      <c r="N1085" s="1" t="s">
        <v>119</v>
      </c>
      <c r="O1085" s="43" t="s">
        <v>119</v>
      </c>
      <c r="P1085" s="106" t="s">
        <v>119</v>
      </c>
      <c r="Q1085" s="106" t="s">
        <v>119</v>
      </c>
      <c r="R1085" s="106" t="s">
        <v>119</v>
      </c>
      <c r="S1085" s="106" t="s">
        <v>119</v>
      </c>
      <c r="T1085" s="106" t="s">
        <v>119</v>
      </c>
      <c r="U1085" s="106" t="s">
        <v>119</v>
      </c>
      <c r="V1085" t="s">
        <v>119</v>
      </c>
      <c r="W1085" s="11" t="s">
        <v>119</v>
      </c>
      <c r="X1085" s="11" t="s">
        <v>134</v>
      </c>
    </row>
    <row r="1086" spans="1:24" x14ac:dyDescent="0.3">
      <c r="A1086" s="3" t="s">
        <v>64</v>
      </c>
      <c r="B1086" s="2">
        <v>88</v>
      </c>
      <c r="C1086" s="4">
        <v>13</v>
      </c>
      <c r="D1086" s="4">
        <v>1</v>
      </c>
      <c r="E1086" s="1">
        <v>1</v>
      </c>
      <c r="F1086" s="37">
        <f>1+7+1</f>
        <v>9</v>
      </c>
      <c r="G1086" s="37" t="s">
        <v>119</v>
      </c>
      <c r="H1086" s="27">
        <v>2</v>
      </c>
      <c r="I1086" s="28" t="s">
        <v>119</v>
      </c>
      <c r="J1086" s="28">
        <v>10</v>
      </c>
      <c r="K1086" s="28">
        <v>12</v>
      </c>
      <c r="L1086" s="28" t="s">
        <v>119</v>
      </c>
      <c r="M1086" s="28">
        <v>1</v>
      </c>
      <c r="N1086" s="1">
        <v>1</v>
      </c>
      <c r="O1086" s="43" t="s">
        <v>119</v>
      </c>
      <c r="P1086" s="106" t="s">
        <v>119</v>
      </c>
      <c r="Q1086" s="106" t="s">
        <v>119</v>
      </c>
      <c r="R1086" s="106" t="s">
        <v>119</v>
      </c>
      <c r="S1086" s="106" t="s">
        <v>119</v>
      </c>
      <c r="T1086" s="106" t="s">
        <v>119</v>
      </c>
      <c r="U1086" s="106" t="s">
        <v>119</v>
      </c>
      <c r="V1086" t="s">
        <v>119</v>
      </c>
      <c r="W1086" s="11" t="s">
        <v>134</v>
      </c>
      <c r="X1086" s="11" t="s">
        <v>134</v>
      </c>
    </row>
    <row r="1087" spans="1:24" s="64" customFormat="1" x14ac:dyDescent="0.3">
      <c r="A1087" s="25" t="s">
        <v>1256</v>
      </c>
      <c r="B1087" s="22">
        <v>6</v>
      </c>
      <c r="C1087" s="23">
        <v>8</v>
      </c>
      <c r="D1087" s="23">
        <v>0</v>
      </c>
      <c r="E1087" s="24">
        <v>2</v>
      </c>
      <c r="F1087" s="37" t="s">
        <v>119</v>
      </c>
      <c r="G1087" s="37" t="s">
        <v>119</v>
      </c>
      <c r="H1087" s="28" t="s">
        <v>119</v>
      </c>
      <c r="I1087" s="28" t="s">
        <v>119</v>
      </c>
      <c r="J1087" s="28" t="s">
        <v>119</v>
      </c>
      <c r="K1087" s="28" t="s">
        <v>119</v>
      </c>
      <c r="L1087" s="28" t="s">
        <v>119</v>
      </c>
      <c r="M1087" s="28" t="s">
        <v>119</v>
      </c>
      <c r="N1087" s="4" t="s">
        <v>119</v>
      </c>
      <c r="O1087" s="43" t="s">
        <v>119</v>
      </c>
      <c r="P1087" s="106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t="s">
        <v>134</v>
      </c>
      <c r="W1087" s="11" t="s">
        <v>119</v>
      </c>
      <c r="X1087" s="88" t="s">
        <v>119</v>
      </c>
    </row>
    <row r="1088" spans="1:24" x14ac:dyDescent="0.3">
      <c r="A1088" s="3" t="s">
        <v>65</v>
      </c>
      <c r="B1088" s="2">
        <v>7</v>
      </c>
      <c r="C1088" s="4">
        <v>1</v>
      </c>
      <c r="D1088" s="4">
        <v>0</v>
      </c>
      <c r="E1088" s="1">
        <v>0</v>
      </c>
      <c r="F1088" s="37" t="s">
        <v>119</v>
      </c>
      <c r="G1088" s="37">
        <v>1</v>
      </c>
      <c r="H1088" s="27">
        <v>1</v>
      </c>
      <c r="I1088" s="28">
        <v>3</v>
      </c>
      <c r="J1088" s="28" t="s">
        <v>119</v>
      </c>
      <c r="K1088" s="29" t="s">
        <v>119</v>
      </c>
      <c r="L1088" s="28" t="s">
        <v>119</v>
      </c>
      <c r="M1088" s="28" t="s">
        <v>134</v>
      </c>
      <c r="N1088" s="1" t="s">
        <v>119</v>
      </c>
      <c r="O1088" s="43" t="s">
        <v>119</v>
      </c>
      <c r="P1088" s="106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t="s">
        <v>119</v>
      </c>
      <c r="W1088" s="11" t="s">
        <v>134</v>
      </c>
      <c r="X1088" s="11" t="s">
        <v>119</v>
      </c>
    </row>
    <row r="1089" spans="1:24" x14ac:dyDescent="0.3">
      <c r="A1089" s="3" t="s">
        <v>66</v>
      </c>
      <c r="B1089" s="2">
        <v>0</v>
      </c>
      <c r="C1089" s="4">
        <v>0</v>
      </c>
      <c r="D1089" s="4">
        <v>0</v>
      </c>
      <c r="E1089" s="1">
        <v>2</v>
      </c>
      <c r="F1089" s="37" t="s">
        <v>119</v>
      </c>
      <c r="G1089" s="37" t="s">
        <v>119</v>
      </c>
      <c r="H1089" s="28" t="s">
        <v>119</v>
      </c>
      <c r="I1089" s="28" t="s">
        <v>119</v>
      </c>
      <c r="J1089" s="28">
        <v>1</v>
      </c>
      <c r="K1089" s="28">
        <v>1</v>
      </c>
      <c r="L1089" s="28" t="s">
        <v>119</v>
      </c>
      <c r="M1089" s="28">
        <v>9</v>
      </c>
      <c r="N1089" s="1" t="s">
        <v>119</v>
      </c>
      <c r="O1089" s="43" t="s">
        <v>119</v>
      </c>
      <c r="P1089" s="106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t="s">
        <v>119</v>
      </c>
      <c r="W1089" s="11" t="s">
        <v>134</v>
      </c>
      <c r="X1089" s="11" t="s">
        <v>134</v>
      </c>
    </row>
    <row r="1090" spans="1:24" x14ac:dyDescent="0.3">
      <c r="A1090" s="3" t="s">
        <v>1210</v>
      </c>
      <c r="B1090" s="2" t="s">
        <v>119</v>
      </c>
      <c r="C1090" s="4" t="s">
        <v>119</v>
      </c>
      <c r="D1090" s="4" t="s">
        <v>119</v>
      </c>
      <c r="E1090" s="1" t="s">
        <v>119</v>
      </c>
      <c r="F1090" s="37" t="s">
        <v>119</v>
      </c>
      <c r="G1090" s="37" t="s">
        <v>119</v>
      </c>
      <c r="H1090" s="28" t="s">
        <v>119</v>
      </c>
      <c r="I1090" s="28" t="s">
        <v>119</v>
      </c>
      <c r="J1090" s="28">
        <v>3</v>
      </c>
      <c r="K1090" s="3" t="s">
        <v>119</v>
      </c>
      <c r="L1090" s="28" t="s">
        <v>119</v>
      </c>
      <c r="M1090" s="28" t="s">
        <v>119</v>
      </c>
      <c r="N1090" s="1" t="s">
        <v>119</v>
      </c>
      <c r="O1090" s="43" t="s">
        <v>119</v>
      </c>
      <c r="P1090" s="106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t="s">
        <v>134</v>
      </c>
      <c r="W1090" s="11" t="s">
        <v>119</v>
      </c>
      <c r="X1090" s="11" t="s">
        <v>119</v>
      </c>
    </row>
    <row r="1091" spans="1:24" x14ac:dyDescent="0.3">
      <c r="A1091" s="8" t="s">
        <v>67</v>
      </c>
      <c r="B1091" s="6">
        <v>3</v>
      </c>
      <c r="C1091" s="10">
        <v>3</v>
      </c>
      <c r="D1091" s="10">
        <v>0</v>
      </c>
      <c r="E1091" s="10">
        <v>0</v>
      </c>
      <c r="F1091" s="37" t="s">
        <v>119</v>
      </c>
      <c r="G1091" s="37" t="s">
        <v>119</v>
      </c>
      <c r="H1091" s="29" t="s">
        <v>119</v>
      </c>
      <c r="I1091" s="29" t="s">
        <v>119</v>
      </c>
      <c r="J1091" s="29" t="s">
        <v>119</v>
      </c>
      <c r="K1091" s="3" t="s">
        <v>119</v>
      </c>
      <c r="L1091" s="28" t="s">
        <v>119</v>
      </c>
      <c r="M1091" s="28" t="s">
        <v>119</v>
      </c>
      <c r="N1091" s="1" t="s">
        <v>119</v>
      </c>
      <c r="O1091" s="43" t="s">
        <v>119</v>
      </c>
      <c r="P1091" s="106" t="s">
        <v>119</v>
      </c>
      <c r="Q1091" s="106" t="s">
        <v>119</v>
      </c>
      <c r="R1091" s="106" t="s">
        <v>119</v>
      </c>
      <c r="S1091" s="106" t="s">
        <v>119</v>
      </c>
      <c r="T1091" s="106" t="s">
        <v>119</v>
      </c>
      <c r="U1091" s="106" t="s">
        <v>119</v>
      </c>
      <c r="V1091" t="s">
        <v>119</v>
      </c>
      <c r="W1091" s="11" t="s">
        <v>119</v>
      </c>
      <c r="X1091" s="11" t="s">
        <v>119</v>
      </c>
    </row>
    <row r="1092" spans="1:24" x14ac:dyDescent="0.3">
      <c r="A1092" s="8" t="s">
        <v>799</v>
      </c>
      <c r="B1092" s="6" t="s">
        <v>119</v>
      </c>
      <c r="C1092" s="10" t="s">
        <v>119</v>
      </c>
      <c r="D1092" s="10" t="s">
        <v>119</v>
      </c>
      <c r="E1092" s="10" t="s">
        <v>119</v>
      </c>
      <c r="F1092" s="37" t="s">
        <v>119</v>
      </c>
      <c r="G1092" s="37" t="s">
        <v>119</v>
      </c>
      <c r="H1092" s="29" t="s">
        <v>119</v>
      </c>
      <c r="I1092" s="29" t="s">
        <v>119</v>
      </c>
      <c r="J1092" s="29" t="s">
        <v>119</v>
      </c>
      <c r="K1092" s="3" t="s">
        <v>119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106">
        <v>1</v>
      </c>
      <c r="Q1092" s="106">
        <v>1</v>
      </c>
      <c r="R1092" s="106">
        <v>2</v>
      </c>
      <c r="S1092" s="106">
        <v>29</v>
      </c>
      <c r="T1092" s="106" t="s">
        <v>119</v>
      </c>
      <c r="U1092" s="106" t="s">
        <v>119</v>
      </c>
      <c r="V1092" t="s">
        <v>119</v>
      </c>
      <c r="W1092" s="11" t="s">
        <v>119</v>
      </c>
      <c r="X1092" s="11" t="s">
        <v>119</v>
      </c>
    </row>
    <row r="1093" spans="1:24" s="11" customFormat="1" x14ac:dyDescent="0.3">
      <c r="A1093" s="13" t="s">
        <v>655</v>
      </c>
      <c r="B1093" s="18" t="s">
        <v>119</v>
      </c>
      <c r="C1093" s="14" t="s">
        <v>119</v>
      </c>
      <c r="D1093" s="14" t="s">
        <v>119</v>
      </c>
      <c r="E1093" s="14" t="s">
        <v>119</v>
      </c>
      <c r="F1093" s="37" t="s">
        <v>119</v>
      </c>
      <c r="G1093" s="37" t="s">
        <v>119</v>
      </c>
      <c r="H1093" s="31" t="s">
        <v>119</v>
      </c>
      <c r="I1093" s="31" t="s">
        <v>119</v>
      </c>
      <c r="J1093" s="31" t="s">
        <v>119</v>
      </c>
      <c r="K1093" s="13" t="s">
        <v>119</v>
      </c>
      <c r="L1093" s="31" t="s">
        <v>119</v>
      </c>
      <c r="M1093" s="31">
        <f>8+1+2+2</f>
        <v>13</v>
      </c>
      <c r="N1093" s="14" t="s">
        <v>119</v>
      </c>
      <c r="O1093" s="43" t="s">
        <v>119</v>
      </c>
      <c r="P1093" s="106" t="s">
        <v>119</v>
      </c>
      <c r="Q1093" s="106" t="s">
        <v>119</v>
      </c>
      <c r="R1093" s="106" t="s">
        <v>119</v>
      </c>
      <c r="S1093" s="106">
        <v>3</v>
      </c>
      <c r="T1093" s="106" t="s">
        <v>119</v>
      </c>
      <c r="U1093" s="106" t="s">
        <v>119</v>
      </c>
      <c r="V1093" t="s">
        <v>119</v>
      </c>
      <c r="W1093" s="11" t="str">
        <f t="shared" si="16"/>
        <v>X</v>
      </c>
      <c r="X1093" s="11" t="s">
        <v>119</v>
      </c>
    </row>
    <row r="1094" spans="1:24" x14ac:dyDescent="0.3">
      <c r="A1094" s="3" t="s">
        <v>63</v>
      </c>
      <c r="B1094" s="2">
        <v>7</v>
      </c>
      <c r="C1094" s="4">
        <v>0</v>
      </c>
      <c r="D1094" s="4">
        <v>1</v>
      </c>
      <c r="E1094" s="1">
        <v>1</v>
      </c>
      <c r="F1094" s="37" t="s">
        <v>119</v>
      </c>
      <c r="G1094" s="37" t="s">
        <v>119</v>
      </c>
      <c r="H1094" s="28" t="s">
        <v>119</v>
      </c>
      <c r="I1094" s="28" t="s">
        <v>119</v>
      </c>
      <c r="J1094" s="28" t="s">
        <v>119</v>
      </c>
      <c r="K1094" s="3" t="s">
        <v>119</v>
      </c>
      <c r="L1094" s="28" t="s">
        <v>119</v>
      </c>
      <c r="M1094" s="28" t="s">
        <v>119</v>
      </c>
      <c r="N1094" s="1" t="s">
        <v>119</v>
      </c>
      <c r="O1094" s="43" t="s">
        <v>119</v>
      </c>
      <c r="P1094" s="106" t="s">
        <v>119</v>
      </c>
      <c r="Q1094" s="106" t="s">
        <v>119</v>
      </c>
      <c r="R1094" s="106" t="s">
        <v>119</v>
      </c>
      <c r="S1094" s="106" t="s">
        <v>119</v>
      </c>
      <c r="T1094" s="106" t="s">
        <v>119</v>
      </c>
      <c r="U1094" s="106" t="s">
        <v>119</v>
      </c>
      <c r="V1094" t="s">
        <v>119</v>
      </c>
      <c r="W1094" s="11" t="s">
        <v>1274</v>
      </c>
      <c r="X1094" s="11" t="s">
        <v>1274</v>
      </c>
    </row>
    <row r="1095" spans="1:24" s="64" customFormat="1" x14ac:dyDescent="0.3">
      <c r="A1095" s="25" t="s">
        <v>1257</v>
      </c>
      <c r="B1095" s="22">
        <v>34</v>
      </c>
      <c r="C1095" s="23">
        <v>24</v>
      </c>
      <c r="D1095" s="23">
        <v>10</v>
      </c>
      <c r="E1095" s="24">
        <v>12</v>
      </c>
      <c r="F1095" s="37" t="s">
        <v>119</v>
      </c>
      <c r="G1095" s="37" t="s">
        <v>119</v>
      </c>
      <c r="H1095" s="28" t="s">
        <v>119</v>
      </c>
      <c r="I1095" s="28" t="s">
        <v>119</v>
      </c>
      <c r="J1095" s="28" t="s">
        <v>119</v>
      </c>
      <c r="K1095" s="28" t="s">
        <v>119</v>
      </c>
      <c r="L1095" s="28" t="s">
        <v>119</v>
      </c>
      <c r="M1095" s="28" t="s">
        <v>119</v>
      </c>
      <c r="N1095" s="4" t="s">
        <v>119</v>
      </c>
      <c r="O1095" s="43" t="s">
        <v>119</v>
      </c>
      <c r="P1095" s="106" t="s">
        <v>119</v>
      </c>
      <c r="Q1095" s="106" t="s">
        <v>119</v>
      </c>
      <c r="R1095" s="106" t="s">
        <v>119</v>
      </c>
      <c r="S1095" s="106" t="s">
        <v>119</v>
      </c>
      <c r="T1095" s="106" t="s">
        <v>119</v>
      </c>
      <c r="U1095" s="106" t="s">
        <v>119</v>
      </c>
      <c r="V1095" t="s">
        <v>134</v>
      </c>
      <c r="W1095" s="11" t="s">
        <v>119</v>
      </c>
      <c r="X1095" s="88" t="s">
        <v>119</v>
      </c>
    </row>
    <row r="1096" spans="1:24" x14ac:dyDescent="0.3">
      <c r="A1096" s="3" t="s">
        <v>171</v>
      </c>
      <c r="B1096" s="2" t="s">
        <v>119</v>
      </c>
      <c r="C1096" s="4" t="s">
        <v>119</v>
      </c>
      <c r="D1096" s="4" t="s">
        <v>119</v>
      </c>
      <c r="E1096" s="1" t="s">
        <v>119</v>
      </c>
      <c r="F1096" s="37" t="s">
        <v>119</v>
      </c>
      <c r="G1096" s="37">
        <v>3</v>
      </c>
      <c r="H1096" s="28">
        <v>11</v>
      </c>
      <c r="I1096" s="28" t="s">
        <v>119</v>
      </c>
      <c r="J1096" s="28">
        <v>1</v>
      </c>
      <c r="K1096" s="28" t="s">
        <v>119</v>
      </c>
      <c r="L1096" s="28" t="s">
        <v>119</v>
      </c>
      <c r="M1096" s="28">
        <f>20+4+1+15+8+5</f>
        <v>53</v>
      </c>
      <c r="N1096" s="1" t="s">
        <v>119</v>
      </c>
      <c r="O1096" s="43" t="s">
        <v>119</v>
      </c>
      <c r="P1096" s="106" t="s">
        <v>119</v>
      </c>
      <c r="Q1096" s="106">
        <v>13</v>
      </c>
      <c r="R1096" s="106" t="s">
        <v>119</v>
      </c>
      <c r="S1096" s="106">
        <v>13</v>
      </c>
      <c r="T1096" s="106" t="s">
        <v>119</v>
      </c>
      <c r="U1096" s="106" t="s">
        <v>119</v>
      </c>
      <c r="V1096" t="s">
        <v>119</v>
      </c>
      <c r="W1096" s="11" t="s">
        <v>134</v>
      </c>
      <c r="X1096" s="11" t="s">
        <v>134</v>
      </c>
    </row>
    <row r="1097" spans="1:24" x14ac:dyDescent="0.3">
      <c r="A1097" s="3" t="s">
        <v>62</v>
      </c>
      <c r="B1097" s="2">
        <v>1</v>
      </c>
      <c r="C1097" s="4">
        <v>0</v>
      </c>
      <c r="D1097" s="4">
        <v>0</v>
      </c>
      <c r="E1097" s="1">
        <v>2</v>
      </c>
      <c r="F1097" s="37" t="s">
        <v>119</v>
      </c>
      <c r="G1097" s="37" t="s">
        <v>119</v>
      </c>
      <c r="H1097" s="28" t="s">
        <v>119</v>
      </c>
      <c r="I1097" s="28" t="s">
        <v>119</v>
      </c>
      <c r="J1097" s="28" t="s">
        <v>119</v>
      </c>
      <c r="K1097" s="28" t="s">
        <v>119</v>
      </c>
      <c r="L1097" s="28" t="s">
        <v>119</v>
      </c>
      <c r="M1097" s="28" t="s">
        <v>119</v>
      </c>
      <c r="N1097" s="1" t="s">
        <v>119</v>
      </c>
      <c r="O1097" s="43" t="s">
        <v>119</v>
      </c>
      <c r="P1097" s="106" t="s">
        <v>119</v>
      </c>
      <c r="Q1097" s="106" t="s">
        <v>119</v>
      </c>
      <c r="R1097" s="106" t="s">
        <v>119</v>
      </c>
      <c r="S1097" s="106" t="s">
        <v>119</v>
      </c>
      <c r="T1097" s="106" t="s">
        <v>119</v>
      </c>
      <c r="U1097" s="106" t="s">
        <v>119</v>
      </c>
      <c r="V1097" t="s">
        <v>119</v>
      </c>
      <c r="W1097" s="11" t="s">
        <v>119</v>
      </c>
      <c r="X1097" s="11" t="s">
        <v>134</v>
      </c>
    </row>
    <row r="1098" spans="1:24" x14ac:dyDescent="0.3">
      <c r="A1098" s="3" t="s">
        <v>794</v>
      </c>
      <c r="B1098" s="2" t="s">
        <v>119</v>
      </c>
      <c r="C1098" s="4" t="s">
        <v>119</v>
      </c>
      <c r="D1098" s="4" t="s">
        <v>119</v>
      </c>
      <c r="E1098" s="1" t="s">
        <v>119</v>
      </c>
      <c r="F1098" s="37" t="s">
        <v>119</v>
      </c>
      <c r="G1098" s="37" t="s">
        <v>119</v>
      </c>
      <c r="H1098" s="28" t="s">
        <v>119</v>
      </c>
      <c r="I1098" s="28" t="s">
        <v>119</v>
      </c>
      <c r="J1098" s="28" t="s">
        <v>119</v>
      </c>
      <c r="K1098" s="28" t="s">
        <v>119</v>
      </c>
      <c r="L1098" s="28" t="s">
        <v>119</v>
      </c>
      <c r="M1098" s="28" t="s">
        <v>119</v>
      </c>
      <c r="N1098" s="1" t="s">
        <v>119</v>
      </c>
      <c r="O1098" s="43" t="s">
        <v>119</v>
      </c>
      <c r="P1098" s="106" t="s">
        <v>119</v>
      </c>
      <c r="Q1098" s="106" t="s">
        <v>119</v>
      </c>
      <c r="R1098" s="106" t="s">
        <v>119</v>
      </c>
      <c r="S1098" s="106">
        <v>1</v>
      </c>
      <c r="T1098" s="106" t="s">
        <v>119</v>
      </c>
      <c r="U1098" s="106" t="s">
        <v>119</v>
      </c>
      <c r="V1098" t="s">
        <v>119</v>
      </c>
      <c r="W1098" s="11" t="str">
        <f t="shared" si="16"/>
        <v>X</v>
      </c>
      <c r="X1098" s="11" t="s">
        <v>119</v>
      </c>
    </row>
    <row r="1099" spans="1:24" x14ac:dyDescent="0.3">
      <c r="A1099" s="3" t="s">
        <v>747</v>
      </c>
      <c r="B1099" s="2" t="s">
        <v>119</v>
      </c>
      <c r="C1099" s="4" t="s">
        <v>119</v>
      </c>
      <c r="D1099" s="4" t="s">
        <v>119</v>
      </c>
      <c r="E1099" s="1" t="s">
        <v>119</v>
      </c>
      <c r="F1099" s="37" t="s">
        <v>119</v>
      </c>
      <c r="G1099" s="37" t="s">
        <v>119</v>
      </c>
      <c r="H1099" s="28" t="s">
        <v>119</v>
      </c>
      <c r="I1099" s="28">
        <v>2</v>
      </c>
      <c r="J1099" s="28" t="s">
        <v>119</v>
      </c>
      <c r="K1099" s="28" t="s">
        <v>119</v>
      </c>
      <c r="L1099" s="28" t="s">
        <v>119</v>
      </c>
      <c r="M1099" s="28" t="s">
        <v>119</v>
      </c>
      <c r="N1099" s="1" t="s">
        <v>119</v>
      </c>
      <c r="O1099" s="43" t="s">
        <v>119</v>
      </c>
      <c r="P1099" s="106" t="s">
        <v>119</v>
      </c>
      <c r="Q1099" s="106" t="s">
        <v>119</v>
      </c>
      <c r="R1099" s="106" t="s">
        <v>119</v>
      </c>
      <c r="S1099" s="106" t="s">
        <v>119</v>
      </c>
      <c r="T1099" s="106" t="s">
        <v>119</v>
      </c>
      <c r="U1099" s="106" t="s">
        <v>119</v>
      </c>
      <c r="V1099" t="s">
        <v>119</v>
      </c>
      <c r="W1099" s="11" t="s">
        <v>134</v>
      </c>
      <c r="X1099" s="11" t="s">
        <v>134</v>
      </c>
    </row>
    <row r="1100" spans="1:24" x14ac:dyDescent="0.3">
      <c r="A1100" s="3" t="s">
        <v>50</v>
      </c>
      <c r="B1100" s="2">
        <v>0</v>
      </c>
      <c r="C1100" s="4">
        <v>0</v>
      </c>
      <c r="D1100" s="4">
        <v>0</v>
      </c>
      <c r="E1100" s="1">
        <v>5</v>
      </c>
      <c r="F1100" s="37" t="s">
        <v>119</v>
      </c>
      <c r="G1100" s="37" t="s">
        <v>119</v>
      </c>
      <c r="H1100" s="28" t="s">
        <v>119</v>
      </c>
      <c r="I1100" s="28">
        <v>3</v>
      </c>
      <c r="J1100" s="28" t="s">
        <v>119</v>
      </c>
      <c r="K1100" s="28" t="s">
        <v>119</v>
      </c>
      <c r="L1100" s="28" t="s">
        <v>119</v>
      </c>
      <c r="M1100" s="28" t="s">
        <v>134</v>
      </c>
      <c r="N1100" s="1" t="s">
        <v>119</v>
      </c>
      <c r="O1100" s="43" t="s">
        <v>119</v>
      </c>
      <c r="P1100" s="106" t="s">
        <v>119</v>
      </c>
      <c r="Q1100" s="106" t="s">
        <v>119</v>
      </c>
      <c r="R1100" s="106" t="s">
        <v>119</v>
      </c>
      <c r="S1100" s="106" t="s">
        <v>119</v>
      </c>
      <c r="T1100" s="106" t="s">
        <v>119</v>
      </c>
      <c r="U1100" s="106" t="s">
        <v>119</v>
      </c>
      <c r="V1100" t="s">
        <v>119</v>
      </c>
      <c r="W1100" s="11" t="s">
        <v>119</v>
      </c>
      <c r="X1100" s="11" t="s">
        <v>119</v>
      </c>
    </row>
    <row r="1101" spans="1:24" s="74" customFormat="1" x14ac:dyDescent="0.3">
      <c r="A1101" s="3" t="s">
        <v>49</v>
      </c>
      <c r="B1101" s="2">
        <v>0</v>
      </c>
      <c r="C1101" s="4">
        <v>0</v>
      </c>
      <c r="D1101" s="4">
        <v>0</v>
      </c>
      <c r="E1101" s="1">
        <v>13</v>
      </c>
      <c r="F1101" s="37" t="s">
        <v>119</v>
      </c>
      <c r="G1101" s="37" t="s">
        <v>119</v>
      </c>
      <c r="H1101" s="28" t="s">
        <v>119</v>
      </c>
      <c r="I1101" s="28">
        <v>1</v>
      </c>
      <c r="J1101" s="28" t="s">
        <v>119</v>
      </c>
      <c r="K1101" s="28" t="s">
        <v>119</v>
      </c>
      <c r="L1101" s="28" t="s">
        <v>119</v>
      </c>
      <c r="M1101" s="28" t="s">
        <v>134</v>
      </c>
      <c r="N1101" s="25" t="s">
        <v>119</v>
      </c>
      <c r="O1101" s="43" t="s">
        <v>119</v>
      </c>
      <c r="P1101" s="106" t="s">
        <v>119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t="s">
        <v>119</v>
      </c>
      <c r="W1101" s="11" t="s">
        <v>119</v>
      </c>
      <c r="X1101" s="11" t="s">
        <v>134</v>
      </c>
    </row>
    <row r="1102" spans="1:24" s="74" customFormat="1" x14ac:dyDescent="0.3">
      <c r="A1102" s="3" t="s">
        <v>656</v>
      </c>
      <c r="B1102" s="2" t="s">
        <v>119</v>
      </c>
      <c r="C1102" s="4" t="s">
        <v>119</v>
      </c>
      <c r="D1102" s="4" t="s">
        <v>119</v>
      </c>
      <c r="E1102" s="1" t="s">
        <v>119</v>
      </c>
      <c r="F1102" s="37" t="s">
        <v>119</v>
      </c>
      <c r="G1102" s="37" t="s">
        <v>119</v>
      </c>
      <c r="H1102" s="28" t="s">
        <v>119</v>
      </c>
      <c r="I1102" s="28" t="s">
        <v>119</v>
      </c>
      <c r="J1102" s="28">
        <v>2</v>
      </c>
      <c r="K1102" s="28" t="s">
        <v>119</v>
      </c>
      <c r="L1102" s="28" t="s">
        <v>119</v>
      </c>
      <c r="M1102" s="28" t="s">
        <v>134</v>
      </c>
      <c r="N1102" s="25" t="s">
        <v>119</v>
      </c>
      <c r="O1102" s="43" t="s">
        <v>119</v>
      </c>
      <c r="P1102" s="106" t="s">
        <v>119</v>
      </c>
      <c r="Q1102" s="106" t="s">
        <v>119</v>
      </c>
      <c r="R1102" s="106" t="s">
        <v>119</v>
      </c>
      <c r="S1102" s="106" t="s">
        <v>119</v>
      </c>
      <c r="T1102" s="106" t="s">
        <v>119</v>
      </c>
      <c r="U1102" s="106" t="s">
        <v>119</v>
      </c>
      <c r="V1102" t="s">
        <v>119</v>
      </c>
      <c r="W1102" s="11" t="s">
        <v>134</v>
      </c>
      <c r="X1102" s="11" t="s">
        <v>134</v>
      </c>
    </row>
    <row r="1103" spans="1:24" s="74" customFormat="1" x14ac:dyDescent="0.3">
      <c r="A1103" s="3" t="s">
        <v>657</v>
      </c>
      <c r="B1103" s="2" t="s">
        <v>119</v>
      </c>
      <c r="C1103" s="4" t="s">
        <v>119</v>
      </c>
      <c r="D1103" s="4" t="s">
        <v>119</v>
      </c>
      <c r="E1103" s="1" t="s">
        <v>119</v>
      </c>
      <c r="F1103" s="37" t="s">
        <v>119</v>
      </c>
      <c r="G1103" s="37" t="s">
        <v>119</v>
      </c>
      <c r="H1103" s="28" t="s">
        <v>119</v>
      </c>
      <c r="I1103" s="28" t="s">
        <v>119</v>
      </c>
      <c r="J1103" s="28" t="s">
        <v>119</v>
      </c>
      <c r="K1103" s="28" t="s">
        <v>119</v>
      </c>
      <c r="L1103" s="28" t="s">
        <v>119</v>
      </c>
      <c r="M1103" s="28" t="s">
        <v>134</v>
      </c>
      <c r="N1103" s="25" t="s">
        <v>119</v>
      </c>
      <c r="O1103" s="43" t="s">
        <v>119</v>
      </c>
      <c r="P1103" s="106" t="s">
        <v>119</v>
      </c>
      <c r="Q1103" s="106" t="s">
        <v>119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t="s">
        <v>119</v>
      </c>
      <c r="W1103" s="11" t="s">
        <v>134</v>
      </c>
      <c r="X1103" s="11" t="s">
        <v>119</v>
      </c>
    </row>
    <row r="1104" spans="1:24" s="74" customFormat="1" x14ac:dyDescent="0.3">
      <c r="A1104" s="3" t="s">
        <v>658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 t="s">
        <v>119</v>
      </c>
      <c r="H1104" s="28" t="s">
        <v>119</v>
      </c>
      <c r="I1104" s="28" t="s">
        <v>119</v>
      </c>
      <c r="J1104" s="28" t="s">
        <v>119</v>
      </c>
      <c r="K1104" s="28" t="s">
        <v>119</v>
      </c>
      <c r="L1104" s="28" t="s">
        <v>119</v>
      </c>
      <c r="M1104" s="28" t="s">
        <v>134</v>
      </c>
      <c r="N1104" s="25" t="s">
        <v>119</v>
      </c>
      <c r="O1104" s="43" t="s">
        <v>119</v>
      </c>
      <c r="P1104" s="106" t="s">
        <v>119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 t="s">
        <v>119</v>
      </c>
      <c r="V1104" t="s">
        <v>119</v>
      </c>
      <c r="W1104" s="11" t="s">
        <v>134</v>
      </c>
      <c r="X1104" s="11" t="s">
        <v>134</v>
      </c>
    </row>
    <row r="1105" spans="1:24" s="74" customFormat="1" x14ac:dyDescent="0.3">
      <c r="A1105" s="3" t="s">
        <v>659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 t="s">
        <v>119</v>
      </c>
      <c r="G1105" s="37" t="s">
        <v>119</v>
      </c>
      <c r="H1105" s="28" t="s">
        <v>119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 t="s">
        <v>134</v>
      </c>
      <c r="N1105" s="25" t="s">
        <v>119</v>
      </c>
      <c r="O1105" s="43" t="s">
        <v>119</v>
      </c>
      <c r="P1105" s="106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t="s">
        <v>119</v>
      </c>
      <c r="W1105" s="11" t="s">
        <v>134</v>
      </c>
      <c r="X1105" s="11" t="s">
        <v>134</v>
      </c>
    </row>
    <row r="1106" spans="1:24" s="74" customFormat="1" x14ac:dyDescent="0.3">
      <c r="A1106" s="3" t="s">
        <v>660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>
        <v>2</v>
      </c>
      <c r="N1106" s="25">
        <v>1</v>
      </c>
      <c r="O1106" s="43" t="s">
        <v>119</v>
      </c>
      <c r="P1106" s="106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t="s">
        <v>119</v>
      </c>
      <c r="W1106" s="11" t="s">
        <v>134</v>
      </c>
      <c r="X1106" s="11" t="s">
        <v>134</v>
      </c>
    </row>
    <row r="1107" spans="1:24" s="74" customFormat="1" x14ac:dyDescent="0.3">
      <c r="A1107" s="3" t="s">
        <v>661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 t="s">
        <v>134</v>
      </c>
      <c r="N1107" s="25" t="s">
        <v>119</v>
      </c>
      <c r="O1107" s="43" t="s">
        <v>119</v>
      </c>
      <c r="P1107" s="106" t="s">
        <v>119</v>
      </c>
      <c r="Q1107" s="106" t="s">
        <v>119</v>
      </c>
      <c r="R1107" s="106" t="s">
        <v>119</v>
      </c>
      <c r="S1107" s="106" t="s">
        <v>119</v>
      </c>
      <c r="T1107" s="106" t="s">
        <v>119</v>
      </c>
      <c r="U1107" s="106" t="s">
        <v>119</v>
      </c>
      <c r="V1107" t="s">
        <v>119</v>
      </c>
      <c r="W1107" s="11" t="s">
        <v>134</v>
      </c>
      <c r="X1107" s="11" t="s">
        <v>134</v>
      </c>
    </row>
    <row r="1108" spans="1:24" s="74" customFormat="1" x14ac:dyDescent="0.3">
      <c r="A1108" s="3" t="s">
        <v>707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>
        <v>1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 t="s">
        <v>119</v>
      </c>
      <c r="N1108" s="25" t="s">
        <v>119</v>
      </c>
      <c r="O1108" s="43" t="s">
        <v>119</v>
      </c>
      <c r="P1108" s="106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t="s">
        <v>119</v>
      </c>
      <c r="W1108" s="11" t="s">
        <v>134</v>
      </c>
      <c r="X1108" s="11" t="s">
        <v>134</v>
      </c>
    </row>
    <row r="1109" spans="1:24" s="5" customFormat="1" x14ac:dyDescent="0.3">
      <c r="A1109" s="8" t="s">
        <v>1007</v>
      </c>
      <c r="B1109" s="6" t="s">
        <v>119</v>
      </c>
      <c r="C1109" s="7" t="s">
        <v>119</v>
      </c>
      <c r="D1109" s="7" t="s">
        <v>119</v>
      </c>
      <c r="E1109" s="10" t="s">
        <v>119</v>
      </c>
      <c r="F1109" s="29" t="s">
        <v>119</v>
      </c>
      <c r="G1109" s="29" t="s">
        <v>119</v>
      </c>
      <c r="H1109" s="29" t="s">
        <v>119</v>
      </c>
      <c r="I1109" s="29" t="s">
        <v>119</v>
      </c>
      <c r="J1109" s="29" t="s">
        <v>119</v>
      </c>
      <c r="K1109" s="29" t="s">
        <v>119</v>
      </c>
      <c r="L1109" s="29" t="s">
        <v>119</v>
      </c>
      <c r="M1109" s="29" t="s">
        <v>119</v>
      </c>
      <c r="N1109" s="10" t="s">
        <v>119</v>
      </c>
      <c r="O1109" s="43" t="s">
        <v>119</v>
      </c>
      <c r="P1109" s="107" t="s">
        <v>119</v>
      </c>
      <c r="Q1109" s="107" t="s">
        <v>119</v>
      </c>
      <c r="R1109" s="107" t="s">
        <v>119</v>
      </c>
      <c r="S1109" s="107">
        <v>4</v>
      </c>
      <c r="T1109" s="107" t="s">
        <v>119</v>
      </c>
      <c r="U1109" s="107" t="s">
        <v>119</v>
      </c>
      <c r="V1109" t="s">
        <v>119</v>
      </c>
      <c r="W1109" s="11" t="str">
        <f t="shared" ref="W1109:W1122" si="17">IF(SUM(P1109:U1109)&gt;=1,"X","")</f>
        <v>X</v>
      </c>
      <c r="X1109" s="11" t="s">
        <v>119</v>
      </c>
    </row>
    <row r="1110" spans="1:24" x14ac:dyDescent="0.3">
      <c r="A1110" s="3" t="s">
        <v>172</v>
      </c>
      <c r="B1110" s="2" t="s">
        <v>119</v>
      </c>
      <c r="C1110" s="4" t="s">
        <v>119</v>
      </c>
      <c r="D1110" s="4" t="s">
        <v>119</v>
      </c>
      <c r="E1110" s="1" t="s">
        <v>119</v>
      </c>
      <c r="F1110" s="37" t="s">
        <v>119</v>
      </c>
      <c r="G1110" s="37" t="s">
        <v>119</v>
      </c>
      <c r="H1110" s="27">
        <v>10</v>
      </c>
      <c r="I1110" s="28" t="s">
        <v>119</v>
      </c>
      <c r="J1110" s="28" t="s">
        <v>119</v>
      </c>
      <c r="K1110" s="28" t="s">
        <v>119</v>
      </c>
      <c r="L1110" s="28">
        <v>7</v>
      </c>
      <c r="M1110" s="28" t="s">
        <v>119</v>
      </c>
      <c r="N1110" s="1" t="s">
        <v>119</v>
      </c>
      <c r="O1110" s="43">
        <f>1+1+3+4+3+1+1+2+3</f>
        <v>19</v>
      </c>
      <c r="P1110" s="106" t="s">
        <v>119</v>
      </c>
      <c r="Q1110" s="106" t="s">
        <v>119</v>
      </c>
      <c r="R1110" s="106" t="s">
        <v>119</v>
      </c>
      <c r="S1110" s="106" t="s">
        <v>119</v>
      </c>
      <c r="T1110" s="106" t="s">
        <v>119</v>
      </c>
      <c r="U1110" s="106" t="s">
        <v>119</v>
      </c>
      <c r="V1110" t="s">
        <v>119</v>
      </c>
      <c r="W1110" s="11" t="s">
        <v>119</v>
      </c>
      <c r="X1110" s="11" t="s">
        <v>119</v>
      </c>
    </row>
    <row r="1111" spans="1:24" x14ac:dyDescent="0.3">
      <c r="A1111" s="3" t="s">
        <v>42</v>
      </c>
      <c r="B1111" s="2">
        <f>8+17+13+9+7+26+1</f>
        <v>81</v>
      </c>
      <c r="C1111" s="4">
        <v>10</v>
      </c>
      <c r="D1111" s="4">
        <v>1</v>
      </c>
      <c r="E1111" s="1">
        <v>2</v>
      </c>
      <c r="F1111" s="37" t="s">
        <v>119</v>
      </c>
      <c r="G1111" s="37" t="s">
        <v>119</v>
      </c>
      <c r="H1111" s="28" t="s">
        <v>119</v>
      </c>
      <c r="I1111" s="28" t="s">
        <v>119</v>
      </c>
      <c r="J1111" s="28" t="s">
        <v>119</v>
      </c>
      <c r="K1111" s="28" t="s">
        <v>119</v>
      </c>
      <c r="L1111" s="28" t="s">
        <v>119</v>
      </c>
      <c r="M1111" s="28" t="s">
        <v>119</v>
      </c>
      <c r="N1111" s="1" t="s">
        <v>119</v>
      </c>
      <c r="O1111" s="43" t="s">
        <v>119</v>
      </c>
      <c r="P1111" s="106" t="s">
        <v>119</v>
      </c>
      <c r="Q1111" s="106" t="s">
        <v>119</v>
      </c>
      <c r="R1111" s="106" t="s">
        <v>119</v>
      </c>
      <c r="S1111" s="106" t="s">
        <v>119</v>
      </c>
      <c r="T1111" s="106" t="s">
        <v>119</v>
      </c>
      <c r="U1111" s="106" t="s">
        <v>119</v>
      </c>
      <c r="V1111" t="s">
        <v>119</v>
      </c>
      <c r="W1111" s="11" t="s">
        <v>119</v>
      </c>
      <c r="X1111" s="11" t="s">
        <v>134</v>
      </c>
    </row>
    <row r="1112" spans="1:24" x14ac:dyDescent="0.3">
      <c r="A1112" s="3" t="s">
        <v>1211</v>
      </c>
      <c r="B1112" s="2" t="s">
        <v>119</v>
      </c>
      <c r="C1112" s="4" t="s">
        <v>119</v>
      </c>
      <c r="D1112" s="4" t="s">
        <v>119</v>
      </c>
      <c r="E1112" s="1" t="s">
        <v>119</v>
      </c>
      <c r="F1112" s="37" t="s">
        <v>119</v>
      </c>
      <c r="G1112" s="37" t="s">
        <v>119</v>
      </c>
      <c r="H1112" s="28" t="s">
        <v>119</v>
      </c>
      <c r="I1112" s="28" t="s">
        <v>119</v>
      </c>
      <c r="J1112" s="28">
        <v>4</v>
      </c>
      <c r="K1112" s="28" t="s">
        <v>119</v>
      </c>
      <c r="L1112" s="28" t="s">
        <v>119</v>
      </c>
      <c r="M1112" s="28" t="s">
        <v>119</v>
      </c>
      <c r="N1112" s="1" t="s">
        <v>119</v>
      </c>
      <c r="O1112" s="43" t="s">
        <v>119</v>
      </c>
      <c r="P1112" s="106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t="s">
        <v>134</v>
      </c>
      <c r="W1112" s="11" t="s">
        <v>119</v>
      </c>
      <c r="X1112" s="11" t="s">
        <v>119</v>
      </c>
    </row>
    <row r="1113" spans="1:24" x14ac:dyDescent="0.3">
      <c r="A1113" s="3" t="s">
        <v>779</v>
      </c>
      <c r="B1113" s="2" t="s">
        <v>119</v>
      </c>
      <c r="C1113" s="4" t="s">
        <v>119</v>
      </c>
      <c r="D1113" s="4" t="s">
        <v>119</v>
      </c>
      <c r="E1113" s="1" t="s">
        <v>119</v>
      </c>
      <c r="F1113" s="37" t="s">
        <v>119</v>
      </c>
      <c r="G1113" s="37" t="s">
        <v>119</v>
      </c>
      <c r="H1113" s="28" t="s">
        <v>119</v>
      </c>
      <c r="I1113" s="28" t="s">
        <v>119</v>
      </c>
      <c r="J1113" s="28" t="s">
        <v>119</v>
      </c>
      <c r="K1113" s="28" t="s">
        <v>119</v>
      </c>
      <c r="L1113" s="28" t="s">
        <v>119</v>
      </c>
      <c r="M1113" s="28" t="s">
        <v>119</v>
      </c>
      <c r="N1113" s="1" t="s">
        <v>119</v>
      </c>
      <c r="O1113" s="43" t="s">
        <v>119</v>
      </c>
      <c r="P1113" s="106" t="s">
        <v>119</v>
      </c>
      <c r="Q1113" s="106">
        <v>3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t="s">
        <v>119</v>
      </c>
      <c r="W1113" s="11" t="str">
        <f t="shared" si="17"/>
        <v>X</v>
      </c>
      <c r="X1113" s="11" t="s">
        <v>119</v>
      </c>
    </row>
    <row r="1114" spans="1:24" x14ac:dyDescent="0.3">
      <c r="A1114" s="3" t="s">
        <v>1234</v>
      </c>
      <c r="B1114" s="2" t="s">
        <v>119</v>
      </c>
      <c r="C1114" s="4" t="s">
        <v>119</v>
      </c>
      <c r="D1114" s="4" t="s">
        <v>119</v>
      </c>
      <c r="E1114" s="1" t="s">
        <v>119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>
        <f>1+1+1+1+3</f>
        <v>7</v>
      </c>
      <c r="K1114" s="28" t="s">
        <v>119</v>
      </c>
      <c r="L1114" s="28" t="s">
        <v>119</v>
      </c>
      <c r="M1114" s="28" t="s">
        <v>119</v>
      </c>
      <c r="N1114" s="1" t="s">
        <v>119</v>
      </c>
      <c r="O1114" s="43" t="s">
        <v>119</v>
      </c>
      <c r="P1114" s="106" t="s">
        <v>119</v>
      </c>
      <c r="Q1114" s="106" t="s">
        <v>119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t="s">
        <v>134</v>
      </c>
      <c r="W1114" s="11" t="s">
        <v>119</v>
      </c>
      <c r="X1114" s="11" t="s">
        <v>119</v>
      </c>
    </row>
    <row r="1115" spans="1:24" x14ac:dyDescent="0.3">
      <c r="A1115" s="3" t="s">
        <v>43</v>
      </c>
      <c r="B1115" s="2">
        <v>0</v>
      </c>
      <c r="C1115" s="4">
        <v>0</v>
      </c>
      <c r="D1115" s="4">
        <v>2</v>
      </c>
      <c r="E1115" s="1">
        <v>5</v>
      </c>
      <c r="F1115" s="37" t="s">
        <v>119</v>
      </c>
      <c r="G1115" s="37" t="s">
        <v>119</v>
      </c>
      <c r="H1115" s="28" t="s">
        <v>119</v>
      </c>
      <c r="I1115" s="28" t="s">
        <v>119</v>
      </c>
      <c r="J1115" s="28">
        <v>9</v>
      </c>
      <c r="K1115" s="28">
        <v>4</v>
      </c>
      <c r="L1115" s="28" t="s">
        <v>119</v>
      </c>
      <c r="M1115" s="28">
        <f>6+6+4+3+5</f>
        <v>24</v>
      </c>
      <c r="N1115" s="1" t="s">
        <v>119</v>
      </c>
      <c r="O1115" s="43" t="s">
        <v>119</v>
      </c>
      <c r="P1115" s="106" t="s">
        <v>119</v>
      </c>
      <c r="Q1115" s="106" t="s">
        <v>119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t="s">
        <v>119</v>
      </c>
      <c r="W1115" s="11" t="s">
        <v>134</v>
      </c>
      <c r="X1115" s="11" t="s">
        <v>134</v>
      </c>
    </row>
    <row r="1116" spans="1:24" x14ac:dyDescent="0.3">
      <c r="A1116" s="3" t="s">
        <v>780</v>
      </c>
      <c r="B1116" s="2" t="s">
        <v>119</v>
      </c>
      <c r="C1116" s="4" t="s">
        <v>119</v>
      </c>
      <c r="D1116" s="4" t="s">
        <v>119</v>
      </c>
      <c r="E1116" s="1" t="s">
        <v>119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 t="s">
        <v>119</v>
      </c>
      <c r="K1116" s="28" t="s">
        <v>119</v>
      </c>
      <c r="L1116" s="28" t="s">
        <v>119</v>
      </c>
      <c r="M1116" s="28" t="s">
        <v>119</v>
      </c>
      <c r="N1116" s="1" t="s">
        <v>119</v>
      </c>
      <c r="O1116" s="43" t="s">
        <v>119</v>
      </c>
      <c r="P1116" s="106" t="s">
        <v>119</v>
      </c>
      <c r="Q1116" s="106" t="s">
        <v>119</v>
      </c>
      <c r="R1116" s="106" t="s">
        <v>119</v>
      </c>
      <c r="S1116" s="106">
        <v>4</v>
      </c>
      <c r="T1116" s="106">
        <v>1</v>
      </c>
      <c r="U1116" s="106" t="s">
        <v>119</v>
      </c>
      <c r="V1116" t="s">
        <v>119</v>
      </c>
      <c r="W1116" s="11" t="str">
        <f t="shared" si="17"/>
        <v>X</v>
      </c>
      <c r="X1116" s="11" t="s">
        <v>134</v>
      </c>
    </row>
    <row r="1117" spans="1:24" x14ac:dyDescent="0.3">
      <c r="A1117" s="3" t="s">
        <v>1212</v>
      </c>
      <c r="B1117" s="2" t="s">
        <v>119</v>
      </c>
      <c r="C1117" s="4" t="s">
        <v>119</v>
      </c>
      <c r="D1117" s="4" t="s">
        <v>119</v>
      </c>
      <c r="E1117" s="1" t="s">
        <v>119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>
        <v>2</v>
      </c>
      <c r="K1117" s="28" t="s">
        <v>119</v>
      </c>
      <c r="L1117" s="28" t="s">
        <v>119</v>
      </c>
      <c r="M1117" s="28" t="s">
        <v>119</v>
      </c>
      <c r="N1117" s="1" t="s">
        <v>119</v>
      </c>
      <c r="O1117" s="43" t="s">
        <v>119</v>
      </c>
      <c r="P1117" s="106" t="s">
        <v>119</v>
      </c>
      <c r="Q1117" s="106" t="s">
        <v>119</v>
      </c>
      <c r="R1117" s="106" t="s">
        <v>119</v>
      </c>
      <c r="S1117" s="106" t="s">
        <v>119</v>
      </c>
      <c r="T1117" s="106" t="s">
        <v>119</v>
      </c>
      <c r="U1117" s="106" t="s">
        <v>119</v>
      </c>
      <c r="V1117" t="s">
        <v>134</v>
      </c>
      <c r="W1117" s="11" t="s">
        <v>119</v>
      </c>
      <c r="X1117" s="11" t="s">
        <v>119</v>
      </c>
    </row>
    <row r="1118" spans="1:24" x14ac:dyDescent="0.3">
      <c r="A1118" s="3" t="s">
        <v>662</v>
      </c>
      <c r="B1118" s="2" t="s">
        <v>119</v>
      </c>
      <c r="C1118" s="4" t="s">
        <v>119</v>
      </c>
      <c r="D1118" s="4" t="s">
        <v>119</v>
      </c>
      <c r="E1118" s="1" t="s">
        <v>119</v>
      </c>
      <c r="F1118" s="37" t="s">
        <v>119</v>
      </c>
      <c r="G1118" s="37" t="s">
        <v>119</v>
      </c>
      <c r="H1118" s="28" t="s">
        <v>119</v>
      </c>
      <c r="I1118" s="28" t="s">
        <v>119</v>
      </c>
      <c r="J1118" s="28" t="s">
        <v>119</v>
      </c>
      <c r="K1118" s="28" t="s">
        <v>119</v>
      </c>
      <c r="L1118" s="28" t="s">
        <v>119</v>
      </c>
      <c r="M1118" s="28" t="s">
        <v>134</v>
      </c>
      <c r="N1118" s="1" t="s">
        <v>119</v>
      </c>
      <c r="O1118" s="43" t="s">
        <v>119</v>
      </c>
      <c r="P1118" s="106" t="s">
        <v>119</v>
      </c>
      <c r="Q1118" s="106" t="s">
        <v>119</v>
      </c>
      <c r="R1118" s="106" t="s">
        <v>119</v>
      </c>
      <c r="S1118" s="106" t="s">
        <v>119</v>
      </c>
      <c r="T1118" s="106" t="s">
        <v>119</v>
      </c>
      <c r="U1118" s="106" t="s">
        <v>119</v>
      </c>
      <c r="V1118" t="s">
        <v>119</v>
      </c>
      <c r="W1118" s="11" t="s">
        <v>134</v>
      </c>
      <c r="X1118" s="11" t="s">
        <v>119</v>
      </c>
    </row>
    <row r="1119" spans="1:24" x14ac:dyDescent="0.3">
      <c r="A1119" s="3" t="s">
        <v>1100</v>
      </c>
      <c r="B1119" s="2">
        <v>2</v>
      </c>
      <c r="C1119" s="4" t="s">
        <v>119</v>
      </c>
      <c r="D1119" s="4">
        <v>3</v>
      </c>
      <c r="E1119" s="1">
        <v>1</v>
      </c>
      <c r="F1119" s="37" t="s">
        <v>119</v>
      </c>
      <c r="G1119" s="37" t="s">
        <v>119</v>
      </c>
      <c r="H1119" s="28" t="s">
        <v>119</v>
      </c>
      <c r="I1119" s="28" t="s">
        <v>119</v>
      </c>
      <c r="J1119" s="28">
        <v>11</v>
      </c>
      <c r="K1119" s="28">
        <v>1</v>
      </c>
      <c r="L1119" s="28" t="s">
        <v>119</v>
      </c>
      <c r="M1119" s="28" t="s">
        <v>119</v>
      </c>
      <c r="N1119" s="1" t="s">
        <v>119</v>
      </c>
      <c r="O1119" s="43" t="s">
        <v>119</v>
      </c>
      <c r="P1119" s="106" t="s">
        <v>119</v>
      </c>
      <c r="Q1119" s="106" t="s">
        <v>119</v>
      </c>
      <c r="R1119" s="106" t="s">
        <v>119</v>
      </c>
      <c r="S1119" s="106" t="s">
        <v>119</v>
      </c>
      <c r="T1119" s="106" t="s">
        <v>119</v>
      </c>
      <c r="U1119" s="106" t="s">
        <v>119</v>
      </c>
      <c r="V1119" t="s">
        <v>119</v>
      </c>
      <c r="W1119" s="11" t="s">
        <v>134</v>
      </c>
      <c r="X1119" s="11" t="s">
        <v>134</v>
      </c>
    </row>
    <row r="1120" spans="1:24" x14ac:dyDescent="0.3">
      <c r="A1120" s="3" t="s">
        <v>41</v>
      </c>
      <c r="B1120" s="2">
        <v>2</v>
      </c>
      <c r="C1120" s="4">
        <v>0</v>
      </c>
      <c r="D1120" s="4">
        <v>0</v>
      </c>
      <c r="E1120" s="1">
        <v>0</v>
      </c>
      <c r="F1120" s="37" t="s">
        <v>119</v>
      </c>
      <c r="G1120" s="37" t="s">
        <v>119</v>
      </c>
      <c r="H1120" s="27">
        <v>2</v>
      </c>
      <c r="I1120" s="28">
        <v>1</v>
      </c>
      <c r="J1120" s="28" t="s">
        <v>119</v>
      </c>
      <c r="K1120" s="28">
        <v>2</v>
      </c>
      <c r="L1120" s="28">
        <v>3</v>
      </c>
      <c r="M1120" s="28" t="s">
        <v>134</v>
      </c>
      <c r="N1120" s="1">
        <v>1</v>
      </c>
      <c r="O1120" s="43">
        <v>3</v>
      </c>
      <c r="P1120" s="106" t="s">
        <v>119</v>
      </c>
      <c r="Q1120" s="106" t="s">
        <v>119</v>
      </c>
      <c r="R1120" s="106" t="s">
        <v>119</v>
      </c>
      <c r="S1120" s="106" t="s">
        <v>119</v>
      </c>
      <c r="T1120" s="106" t="s">
        <v>119</v>
      </c>
      <c r="U1120" s="106" t="s">
        <v>119</v>
      </c>
      <c r="V1120" t="s">
        <v>119</v>
      </c>
      <c r="W1120" s="11" t="s">
        <v>134</v>
      </c>
      <c r="X1120" s="11" t="s">
        <v>134</v>
      </c>
    </row>
    <row r="1121" spans="1:24" s="5" customFormat="1" x14ac:dyDescent="0.3">
      <c r="A1121" s="8" t="s">
        <v>1008</v>
      </c>
      <c r="B1121" s="6" t="s">
        <v>119</v>
      </c>
      <c r="C1121" s="7" t="s">
        <v>119</v>
      </c>
      <c r="D1121" s="7" t="s">
        <v>119</v>
      </c>
      <c r="E1121" s="10" t="s">
        <v>119</v>
      </c>
      <c r="F1121" s="29" t="s">
        <v>119</v>
      </c>
      <c r="G1121" s="29" t="s">
        <v>119</v>
      </c>
      <c r="H1121" s="30" t="s">
        <v>119</v>
      </c>
      <c r="I1121" s="29" t="s">
        <v>119</v>
      </c>
      <c r="J1121" s="29" t="s">
        <v>119</v>
      </c>
      <c r="K1121" s="29" t="s">
        <v>119</v>
      </c>
      <c r="L1121" s="29" t="s">
        <v>119</v>
      </c>
      <c r="M1121" s="29" t="s">
        <v>119</v>
      </c>
      <c r="N1121" s="10" t="s">
        <v>119</v>
      </c>
      <c r="O1121" s="43" t="s">
        <v>119</v>
      </c>
      <c r="P1121" s="107" t="s">
        <v>119</v>
      </c>
      <c r="Q1121" s="107" t="s">
        <v>119</v>
      </c>
      <c r="R1121" s="107" t="s">
        <v>119</v>
      </c>
      <c r="S1121" s="107" t="s">
        <v>119</v>
      </c>
      <c r="T1121" s="107" t="s">
        <v>119</v>
      </c>
      <c r="U1121" s="107">
        <v>1</v>
      </c>
      <c r="V1121" t="s">
        <v>119</v>
      </c>
      <c r="W1121" s="11" t="str">
        <f t="shared" si="17"/>
        <v>X</v>
      </c>
      <c r="X1121" s="11" t="s">
        <v>119</v>
      </c>
    </row>
    <row r="1122" spans="1:24" s="5" customFormat="1" x14ac:dyDescent="0.3">
      <c r="A1122" s="8" t="s">
        <v>781</v>
      </c>
      <c r="B1122" s="6" t="s">
        <v>119</v>
      </c>
      <c r="C1122" s="7" t="s">
        <v>119</v>
      </c>
      <c r="D1122" s="7" t="s">
        <v>119</v>
      </c>
      <c r="E1122" s="10" t="s">
        <v>119</v>
      </c>
      <c r="F1122" s="37" t="s">
        <v>119</v>
      </c>
      <c r="G1122" s="29" t="s">
        <v>119</v>
      </c>
      <c r="H1122" s="30" t="s">
        <v>119</v>
      </c>
      <c r="I1122" s="29" t="s">
        <v>119</v>
      </c>
      <c r="J1122" s="29" t="s">
        <v>119</v>
      </c>
      <c r="K1122" s="29" t="s">
        <v>119</v>
      </c>
      <c r="L1122" s="29" t="s">
        <v>119</v>
      </c>
      <c r="M1122" s="29" t="s">
        <v>119</v>
      </c>
      <c r="N1122" s="10" t="s">
        <v>119</v>
      </c>
      <c r="O1122" s="43" t="s">
        <v>119</v>
      </c>
      <c r="P1122" s="107" t="s">
        <v>119</v>
      </c>
      <c r="Q1122" s="107" t="s">
        <v>119</v>
      </c>
      <c r="R1122" s="107" t="s">
        <v>119</v>
      </c>
      <c r="S1122" s="107">
        <v>4</v>
      </c>
      <c r="T1122" s="106" t="s">
        <v>119</v>
      </c>
      <c r="U1122" s="106" t="s">
        <v>119</v>
      </c>
      <c r="V1122" t="s">
        <v>119</v>
      </c>
      <c r="W1122" s="11" t="str">
        <f t="shared" si="17"/>
        <v>X</v>
      </c>
      <c r="X1122" s="11" t="s">
        <v>119</v>
      </c>
    </row>
    <row r="1123" spans="1:24" x14ac:dyDescent="0.3">
      <c r="A1123" s="3" t="s">
        <v>173</v>
      </c>
      <c r="B1123" s="2" t="s">
        <v>119</v>
      </c>
      <c r="C1123" s="4" t="s">
        <v>119</v>
      </c>
      <c r="D1123" s="4" t="s">
        <v>119</v>
      </c>
      <c r="E1123" s="1" t="s">
        <v>119</v>
      </c>
      <c r="F1123" s="37" t="s">
        <v>119</v>
      </c>
      <c r="G1123" s="37" t="s">
        <v>119</v>
      </c>
      <c r="H1123" s="28">
        <v>2</v>
      </c>
      <c r="I1123" s="28">
        <v>5</v>
      </c>
      <c r="J1123" s="28" t="s">
        <v>119</v>
      </c>
      <c r="K1123" s="28">
        <v>4</v>
      </c>
      <c r="L1123" s="28" t="s">
        <v>119</v>
      </c>
      <c r="M1123" s="28" t="s">
        <v>119</v>
      </c>
      <c r="N1123" s="1">
        <v>1</v>
      </c>
      <c r="O1123" s="43">
        <v>1</v>
      </c>
      <c r="P1123" s="106" t="s">
        <v>119</v>
      </c>
      <c r="Q1123" s="106" t="s">
        <v>119</v>
      </c>
      <c r="R1123" s="106" t="s">
        <v>119</v>
      </c>
      <c r="S1123" s="106" t="s">
        <v>119</v>
      </c>
      <c r="T1123" s="106" t="s">
        <v>119</v>
      </c>
      <c r="U1123" s="106" t="s">
        <v>119</v>
      </c>
      <c r="V1123" t="s">
        <v>119</v>
      </c>
      <c r="W1123" s="11" t="s">
        <v>119</v>
      </c>
      <c r="X1123" s="11" t="s">
        <v>134</v>
      </c>
    </row>
  </sheetData>
  <autoFilter ref="A1:X1123" xr:uid="{95850447-81D6-44F5-A0DB-02A582027F4D}"/>
  <sortState ref="A964:M1123">
    <sortCondition ref="A964:A1123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24"/>
  <sheetViews>
    <sheetView zoomScale="90" zoomScaleNormal="90" workbookViewId="0">
      <pane xSplit="1" ySplit="1" topLeftCell="B4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K21" sqref="K21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7" width="8.88671875" style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Evritania</v>
      </c>
      <c r="N1" s="73" t="str">
        <f>'Actual species'!Q1</f>
        <v>Phthiotis</v>
      </c>
      <c r="O1" s="73" t="str">
        <f>'Actual species'!R1</f>
        <v>Phocis</v>
      </c>
      <c r="P1" s="73" t="str">
        <f>'Actual species'!S1</f>
        <v>Florina</v>
      </c>
      <c r="Q1" s="73" t="str">
        <f>'Actual species'!T1</f>
        <v>Ioánnina</v>
      </c>
      <c r="R1" s="73" t="str">
        <f>'Actual species'!U1</f>
        <v>N-Pindos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1</v>
      </c>
      <c r="Q4" s="2">
        <f>IF(SUM('Actual species'!T4)&gt;=1,1,IF(SUM('Actual species'!T4)="X",1,0))</f>
        <v>0</v>
      </c>
      <c r="R4" s="2">
        <f>IF(SUM('Actual species'!U4)&gt;=1,1,IF(SUM('Actual species'!U4)="X",1,0))</f>
        <v>1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1</v>
      </c>
      <c r="P5" s="2">
        <f>IF(SUM('Actual species'!S5)&gt;=1,1,IF(SUM('Actual species'!S5)="X",1,0))</f>
        <v>1</v>
      </c>
      <c r="Q5" s="2">
        <f>IF(SUM('Actual species'!T5)&gt;=1,1,IF(SUM('Actual species'!T5)="X",1,0))</f>
        <v>0</v>
      </c>
      <c r="R5" s="2">
        <f>IF(SUM('Actual species'!U5)&gt;=1,1,IF(SUM('Actual species'!U5)="X",1,0))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1</v>
      </c>
      <c r="Q6" s="2">
        <f>IF(SUM('Actual species'!T6)&gt;=1,1,IF(SUM('Actual species'!T6)="X",1,0))</f>
        <v>0</v>
      </c>
      <c r="R6" s="2">
        <f>IF(SUM('Actual species'!U6)&gt;=1,1,IF(SUM('Actual species'!U6)="X",1,0))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1</v>
      </c>
      <c r="Q8" s="2">
        <f>IF(SUM('Actual species'!T8)&gt;=1,1,IF(SUM('Actual species'!T8)="X",1,0))</f>
        <v>0</v>
      </c>
      <c r="R8" s="2">
        <f>IF(SUM('Actual species'!U8)&gt;=1,1,IF(SUM('Actual species'!U8)="X",1,0))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1</v>
      </c>
      <c r="N9" s="2">
        <f>IF(SUM('Actual species'!Q9)&gt;=1,1,IF(SUM('Actual species'!Q9)="X",1,0))</f>
        <v>0</v>
      </c>
      <c r="O9" s="2">
        <f>IF(SUM('Actual species'!R9)&gt;=1,1,IF(SUM('Actual species'!R9)="X",1,0))</f>
        <v>1</v>
      </c>
      <c r="P9" s="2">
        <f>IF(SUM('Actual species'!S9)&gt;=1,1,IF(SUM('Actual species'!S9)="X",1,0))</f>
        <v>1</v>
      </c>
      <c r="Q9" s="2">
        <f>IF(SUM('Actual species'!T9)&gt;=1,1,IF(SUM('Actual species'!T9)="X",1,0))</f>
        <v>0</v>
      </c>
      <c r="R9" s="2">
        <f>IF(SUM('Actual species'!U9)&gt;=1,1,IF(SUM('Actual species'!U9)="X",1,0))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1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0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1</v>
      </c>
      <c r="P14" s="2">
        <f>IF(SUM('Actual species'!S14)&gt;=1,1,IF(SUM('Actual species'!S14)="X",1,0))</f>
        <v>0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1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1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0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</row>
    <row r="17" spans="1:18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1</v>
      </c>
      <c r="N17" s="2">
        <f>IF(SUM('Actual species'!Q17)&gt;=1,1,IF(SUM('Actual species'!Q17)="X",1,0))</f>
        <v>0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</row>
    <row r="18" spans="1:18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</row>
    <row r="19" spans="1:18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</row>
    <row r="20" spans="1:18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species'!N20)&gt;=1,1,IF('Actual species'!N20="X",1,0))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</row>
    <row r="21" spans="1:18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</row>
    <row r="22" spans="1:18" x14ac:dyDescent="0.3">
      <c r="A22" s="113" t="str">
        <f>'Actual species'!A22</f>
        <v>Eusphalerum limbatum limbatum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0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1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1</v>
      </c>
    </row>
    <row r="23" spans="1:18" x14ac:dyDescent="0.3">
      <c r="A23" s="113" t="str">
        <f>'Actual species'!A23</f>
        <v>Eusphalerum sp.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0</v>
      </c>
      <c r="R23" s="2">
        <f>IF(SUM('Actual species'!U23)&gt;=1,1,IF(SUM('Actual species'!U23)="X",1,0))</f>
        <v>1</v>
      </c>
    </row>
    <row r="24" spans="1:18" x14ac:dyDescent="0.3">
      <c r="A24" s="113" t="str">
        <f>'Actual species'!A24</f>
        <v>Eusphalerum zerchei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1</v>
      </c>
    </row>
    <row r="25" spans="1:18" x14ac:dyDescent="0.3">
      <c r="A25" s="113" t="str">
        <f>'Actual species'!A25</f>
        <v>Hapalaraea pygmaea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</row>
    <row r="26" spans="1:18" x14ac:dyDescent="0.3">
      <c r="A26" s="113" t="str">
        <f>'Actual species'!A26</f>
        <v xml:space="preserve">Lesteva brondeeli (E) 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</row>
    <row r="27" spans="1:18" x14ac:dyDescent="0.3">
      <c r="A27" s="113" t="str">
        <f>'Actual species'!A27</f>
        <v xml:space="preserve">*Lesteva latipes (E) </v>
      </c>
      <c r="B27" s="66">
        <f>IF(SUM('Actual species'!B27:E27)&gt;=1,1,IF(SUM('Actual species'!B27:E27)="X",1,0))</f>
        <v>1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</row>
    <row r="28" spans="1:18" x14ac:dyDescent="0.3">
      <c r="A28" s="113" t="str">
        <f>'Actual species'!A28</f>
        <v>Lesteva longoelytrata</v>
      </c>
      <c r="B28" s="66">
        <f>IF(SUM('Actual species'!B28:E28)&gt;=1,1,IF(SUM('Actual species'!B28:E28)="X",1,0))</f>
        <v>0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1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</row>
    <row r="29" spans="1:18" x14ac:dyDescent="0.3">
      <c r="A29" s="113" t="str">
        <f>'Actual species'!A29</f>
        <v xml:space="preserve">Lesteva longoelytrata cretica (E) 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1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0</v>
      </c>
      <c r="R29" s="2">
        <f>IF(SUM('Actual species'!U29)&gt;=1,1,IF(SUM('Actual species'!U29)="X",1,0))</f>
        <v>0</v>
      </c>
    </row>
    <row r="30" spans="1:18" x14ac:dyDescent="0.3">
      <c r="A30" s="113" t="str">
        <f>'Actual species'!A30</f>
        <v xml:space="preserve">Lesteva nitidicollis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0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</row>
    <row r="31" spans="1:18" x14ac:dyDescent="0.3">
      <c r="A31" s="113" t="str">
        <f>'Actual species'!A31</f>
        <v xml:space="preserve">Lesteva szekessyi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</row>
    <row r="32" spans="1:18" x14ac:dyDescent="0.3">
      <c r="A32" s="113" t="str">
        <f>'Actual species'!A32</f>
        <v>Omalium caesum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1</v>
      </c>
      <c r="R32" s="2">
        <f>IF(SUM('Actual species'!U32)&gt;=1,1,IF(SUM('Actual species'!U32)="X",1,0))</f>
        <v>0</v>
      </c>
    </row>
    <row r="33" spans="1:18" x14ac:dyDescent="0.3">
      <c r="A33" s="113" t="str">
        <f>'Actual species'!A33</f>
        <v>Omalium cinnamomeum</v>
      </c>
      <c r="B33" s="66">
        <f>IF(SUM('Actual species'!B33:E33)&gt;=1,1,IF(SUM('Actual species'!B33:E33)="X",1,0))</f>
        <v>1</v>
      </c>
      <c r="C33" s="2">
        <f>IF(SUM('Actual species'!F33)&gt;=1,1,IF(SUM('Actual species'!F33)="X",1,0))</f>
        <v>1</v>
      </c>
      <c r="D33" s="2">
        <f>IF(SUM('Actual species'!G33)&gt;=1,1,IF(SUM('Actual species'!G33)="X",1,0))</f>
        <v>1</v>
      </c>
      <c r="E33" s="2">
        <f>IF(SUM('Actual species'!H33)&gt;=1,1,IF(SUM('Actual species'!H33)="X",1,0))</f>
        <v>1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1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1</v>
      </c>
      <c r="J33" s="2">
        <f>IF(SUM('Actual species'!M33)&gt;=1,1,IF(SUM('Actual species'!M33)="X",1,0))</f>
        <v>1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1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1</v>
      </c>
      <c r="R33" s="2">
        <f>IF(SUM('Actual species'!U33)&gt;=1,1,IF(SUM('Actual species'!U33)="X",1,0))</f>
        <v>0</v>
      </c>
    </row>
    <row r="34" spans="1:18" x14ac:dyDescent="0.3">
      <c r="A34" s="113" t="str">
        <f>'Actual species'!A34</f>
        <v>Omalium excavatum</v>
      </c>
      <c r="B34" s="66">
        <f>IF(SUM('Actual species'!B34:E34)&gt;=1,1,IF(SUM('Actual species'!B34:E34)="X",1,0))</f>
        <v>0</v>
      </c>
      <c r="C34" s="2">
        <f>IF(SUM('Actual species'!F34)&gt;=1,1,IF(SUM('Actual species'!F34)="X",1,0))</f>
        <v>0</v>
      </c>
      <c r="D34" s="2">
        <f>IF(SUM('Actual species'!G34)&gt;=1,1,IF(SUM('Actual species'!G34)="X",1,0))</f>
        <v>0</v>
      </c>
      <c r="E34" s="2">
        <f>IF(SUM('Actual species'!H34)&gt;=1,1,IF(SUM('Actual species'!H34)="X",1,0))</f>
        <v>0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0</v>
      </c>
      <c r="J34" s="2">
        <f>IF(SUM('Actual species'!M34)&gt;=1,1,IF(SUM('Actual species'!M34)="X",1,0))</f>
        <v>0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1</v>
      </c>
      <c r="N34" s="2">
        <f>IF(SUM('Actual species'!Q34)&gt;=1,1,IF(SUM('Actual species'!Q34)="X",1,0))</f>
        <v>1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1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0</v>
      </c>
    </row>
    <row r="35" spans="1:18" x14ac:dyDescent="0.3">
      <c r="A35" s="113" t="str">
        <f>'Actual species'!A35</f>
        <v>Omalium henroti</v>
      </c>
      <c r="B35" s="66">
        <f>IF(SUM('Actual species'!B35:E35)&gt;=1,1,IF(SUM('Actual species'!B35:E35)="X",1,0))</f>
        <v>1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0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0</v>
      </c>
      <c r="O35" s="2">
        <f>IF(SUM('Actual species'!R35)&gt;=1,1,IF(SUM('Actual species'!R35)="X",1,0))</f>
        <v>0</v>
      </c>
      <c r="P35" s="2">
        <f>IF(SUM('Actual species'!S35)&gt;=1,1,IF(SUM('Actual species'!S35)="X",1,0))</f>
        <v>0</v>
      </c>
      <c r="Q35" s="2">
        <f>IF(SUM('Actual species'!T35)&gt;=1,1,IF(SUM('Actual species'!T35)="X",1,0))</f>
        <v>0</v>
      </c>
      <c r="R35" s="2">
        <f>IF(SUM('Actual species'!U35)&gt;=1,1,IF(SUM('Actual species'!U35)="X",1,0))</f>
        <v>0</v>
      </c>
    </row>
    <row r="36" spans="1:18" x14ac:dyDescent="0.3">
      <c r="A36" s="113" t="str">
        <f>'Actual species'!A36</f>
        <v>Omalium oxyacantha</v>
      </c>
      <c r="B36" s="66">
        <f>IF(SUM('Actual species'!B36:E36)&gt;=1,1,IF(SUM('Actual species'!B36:E36)="X",1,0))</f>
        <v>0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1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</row>
    <row r="37" spans="1:18" x14ac:dyDescent="0.3">
      <c r="A37" s="113" t="str">
        <f>'Actual species'!A37</f>
        <v>Omalium rhodicum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1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1</v>
      </c>
      <c r="H37" s="2">
        <f>IF(SUM('Actual species'!K37)&gt;=1,1,IF(SUM('Actual species'!K37)="X",1,0))</f>
        <v>1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</row>
    <row r="38" spans="1:18" x14ac:dyDescent="0.3">
      <c r="A38" s="113" t="str">
        <f>'Actual species'!A38</f>
        <v>Omalium riparium</v>
      </c>
      <c r="B38" s="66">
        <f>IF(SUM('Actual species'!B38:E38)&gt;=1,1,IF(SUM('Actual species'!B38:E38)="X",1,0))</f>
        <v>1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0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0</v>
      </c>
      <c r="G38" s="2">
        <f>IF(SUM('Actual species'!J38)&gt;=1,1,IF(SUM('Actual species'!J38)="X",1,0))</f>
        <v>0</v>
      </c>
      <c r="H38" s="2">
        <f>IF(SUM('Actual species'!K38)&gt;=1,1,IF(SUM('Actual species'!K38)="X",1,0))</f>
        <v>0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</row>
    <row r="39" spans="1:18" x14ac:dyDescent="0.3">
      <c r="A39" s="113" t="str">
        <f>'Actual species'!A39</f>
        <v>Omalium riparium impar</v>
      </c>
      <c r="B39" s="66">
        <f>IF(SUM('Actual species'!B39:E39)&gt;=1,1,IF(SUM('Actual species'!B39:E39)="X",1,0))</f>
        <v>0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</row>
    <row r="40" spans="1:18" x14ac:dyDescent="0.3">
      <c r="A40" s="113" t="str">
        <f>'Actual species'!A40</f>
        <v>Omalium rivulare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1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0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1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</row>
    <row r="41" spans="1:18" x14ac:dyDescent="0.3">
      <c r="A41" s="113" t="str">
        <f>'Actual species'!A41</f>
        <v>Omalium rugatum</v>
      </c>
      <c r="B41" s="66">
        <f>IF(SUM('Actual species'!B41:E41)&gt;=1,1,IF(SUM('Actual species'!B41:E41)="X",1,0))</f>
        <v>1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1</v>
      </c>
      <c r="F41" s="2">
        <f>IF(SUM('Actual species'!I41)&gt;=1,1,IF(SUM('Actual species'!I41)="X",1,0))</f>
        <v>1</v>
      </c>
      <c r="G41" s="2">
        <f>IF(SUM('Actual species'!J41)&gt;=1,1,IF(SUM('Actual species'!J41)="X",1,0))</f>
        <v>1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1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1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1</v>
      </c>
      <c r="P41" s="2">
        <f>IF(SUM('Actual species'!S41)&gt;=1,1,IF(SUM('Actual species'!S41)="X",1,0))</f>
        <v>1</v>
      </c>
      <c r="Q41" s="2">
        <f>IF(SUM('Actual species'!T41)&gt;=1,1,IF(SUM('Actual species'!T41)="X",1,0))</f>
        <v>0</v>
      </c>
      <c r="R41" s="2">
        <f>IF(SUM('Actual species'!U41)&gt;=1,1,IF(SUM('Actual species'!U41)="X",1,0))</f>
        <v>0</v>
      </c>
    </row>
    <row r="42" spans="1:18" x14ac:dyDescent="0.3">
      <c r="A42" s="113" t="str">
        <f>'Actual species'!A42</f>
        <v>Omalium turcicum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0</v>
      </c>
      <c r="F42" s="2">
        <f>IF(SUM('Actual species'!I42)&gt;=1,1,IF(SUM('Actual species'!I42)="X",1,0))</f>
        <v>0</v>
      </c>
      <c r="G42" s="2">
        <f>IF(SUM('Actual species'!J42)&gt;=1,1,IF(SUM('Actual species'!J42)="X",1,0))</f>
        <v>0</v>
      </c>
      <c r="H42" s="2">
        <f>IF(SUM('Actual species'!K42)&gt;=1,1,IF(SUM('Actual species'!K42)="X",1,0))</f>
        <v>0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0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0</v>
      </c>
      <c r="N42" s="2">
        <f>IF(SUM('Actual species'!Q42)&gt;=1,1,IF(SUM('Actual species'!Q42)="X",1,0))</f>
        <v>0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0</v>
      </c>
      <c r="Q42" s="2">
        <f>IF(SUM('Actual species'!T42)&gt;=1,1,IF(SUM('Actual species'!T42)="X",1,0))</f>
        <v>0</v>
      </c>
      <c r="R42" s="2">
        <f>IF(SUM('Actual species'!U42)&gt;=1,1,IF(SUM('Actual species'!U42)="X",1,0))</f>
        <v>0</v>
      </c>
    </row>
    <row r="43" spans="1:18" x14ac:dyDescent="0.3">
      <c r="A43" s="113" t="str">
        <f>'Actual species'!A43</f>
        <v>Paraphloeostiba gayndahensis</v>
      </c>
      <c r="B43" s="66">
        <f>IF(SUM('Actual species'!B43:E43)&gt;=1,1,IF(SUM('Actual species'!B43:E43)="X",1,0))</f>
        <v>0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1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</row>
    <row r="44" spans="1:18" x14ac:dyDescent="0.3">
      <c r="A44" s="113" t="str">
        <f>'Actual species'!A44</f>
        <v>Pareudectus vitsiensis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0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1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</row>
    <row r="45" spans="1:18" x14ac:dyDescent="0.3">
      <c r="A45" s="113" t="str">
        <f>'Actual species'!A45</f>
        <v>Philorinum hoffgarteni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1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0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</row>
    <row r="46" spans="1:18" x14ac:dyDescent="0.3">
      <c r="A46" s="113" t="str">
        <f>'Actual species'!A46</f>
        <v>Phyllodrepa palpalis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0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1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</row>
    <row r="47" spans="1:18" s="49" customFormat="1" x14ac:dyDescent="0.3">
      <c r="A47" s="113" t="str">
        <f>'Actual species'!A47</f>
        <v>Phyllodrepa floralis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1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0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</row>
    <row r="48" spans="1:18" x14ac:dyDescent="0.3">
      <c r="A48" s="113" t="str">
        <f>'Actual species'!A48</f>
        <v>Phyllodrepa ioptera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0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1</v>
      </c>
    </row>
    <row r="49" spans="1:18" x14ac:dyDescent="0.3">
      <c r="A49" s="113" t="str">
        <f>'Actual species'!A49</f>
        <v>Phyllodrepa melanocephla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1</v>
      </c>
    </row>
    <row r="50" spans="1:18" x14ac:dyDescent="0.3">
      <c r="A50" s="113" t="str">
        <f>'Actual species'!A50</f>
        <v>Proteininae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</row>
    <row r="51" spans="1:18" x14ac:dyDescent="0.3">
      <c r="A51" s="113" t="str">
        <f>'Actual species'!A51</f>
        <v>Metopsia assingi</v>
      </c>
      <c r="B51" s="66">
        <f>IF(SUM('Actual species'!B51:E51)&gt;=1,1,IF(SUM('Actual species'!B51:E51)="X",1,0))</f>
        <v>1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1</v>
      </c>
      <c r="E51" s="2">
        <f>IF(SUM('Actual species'!H51)&gt;=1,1,IF(SUM('Actual species'!H51)="X",1,0))</f>
        <v>1</v>
      </c>
      <c r="F51" s="2">
        <f>IF(SUM('Actual species'!I51)&gt;=1,1,IF(SUM('Actual species'!I51)="X",1,0))</f>
        <v>1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1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</row>
    <row r="52" spans="1:18" x14ac:dyDescent="0.3">
      <c r="A52" s="113" t="str">
        <f>'Actual species'!A52</f>
        <v>Metopsia similis</v>
      </c>
      <c r="B52" s="66">
        <f>IF(SUM('Actual species'!B52:E52)&gt;=1,1,IF(SUM('Actual species'!B52:E52)="X",1,0))</f>
        <v>0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0</v>
      </c>
      <c r="E52" s="2">
        <f>IF(SUM('Actual species'!H52)&gt;=1,1,IF(SUM('Actual species'!H52)="X",1,0))</f>
        <v>0</v>
      </c>
      <c r="F52" s="2">
        <f>IF(SUM('Actual species'!I52)&gt;=1,1,IF(SUM('Actual species'!I52)="X",1,0))</f>
        <v>0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0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1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</row>
    <row r="53" spans="1:18" x14ac:dyDescent="0.3">
      <c r="A53" s="113" t="str">
        <f>'Actual species'!A53</f>
        <v>Megathrus bellevoyei</v>
      </c>
      <c r="B53" s="66">
        <f>IF(SUM('Actual species'!B53:E53)&gt;=1,1,IF(SUM('Actual species'!B53:E53)="X",1,0))</f>
        <v>1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1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0</v>
      </c>
      <c r="R53" s="2">
        <f>IF(SUM('Actual species'!U53)&gt;=1,1,IF(SUM('Actual species'!U53)="X",1,0))</f>
        <v>0</v>
      </c>
    </row>
    <row r="54" spans="1:18" x14ac:dyDescent="0.3">
      <c r="A54" s="113" t="str">
        <f>'Actual species'!A54</f>
        <v>Megathrus depressus</v>
      </c>
      <c r="B54" s="66">
        <f>IF(SUM('Actual species'!B54:E54)&gt;=1,1,IF(SUM('Actual species'!B54:E54)="X",1,0))</f>
        <v>0</v>
      </c>
      <c r="C54" s="2">
        <f>IF(SUM('Actual species'!F54)&gt;=1,1,IF(SUM('Actual species'!F54)="X",1,0))</f>
        <v>1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0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0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</row>
    <row r="55" spans="1:18" x14ac:dyDescent="0.3">
      <c r="A55" s="113" t="str">
        <f>'Actual species'!A55</f>
        <v>Proteinus atomarius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1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1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1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1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</row>
    <row r="56" spans="1:18" x14ac:dyDescent="0.3">
      <c r="A56" s="113" t="str">
        <f>'Actual species'!A56</f>
        <v>Proteinus brachypterus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0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0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0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1</v>
      </c>
      <c r="N56" s="2">
        <f>IF(SUM('Actual species'!Q56)&gt;=1,1,IF(SUM('Actual species'!Q56)="X",1,0))</f>
        <v>1</v>
      </c>
      <c r="O56" s="2">
        <f>IF(SUM('Actual species'!R56)&gt;=1,1,IF(SUM('Actual species'!R56)="X",1,0))</f>
        <v>1</v>
      </c>
      <c r="P56" s="2">
        <f>IF(SUM('Actual species'!S56)&gt;=1,1,IF(SUM('Actual species'!S56)="X",1,0))</f>
        <v>1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</row>
    <row r="57" spans="1:18" x14ac:dyDescent="0.3">
      <c r="A57" s="113" t="str">
        <f>'Actual species'!A57</f>
        <v>Proteinus creticus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0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1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0</v>
      </c>
      <c r="O57" s="2">
        <f>IF(SUM('Actual species'!R57)&gt;=1,1,IF(SUM('Actual species'!R57)="X",1,0))</f>
        <v>0</v>
      </c>
      <c r="P57" s="2">
        <f>IF(SUM('Actual species'!S57)&gt;=1,1,IF(SUM('Actual species'!S57)="X",1,0))</f>
        <v>0</v>
      </c>
      <c r="Q57" s="2">
        <f>IF(SUM('Actual species'!T57)&gt;=1,1,IF(SUM('Actual species'!T57)="X",1,0))</f>
        <v>0</v>
      </c>
      <c r="R57" s="2">
        <f>IF(SUM('Actual species'!U57)&gt;=1,1,IF(SUM('Actual species'!U57)="X",1,0))</f>
        <v>0</v>
      </c>
    </row>
    <row r="58" spans="1:18" x14ac:dyDescent="0.3">
      <c r="A58" s="113" t="str">
        <f>'Actual species'!A58</f>
        <v>Proteinus ovalis</v>
      </c>
      <c r="B58" s="66">
        <f>IF(SUM('Actual species'!B58:E58)&gt;=1,1,IF(SUM('Actual species'!B58:E58)="X",1,0))</f>
        <v>1</v>
      </c>
      <c r="C58" s="2">
        <f>IF(SUM('Actual species'!F58)&gt;=1,1,IF(SUM('Actual species'!F58)="X",1,0))</f>
        <v>1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1</v>
      </c>
      <c r="O58" s="2">
        <f>IF(SUM('Actual species'!R58)&gt;=1,1,IF(SUM('Actual species'!R58)="X",1,0))</f>
        <v>1</v>
      </c>
      <c r="P58" s="2">
        <f>IF(SUM('Actual species'!S58)&gt;=1,1,IF(SUM('Actual species'!S58)="X",1,0))</f>
        <v>1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</row>
    <row r="59" spans="1:18" s="49" customFormat="1" x14ac:dyDescent="0.3">
      <c r="A59" s="113" t="str">
        <f>'Actual species'!A59</f>
        <v>Proteinus sp. 1</v>
      </c>
      <c r="B59" s="66">
        <f>IF(SUM('Actual species'!B59:E59)&gt;=1,1,IF(SUM('Actual species'!B59:E59)="X",1,0))</f>
        <v>0</v>
      </c>
      <c r="C59" s="2">
        <f>IF(SUM('Actual species'!F59)&gt;=1,1,IF(SUM('Actual species'!F59)="X",1,0))</f>
        <v>0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0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1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0</v>
      </c>
      <c r="R59" s="2">
        <f>IF(SUM('Actual species'!U59)&gt;=1,1,IF(SUM('Actual species'!U59)="X",1,0))</f>
        <v>0</v>
      </c>
    </row>
    <row r="60" spans="1:18" x14ac:dyDescent="0.3">
      <c r="A60" s="113" t="str">
        <f>'Actual species'!A60</f>
        <v>Proteinus sp. 2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0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0</v>
      </c>
      <c r="R60" s="2">
        <f>IF(SUM('Actual species'!U60)&gt;=1,1,IF(SUM('Actual species'!U60)="X",1,0))</f>
        <v>0</v>
      </c>
    </row>
    <row r="61" spans="1:18" x14ac:dyDescent="0.3">
      <c r="A61" s="113" t="str">
        <f>'Actual species'!A61</f>
        <v>Proteinus utrarius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1</v>
      </c>
      <c r="E61" s="2">
        <f>IF(SUM('Actual species'!H61)&gt;=1,1,IF(SUM('Actual species'!H61)="X",1,0))</f>
        <v>1</v>
      </c>
      <c r="F61" s="2">
        <f>IF(SUM('Actual species'!I61)&gt;=1,1,IF(SUM('Actual species'!I61)="X",1,0))</f>
        <v>1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1</v>
      </c>
      <c r="I61" s="2">
        <f>IF(SUM('Actual species'!L61)&gt;=1,1,IF(SUM('Actual species'!L61)="X",1,0))</f>
        <v>1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1</v>
      </c>
      <c r="L61" s="2">
        <f>IF(SUM('Actual species'!O61)&gt;=1,1,IF(SUM('Actual species'!O61)="X",1,0))</f>
        <v>1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0</v>
      </c>
      <c r="R61" s="2">
        <f>IF(SUM('Actual species'!U61)&gt;=1,1,IF(SUM('Actual species'!U61)="X",1,0))</f>
        <v>0</v>
      </c>
    </row>
    <row r="62" spans="1:18" x14ac:dyDescent="0.3">
      <c r="A62" s="113" t="str">
        <f>'Actual species'!A62</f>
        <v>Micropeplinae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0</v>
      </c>
      <c r="E62" s="2">
        <f>IF(SUM('Actual species'!H62)&gt;=1,1,IF(SUM('Actual species'!H62)="X",1,0))</f>
        <v>0</v>
      </c>
      <c r="F62" s="2">
        <f>IF(SUM('Actual species'!I62)&gt;=1,1,IF(SUM('Actual species'!I62)="X",1,0))</f>
        <v>0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0</v>
      </c>
      <c r="I62" s="2">
        <f>IF(SUM('Actual species'!L62)&gt;=1,1,IF(SUM('Actual species'!L62)="X",1,0))</f>
        <v>0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0</v>
      </c>
      <c r="L62" s="2">
        <f>IF(SUM('Actual species'!O62)&gt;=1,1,IF(SUM('Actual species'!O62)="X",1,0))</f>
        <v>0</v>
      </c>
      <c r="M62" s="2">
        <f>IF(SUM('Actual species'!P62)&gt;=1,1,IF(SUM('Actual species'!P62)="X",1,0))</f>
        <v>0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</row>
    <row r="63" spans="1:18" x14ac:dyDescent="0.3">
      <c r="A63" s="113" t="str">
        <f>'Actual species'!A63</f>
        <v>Arrhenopeplus cf. Thrasicus/turcicus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1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</row>
    <row r="64" spans="1:18" x14ac:dyDescent="0.3">
      <c r="A64" s="113" t="str">
        <f>'Actual species'!A64</f>
        <v>Micropeplus cf. Turcicus</v>
      </c>
      <c r="B64" s="66">
        <f>IF(SUM('Actual species'!B64:E64)&gt;=1,1,IF(SUM('Actual species'!B64:E64)="X",1,0))</f>
        <v>1</v>
      </c>
      <c r="C64" s="2">
        <f>IF(SUM('Actual species'!F64)&gt;=1,1,IF(SUM('Actual species'!F64)="X",1,0))</f>
        <v>0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1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</row>
    <row r="65" spans="1:18" x14ac:dyDescent="0.3">
      <c r="A65" s="113" t="str">
        <f>'Actual species'!A65</f>
        <v>Micropeplus fulvus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1</v>
      </c>
      <c r="F65" s="2">
        <f>IF(SUM('Actual species'!I65)&gt;=1,1,IF(SUM('Actual species'!I65)="X",1,0))</f>
        <v>1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1</v>
      </c>
      <c r="I65" s="2">
        <f>IF(SUM('Actual species'!L65)&gt;=1,1,IF(SUM('Actual species'!L65)="X",1,0))</f>
        <v>1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0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</row>
    <row r="66" spans="1:18" x14ac:dyDescent="0.3">
      <c r="A66" s="113" t="str">
        <f>'Actual species'!A66</f>
        <v>Micropeplus latus</v>
      </c>
      <c r="B66" s="66">
        <f>IF(SUM('Actual species'!B66:E66)&gt;=1,1,IF(SUM('Actual species'!B66:E66)="X",1,0))</f>
        <v>0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0</v>
      </c>
      <c r="F66" s="2">
        <f>IF(SUM('Actual species'!I66)&gt;=1,1,IF(SUM('Actual species'!I66)="X",1,0))</f>
        <v>0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0</v>
      </c>
      <c r="I66" s="2">
        <f>IF(SUM('Actual species'!L66)&gt;=1,1,IF(SUM('Actual species'!L66)="X",1,0))</f>
        <v>0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1</v>
      </c>
      <c r="P66" s="2">
        <f>IF(SUM('Actual species'!S66)&gt;=1,1,IF(SUM('Actual species'!S66)="X",1,0))</f>
        <v>1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</row>
    <row r="67" spans="1:18" x14ac:dyDescent="0.3">
      <c r="A67" s="113" t="str">
        <f>'Actual species'!A67</f>
        <v>Micropeplus porcatus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0</v>
      </c>
      <c r="Q67" s="2">
        <f>IF(SUM('Actual species'!T67)&gt;=1,1,IF(SUM('Actual species'!T67)="X",1,0))</f>
        <v>0</v>
      </c>
      <c r="R67" s="2">
        <f>IF(SUM('Actual species'!U67)&gt;=1,1,IF(SUM('Actual species'!U67)="X",1,0))</f>
        <v>0</v>
      </c>
    </row>
    <row r="68" spans="1:18" s="49" customFormat="1" x14ac:dyDescent="0.3">
      <c r="A68" s="113" t="str">
        <f>'Actual species'!A68</f>
        <v>Micropeplus ripicola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1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</row>
    <row r="69" spans="1:18" x14ac:dyDescent="0.3">
      <c r="A69" s="113" t="str">
        <f>'Actual species'!A69</f>
        <v>Micropeplus sp.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1</v>
      </c>
      <c r="O69" s="2">
        <f>IF(SUM('Actual species'!R69)&gt;=1,1,IF(SUM('Actual species'!R69)="X",1,0))</f>
        <v>0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</row>
    <row r="70" spans="1:18" x14ac:dyDescent="0.3">
      <c r="A70" s="113" t="str">
        <f>'Actual species'!A70</f>
        <v>Micropeplus staphylinoides</v>
      </c>
      <c r="B70" s="66">
        <f>IF(SUM('Actual species'!B70:E70)&gt;=1,1,IF(SUM('Actual species'!B70:E70)="X",1,0))</f>
        <v>1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1</v>
      </c>
      <c r="E70" s="2">
        <f>IF(SUM('Actual species'!H70)&gt;=1,1,IF(SUM('Actual species'!H70)="X",1,0))</f>
        <v>1</v>
      </c>
      <c r="F70" s="2">
        <f>IF(SUM('Actual species'!I70)&gt;=1,1,IF(SUM('Actual species'!I70)="X",1,0))</f>
        <v>1</v>
      </c>
      <c r="G70" s="2">
        <f>IF(SUM('Actual species'!J70)&gt;=1,1,IF(SUM('Actual species'!J70)="X",1,0))</f>
        <v>1</v>
      </c>
      <c r="H70" s="2">
        <f>IF(SUM('Actual species'!K70)&gt;=1,1,IF(SUM('Actual species'!K70)="X",1,0))</f>
        <v>1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1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0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</row>
    <row r="71" spans="1:18" x14ac:dyDescent="0.3">
      <c r="A71" s="113" t="str">
        <f>'Actual species'!A71</f>
        <v>Pselaphinae</v>
      </c>
      <c r="B71" s="66">
        <f>IF(SUM('Actual species'!B71:E71)&gt;=1,1,IF(SUM('Actual species'!B71:E71)="X",1,0))</f>
        <v>0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0</v>
      </c>
      <c r="E71" s="2">
        <f>IF(SUM('Actual species'!H71)&gt;=1,1,IF(SUM('Actual species'!H71)="X",1,0))</f>
        <v>0</v>
      </c>
      <c r="F71" s="2">
        <f>IF(SUM('Actual species'!I71)&gt;=1,1,IF(SUM('Actual species'!I71)="X",1,0))</f>
        <v>0</v>
      </c>
      <c r="G71" s="2">
        <f>IF(SUM('Actual species'!J71)&gt;=1,1,IF(SUM('Actual species'!J71)="X",1,0))</f>
        <v>0</v>
      </c>
      <c r="H71" s="2">
        <f>IF(SUM('Actual species'!K71)&gt;=1,1,IF(SUM('Actual species'!K71)="X",1,0))</f>
        <v>0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0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</row>
    <row r="72" spans="1:18" x14ac:dyDescent="0.3">
      <c r="A72" s="113" t="str">
        <f>'Actual species'!A72</f>
        <v>Afropselaphus n. sp.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1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1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</row>
    <row r="73" spans="1:18" x14ac:dyDescent="0.3">
      <c r="A73" s="113" t="str">
        <f>'Actual species'!A73</f>
        <v>Afroselaphus spec. Nov. (female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0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1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0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</row>
    <row r="74" spans="1:18" x14ac:dyDescent="0.3">
      <c r="A74" s="113" t="str">
        <f>'Actual species'!A74</f>
        <v xml:space="preserve">*Amauronyx assingi (E) 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1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0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</row>
    <row r="75" spans="1:18" x14ac:dyDescent="0.3">
      <c r="A75" s="113" t="str">
        <f>'Actual species'!A75</f>
        <v xml:space="preserve">Amauronyx paganettii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0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</row>
    <row r="76" spans="1:18" x14ac:dyDescent="0.3">
      <c r="A76" s="113" t="str">
        <f>'Actual species'!A76</f>
        <v>Batrisodes oculatus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</row>
    <row r="77" spans="1:18" x14ac:dyDescent="0.3">
      <c r="A77" s="113" t="str">
        <f>'Actual species'!A77</f>
        <v xml:space="preserve">Batrisodes paganettii (E) 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</row>
    <row r="78" spans="1:18" x14ac:dyDescent="0.3">
      <c r="A78" s="113" t="str">
        <f>'Actual species'!A78</f>
        <v>Bibloplectus ambiguus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</row>
    <row r="79" spans="1:18" x14ac:dyDescent="0.3">
      <c r="A79" s="113" t="str">
        <f>'Actual species'!A79</f>
        <v>Bibloplectus beaumonti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1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</row>
    <row r="80" spans="1:18" x14ac:dyDescent="0.3">
      <c r="A80" s="113" t="str">
        <f>'Actual species'!A80</f>
        <v>Bibloplectus elegans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</row>
    <row r="81" spans="1:18" x14ac:dyDescent="0.3">
      <c r="A81" s="113" t="str">
        <f>'Actual species'!A81</f>
        <v>Bibloplectus hellenicus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</row>
    <row r="82" spans="1:18" x14ac:dyDescent="0.3">
      <c r="A82" s="113" t="str">
        <f>'Actual species'!A82</f>
        <v>Bibloplectus jeanelli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</row>
    <row r="83" spans="1:18" x14ac:dyDescent="0.3">
      <c r="A83" s="113" t="str">
        <f>'Actual species'!A83</f>
        <v>Bibloplectus parvulus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0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</row>
    <row r="84" spans="1:18" x14ac:dyDescent="0.3">
      <c r="A84" s="113" t="str">
        <f>'Actual species'!A84</f>
        <v>Brachygluta n. sp.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1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</row>
    <row r="85" spans="1:18" x14ac:dyDescent="0.3">
      <c r="A85" s="113" t="str">
        <f>'Actual species'!A85</f>
        <v>Brachygluta abrupta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0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</row>
    <row r="86" spans="1:18" x14ac:dyDescent="0.3">
      <c r="A86" s="113" t="str">
        <f>'Actual species'!A86</f>
        <v>Brachygluta cavernosa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1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1</v>
      </c>
      <c r="H86" s="2">
        <f>IF(SUM('Actual species'!K86)&gt;=1,1,IF(SUM('Actual species'!K86)="X",1,0))</f>
        <v>1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</row>
    <row r="87" spans="1:18" x14ac:dyDescent="0.3">
      <c r="A87" s="113" t="str">
        <f>'Actual species'!A87</f>
        <v>Brachygluta foveola foveola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0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1</v>
      </c>
      <c r="G87" s="2">
        <f>IF(SUM('Actual species'!J87)&gt;=1,1,IF(SUM('Actual species'!J87)="X",1,0))</f>
        <v>0</v>
      </c>
      <c r="H87" s="2">
        <f>IF(SUM('Actual species'!K87)&gt;=1,1,IF(SUM('Actual species'!K87)="X",1,0))</f>
        <v>0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</row>
    <row r="88" spans="1:18" x14ac:dyDescent="0.3">
      <c r="A88" s="113" t="str">
        <f>'Actual species'!A88</f>
        <v>Brachygluta furcata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0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</row>
    <row r="89" spans="1:18" x14ac:dyDescent="0.3">
      <c r="A89" s="113" t="str">
        <f>'Actual species'!A89</f>
        <v xml:space="preserve">Brachygluta gnosiaca (E) 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</row>
    <row r="90" spans="1:18" x14ac:dyDescent="0.3">
      <c r="A90" s="113" t="str">
        <f>'Actual species'!A90</f>
        <v>Brachygluta helferi longispina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1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</row>
    <row r="91" spans="1:18" x14ac:dyDescent="0.3">
      <c r="A91" s="113" t="str">
        <f>'Actual species'!A91</f>
        <v>Brachygluta ochanensis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1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0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</row>
    <row r="92" spans="1:18" x14ac:dyDescent="0.3">
      <c r="A92" s="113" t="str">
        <f>'Actual species'!A92</f>
        <v>Brachygluta spinicoxis fuchsii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1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0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</row>
    <row r="93" spans="1:18" x14ac:dyDescent="0.3">
      <c r="A93" s="113" t="str">
        <f>'Actual species'!A93</f>
        <v>Brachygluta transversalis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0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0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</row>
    <row r="94" spans="1:18" x14ac:dyDescent="0.3">
      <c r="A94" s="113" t="str">
        <f>'Actual species'!A94</f>
        <v>Brachygluta xanthoptera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</row>
    <row r="95" spans="1:18" x14ac:dyDescent="0.3">
      <c r="A95" s="113" t="str">
        <f>'Actual species'!A95</f>
        <v>Bryaxis anatolicus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1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</row>
    <row r="96" spans="1:18" x14ac:dyDescent="0.3">
      <c r="A96" s="113" t="str">
        <f>'Actual species'!A96</f>
        <v>Bryaxis callipus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0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1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</row>
    <row r="97" spans="1:18" x14ac:dyDescent="0.3">
      <c r="A97" s="113" t="str">
        <f>'Actual species'!A97</f>
        <v>Bryaxis convexus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</row>
    <row r="98" spans="1:18" x14ac:dyDescent="0.3">
      <c r="A98" s="113" t="str">
        <f>'Actual species'!A98</f>
        <v>Bryaxis corcyreus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</row>
    <row r="99" spans="1:18" x14ac:dyDescent="0.3">
      <c r="A99" s="113" t="str">
        <f>'Actual species'!A99</f>
        <v xml:space="preserve">*Bryaxis lesbius (E) 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1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0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</row>
    <row r="100" spans="1:18" x14ac:dyDescent="0.3">
      <c r="A100" s="113" t="str">
        <f>'Actual species'!A100</f>
        <v>Bryaxis nov. sp.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0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1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</row>
    <row r="101" spans="1:18" x14ac:dyDescent="0.3">
      <c r="A101" s="113" t="str">
        <f>'Actual species'!A101</f>
        <v>Bryaxis pumilus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1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0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</row>
    <row r="102" spans="1:18" x14ac:dyDescent="0.3">
      <c r="A102" s="113" t="str">
        <f>'Actual species'!A102</f>
        <v>Bryaxis sp. (female)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1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</row>
    <row r="103" spans="1:18" x14ac:dyDescent="0.3">
      <c r="A103" s="113" t="str">
        <f>'Actual species'!A103</f>
        <v>Bythinus acutangulus atticus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0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</row>
    <row r="104" spans="1:18" x14ac:dyDescent="0.3">
      <c r="A104" s="113" t="str">
        <f>'Actual species'!A104</f>
        <v xml:space="preserve">*Bythinus icariensis (E) 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1</v>
      </c>
      <c r="E104" s="2">
        <f>IF(SUM('Actual species'!H104)&gt;=1,1,IF(SUM('Actual species'!H104)="X",1,0))</f>
        <v>0</v>
      </c>
      <c r="F104" s="2">
        <f>IF(SUM('Actual species'!I104)&gt;=1,1,IF(SUM('Actual species'!I104)="X",1,0))</f>
        <v>0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</row>
    <row r="105" spans="1:18" x14ac:dyDescent="0.3">
      <c r="A105" s="113" t="str">
        <f>'Actual species'!A105</f>
        <v>Bythinus petulans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1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</row>
    <row r="106" spans="1:18" x14ac:dyDescent="0.3">
      <c r="A106" s="113" t="str">
        <f>'Actual species'!A106</f>
        <v>Bythinus simplicipalpis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1</v>
      </c>
      <c r="F106" s="2">
        <f>IF(SUM('Actual species'!I106)&gt;=1,1,IF(SUM('Actual species'!I106)="X",1,0))</f>
        <v>1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0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</row>
    <row r="107" spans="1:18" x14ac:dyDescent="0.3">
      <c r="A107" s="113" t="str">
        <f>'Actual species'!A107</f>
        <v>Bythinus sp. (female)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0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1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</row>
    <row r="108" spans="1:18" x14ac:dyDescent="0.3">
      <c r="A108" s="113" t="str">
        <f>'Actual species'!A108</f>
        <v>Bythinus sp. n.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1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1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0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</row>
    <row r="109" spans="1:18" x14ac:dyDescent="0.3">
      <c r="A109" s="113" t="str">
        <f>'Actual species'!A109</f>
        <v>Bythinus tener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0</v>
      </c>
      <c r="F109" s="2">
        <f>IF(SUM('Actual species'!I109)&gt;=1,1,IF(SUM('Actual species'!I109)="X",1,0))</f>
        <v>0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1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</row>
    <row r="110" spans="1:18" x14ac:dyDescent="0.3">
      <c r="A110" s="113" t="str">
        <f>'Actual species'!A110</f>
        <v xml:space="preserve">Claviger oertzeni (E) 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0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</row>
    <row r="111" spans="1:18" x14ac:dyDescent="0.3">
      <c r="A111" s="113" t="str">
        <f>'Actual species'!A111</f>
        <v>Claviger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0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</row>
    <row r="112" spans="1:18" x14ac:dyDescent="0.3">
      <c r="A112" s="113" t="str">
        <f>'Actual species'!A112</f>
        <v>*Claviger sp. (undescribed)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1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0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</row>
    <row r="113" spans="1:18" x14ac:dyDescent="0.3">
      <c r="A113" s="113" t="str">
        <f>'Actual species'!A113</f>
        <v>Ctenistes palpalis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</row>
    <row r="114" spans="1:18" x14ac:dyDescent="0.3">
      <c r="A114" s="113" t="str">
        <f>'Actual species'!A114</f>
        <v>Enoptostomus globulicornis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0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1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</row>
    <row r="115" spans="1:18" x14ac:dyDescent="0.3">
      <c r="A115" s="113" t="str">
        <f>'Actual species'!A115</f>
        <v>Euplectus frater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0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1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</row>
    <row r="116" spans="1:18" x14ac:dyDescent="0.3">
      <c r="A116" s="113" t="str">
        <f>'Actual species'!A116</f>
        <v>Euplectus jonicus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</row>
    <row r="117" spans="1:18" x14ac:dyDescent="0.3">
      <c r="A117" s="113" t="str">
        <f>'Actual species'!A117</f>
        <v>Euplectus mutator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0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1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</row>
    <row r="118" spans="1:18" x14ac:dyDescent="0.3">
      <c r="A118" s="113" t="str">
        <f>'Actual species'!A118</f>
        <v xml:space="preserve">*Euplectus meybohmi (E) 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1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0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</row>
    <row r="119" spans="1:18" x14ac:dyDescent="0.3">
      <c r="A119" s="113" t="str">
        <f>'Actual species'!A119</f>
        <v>Euplectus verticalis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1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</row>
    <row r="120" spans="1:18" x14ac:dyDescent="0.3">
      <c r="A120" s="113" t="str">
        <f>'Actual species'!A120</f>
        <v>Faronus distinctus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1</v>
      </c>
      <c r="F120" s="2">
        <f>IF(SUM('Actual species'!I120)&gt;=1,1,IF(SUM('Actual species'!I120)="X",1,0))</f>
        <v>1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1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0</v>
      </c>
      <c r="K120" s="2">
        <f>IF(SUM('Actual species'!N120)&gt;=1,1,IF(SUM('Actual species'!N120)="X",1,0))</f>
        <v>1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</row>
    <row r="121" spans="1:18" x14ac:dyDescent="0.3">
      <c r="A121" s="113" t="str">
        <f>'Actual species'!A121</f>
        <v xml:space="preserve">*Faronus icariensis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1</v>
      </c>
      <c r="E121" s="2">
        <f>IF(SUM('Actual species'!H121)&gt;=1,1,IF(SUM('Actual species'!H121)="X",1,0))</f>
        <v>0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</row>
    <row r="122" spans="1:18" x14ac:dyDescent="0.3">
      <c r="A122" s="113" t="str">
        <f>'Actual species'!A122</f>
        <v>Faronus nov.sp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1</v>
      </c>
      <c r="J122" s="2">
        <f>IF(SUM('Actual species'!M122)&gt;=1,1,IF(SUM('Actual species'!M122)="X",1,0))</f>
        <v>0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</row>
    <row r="123" spans="1:18" x14ac:dyDescent="0.3">
      <c r="A123" s="113" t="str">
        <f>'Actual species'!A123</f>
        <v>Faronus parallelus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0</v>
      </c>
      <c r="F123" s="2">
        <f>IF(SUM('Actual species'!I123)&gt;=1,1,IF(SUM('Actual species'!I123)="X",1,0))</f>
        <v>0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0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1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</row>
    <row r="124" spans="1:18" x14ac:dyDescent="0.3">
      <c r="A124" s="113" t="str">
        <f>'Actual species'!A124</f>
        <v>Meliceria acanthifera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0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1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</row>
    <row r="125" spans="1:18" x14ac:dyDescent="0.3">
      <c r="A125" s="113" t="str">
        <f>'Actual species'!A125</f>
        <v xml:space="preserve">*Namunia cavernicola (E) 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1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0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</row>
    <row r="126" spans="1:18" x14ac:dyDescent="0.3">
      <c r="A126" s="113" t="str">
        <f>'Actual species'!A126</f>
        <v>Namunia mymecophila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1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1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0</v>
      </c>
      <c r="K126" s="2">
        <f>IF(SUM('Actual species'!N126)&gt;=1,1,IF(SUM('Actual species'!N126)="X",1,0))</f>
        <v>0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0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</row>
    <row r="127" spans="1:18" x14ac:dyDescent="0.3">
      <c r="A127" s="113" t="str">
        <f>'Actual species'!A127</f>
        <v>Panaphantus atomus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0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</row>
    <row r="128" spans="1:18" x14ac:dyDescent="0.3">
      <c r="A128" s="113" t="str">
        <f>'Actual species'!A128</f>
        <v>Paramaurops sp. n.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</row>
    <row r="129" spans="1:18" x14ac:dyDescent="0.3">
      <c r="A129" s="113" t="str">
        <f>'Actual species'!A129</f>
        <v>Paratychus mendax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1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0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</row>
    <row r="130" spans="1:18" x14ac:dyDescent="0.3">
      <c r="A130" s="113" t="str">
        <f>'Actual species'!A130</f>
        <v xml:space="preserve">*Paratychus kerkisicus (E) 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1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</row>
    <row r="131" spans="1:18" x14ac:dyDescent="0.3">
      <c r="A131" s="113" t="str">
        <f>'Actual species'!A131</f>
        <v xml:space="preserve">*Protamaurops assingi (E) 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0</v>
      </c>
      <c r="F131" s="2">
        <f>IF(SUM('Actual species'!I131)&gt;=1,1,IF(SUM('Actual species'!I131)="X",1,0))</f>
        <v>1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</row>
    <row r="132" spans="1:18" x14ac:dyDescent="0.3">
      <c r="A132" s="113" t="str">
        <f>'Actual species'!A132</f>
        <v>Reichenbachia chevrieri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0</v>
      </c>
      <c r="F132" s="2">
        <f>IF(SUM('Actual species'!I132)&gt;=1,1,IF(SUM('Actual species'!I132)="X",1,0))</f>
        <v>0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</row>
    <row r="133" spans="1:18" x14ac:dyDescent="0.3">
      <c r="A133" s="113" t="str">
        <f>'Actual species'!A133</f>
        <v>Reichenbachia nigriventris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0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1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</row>
    <row r="134" spans="1:18" x14ac:dyDescent="0.3">
      <c r="A134" s="113" t="str">
        <f>'Actual species'!A134</f>
        <v>Rybaxis longicornis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0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1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</row>
    <row r="135" spans="1:18" x14ac:dyDescent="0.3">
      <c r="A135" s="113" t="str">
        <f>'Actual species'!A135</f>
        <v>Tribatus creticus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1</v>
      </c>
      <c r="F135" s="2">
        <f>IF(SUM('Actual species'!I135)&gt;=1,1,IF(SUM('Actual species'!I135)="X",1,0))</f>
        <v>1</v>
      </c>
      <c r="G135" s="2">
        <f>IF(SUM('Actual species'!J135)&gt;=1,1,IF(SUM('Actual species'!J135)="X",1,0))</f>
        <v>1</v>
      </c>
      <c r="H135" s="2">
        <f>IF(SUM('Actual species'!K135)&gt;=1,1,IF(SUM('Actual species'!K135)="X",1,0))</f>
        <v>1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</row>
    <row r="136" spans="1:18" x14ac:dyDescent="0.3">
      <c r="A136" s="113" t="str">
        <f>'Actual species'!A136</f>
        <v>Trimium carpathicum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</row>
    <row r="137" spans="1:18" x14ac:dyDescent="0.3">
      <c r="A137" s="113" t="str">
        <f>'Actual species'!A137</f>
        <v>Trimium caucasicum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1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0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</row>
    <row r="138" spans="1:18" x14ac:dyDescent="0.3">
      <c r="A138" s="113" t="str">
        <f>'Actual species'!A138</f>
        <v>Trimium expandum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0</v>
      </c>
      <c r="F138" s="2">
        <f>IF(SUM('Actual species'!I138)&gt;=1,1,IF(SUM('Actual species'!I138)="X",1,0))</f>
        <v>0</v>
      </c>
      <c r="G138" s="2">
        <f>IF(SUM('Actual species'!J138)&gt;=1,1,IF(SUM('Actual species'!J138)="X",1,0))</f>
        <v>0</v>
      </c>
      <c r="H138" s="2">
        <f>IF(SUM('Actual species'!K138)&gt;=1,1,IF(SUM('Actual species'!K138)="X",1,0))</f>
        <v>0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1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</row>
    <row r="139" spans="1:18" x14ac:dyDescent="0.3">
      <c r="A139" s="113" t="str">
        <f>'Actual species'!A139</f>
        <v>Trimium libani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0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</row>
    <row r="140" spans="1:18" x14ac:dyDescent="0.3">
      <c r="A140" s="113" t="str">
        <f>'Actual species'!A140</f>
        <v>Trimium sp.n. (female)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</row>
    <row r="141" spans="1:18" x14ac:dyDescent="0.3">
      <c r="A141" s="113" t="str">
        <f>'Actual species'!A141</f>
        <v>Trissemus antennatus serricornis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0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</row>
    <row r="142" spans="1:18" x14ac:dyDescent="0.3">
      <c r="A142" s="113" t="str">
        <f>'Actual species'!A142</f>
        <v xml:space="preserve">*Tychobythinus brachati (E) 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1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</row>
    <row r="143" spans="1:18" x14ac:dyDescent="0.3">
      <c r="A143" s="113" t="str">
        <f>'Actual species'!A143</f>
        <v>Tychobythinus cavifrons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0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</row>
    <row r="144" spans="1:18" x14ac:dyDescent="0.3">
      <c r="A144" s="113" t="str">
        <f>'Actual species'!A144</f>
        <v>Tychobythinus pauper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0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</row>
    <row r="145" spans="1:18" x14ac:dyDescent="0.3">
      <c r="A145" s="113" t="str">
        <f>'Actual species'!A145</f>
        <v>Tychus anatolicus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1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</row>
    <row r="146" spans="1:18" x14ac:dyDescent="0.3">
      <c r="A146" s="113" t="str">
        <f>'Actual species'!A146</f>
        <v>Tychus apfelbecki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1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0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</row>
    <row r="147" spans="1:18" x14ac:dyDescent="0.3">
      <c r="A147" s="113" t="str">
        <f>'Actual species'!A147</f>
        <v>Tychus caudatus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0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1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</row>
    <row r="148" spans="1:18" x14ac:dyDescent="0.3">
      <c r="A148" s="113" t="str">
        <f>'Actual species'!A148</f>
        <v xml:space="preserve">Tychus carpathius (E) 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</row>
    <row r="149" spans="1:18" x14ac:dyDescent="0.3">
      <c r="A149" s="113" t="str">
        <f>'Actual species'!A149</f>
        <v>Tychus cordiger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</row>
    <row r="150" spans="1:18" x14ac:dyDescent="0.3">
      <c r="A150" s="113" t="str">
        <f>'Actual species'!A150</f>
        <v xml:space="preserve">Tychus creticus (E) 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0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</row>
    <row r="151" spans="1:18" x14ac:dyDescent="0.3">
      <c r="A151" s="113" t="str">
        <f>'Actual species'!A151</f>
        <v>Tychus dalmatinus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0</v>
      </c>
      <c r="G151" s="2">
        <f>IF(SUM('Actual species'!J151)&gt;=1,1,IF(SUM('Actual species'!J151)="X",1,0))</f>
        <v>1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1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</row>
    <row r="152" spans="1:18" x14ac:dyDescent="0.3">
      <c r="A152" s="113" t="str">
        <f>'Actual species'!A152</f>
        <v xml:space="preserve">*Tychus icariensis (E) 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1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0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</row>
    <row r="153" spans="1:18" x14ac:dyDescent="0.3">
      <c r="A153" s="113" t="str">
        <f>'Actual species'!A153</f>
        <v xml:space="preserve">*Tychus jonicus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</row>
    <row r="154" spans="1:18" x14ac:dyDescent="0.3">
      <c r="A154" s="113" t="str">
        <f>'Actual species'!A154</f>
        <v xml:space="preserve">Tychus lagrecai (E) 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1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</row>
    <row r="155" spans="1:18" x14ac:dyDescent="0.3">
      <c r="A155" s="113" t="str">
        <f>'Actual species'!A155</f>
        <v>Tychus laminiger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1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</row>
    <row r="156" spans="1:18" x14ac:dyDescent="0.3">
      <c r="A156" s="113" t="str">
        <f>'Actual species'!A156</f>
        <v xml:space="preserve">*Tychus lesbius (E) 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1</v>
      </c>
      <c r="G156" s="2">
        <f>IF(SUM('Actual species'!J156)&gt;=1,1,IF(SUM('Actual species'!J156)="X",1,0))</f>
        <v>0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0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</row>
    <row r="157" spans="1:18" x14ac:dyDescent="0.3">
      <c r="A157" s="113" t="str">
        <f>'Actual species'!A157</f>
        <v xml:space="preserve">*Tychus moecha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0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1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</row>
    <row r="158" spans="1:18" s="49" customFormat="1" x14ac:dyDescent="0.3">
      <c r="A158" s="113" t="str">
        <f>'Actual species'!A158</f>
        <v>Tychus n. sp.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1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1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</row>
    <row r="159" spans="1:18" x14ac:dyDescent="0.3">
      <c r="A159" s="113" t="str">
        <f>'Actual species'!A159</f>
        <v>Tychus pullus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0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</row>
    <row r="160" spans="1:18" x14ac:dyDescent="0.3">
      <c r="A160" s="113" t="str">
        <f>'Actual species'!A160</f>
        <v xml:space="preserve">Tychus reitteranus (E) 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0</v>
      </c>
      <c r="G160" s="2">
        <f>IF(SUM('Actual species'!J160)&gt;=1,1,IF(SUM('Actual species'!J160)="X",1,0))</f>
        <v>1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</row>
    <row r="161" spans="1:18" s="49" customFormat="1" x14ac:dyDescent="0.3">
      <c r="A161" s="113" t="str">
        <f>'Actual species'!A161</f>
        <v>Tychus rhodensis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0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1</v>
      </c>
      <c r="I161" s="2">
        <f>IF(SUM('Actual species'!L161)&gt;=1,1,IF(SUM('Actual species'!L161)="X",1,0))</f>
        <v>1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</row>
    <row r="162" spans="1:18" x14ac:dyDescent="0.3">
      <c r="A162" s="113" t="str">
        <f>'Actual species'!A162</f>
        <v>Tychus rufus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0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</row>
    <row r="163" spans="1:18" x14ac:dyDescent="0.3">
      <c r="A163" s="113" t="str">
        <f>'Actual species'!A163</f>
        <v>Tychus spec. (female)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0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1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0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</row>
    <row r="164" spans="1:18" x14ac:dyDescent="0.3">
      <c r="A164" s="113" t="str">
        <f>'Actual species'!A164</f>
        <v xml:space="preserve">*Tychus torticornis (E) 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1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</row>
    <row r="165" spans="1:18" x14ac:dyDescent="0.3">
      <c r="A165" s="113" t="str">
        <f>'Actual species'!A165</f>
        <v xml:space="preserve">*Tychus triumphator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1</v>
      </c>
      <c r="G165" s="2">
        <f>IF(SUM('Actual species'!J165)&gt;=1,1,IF(SUM('Actual species'!J165)="X",1,0))</f>
        <v>0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</row>
    <row r="166" spans="1:18" x14ac:dyDescent="0.3">
      <c r="A166" s="113" t="str">
        <f>'Actual species'!A166</f>
        <v xml:space="preserve">*Zoufalia corcyrea (E) 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0</v>
      </c>
      <c r="I166" s="2">
        <f>IF(SUM('Actual species'!L166)&gt;=1,1,IF(SUM('Actual species'!L166)="X",1,0))</f>
        <v>0</v>
      </c>
      <c r="J166" s="2">
        <f>IF(SUM('Actual species'!M166)&gt;=1,1,IF(SUM('Actual species'!M166)="X",1,0))</f>
        <v>1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</row>
    <row r="167" spans="1:18" x14ac:dyDescent="0.3">
      <c r="A167" s="113" t="str">
        <f>'Actual species'!A167</f>
        <v xml:space="preserve">*Zoufalia nobilis (E) 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</row>
    <row r="168" spans="1:18" x14ac:dyDescent="0.3">
      <c r="A168" s="113" t="str">
        <f>'Actual species'!A168</f>
        <v>Phloeocharinae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0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</row>
    <row r="169" spans="1:18" x14ac:dyDescent="0.3">
      <c r="A169" s="113" t="str">
        <f>'Actual species'!A169</f>
        <v>Phloeocharis longipennis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1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</row>
    <row r="170" spans="1:18" x14ac:dyDescent="0.3">
      <c r="A170" s="113" t="str">
        <f>'Actual species'!A170</f>
        <v>Phloeocharis subtilissima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0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1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</row>
    <row r="171" spans="1:18" x14ac:dyDescent="0.3">
      <c r="A171" s="113" t="str">
        <f>'Actual species'!A171</f>
        <v>Tachyporinae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0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</row>
    <row r="172" spans="1:18" x14ac:dyDescent="0.3">
      <c r="A172" s="113" t="str">
        <f>'Actual species'!A172</f>
        <v>Bolitobius castaneus castaneus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</row>
    <row r="173" spans="1:18" x14ac:dyDescent="0.3">
      <c r="A173" s="113" t="str">
        <f>'Actual species'!A173</f>
        <v>Bolitobius inclinans</v>
      </c>
      <c r="B173" s="66">
        <f>IF(SUM('Actual species'!B173:E173)&gt;=1,1,IF(SUM('Actual species'!B173:E173)="X",1,0))</f>
        <v>1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</row>
    <row r="174" spans="1:18" x14ac:dyDescent="0.3">
      <c r="A174" s="113" t="str">
        <f>'Actual species'!A174</f>
        <v>Bryoporus multipunctus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0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</row>
    <row r="175" spans="1:18" x14ac:dyDescent="0.3">
      <c r="A175" s="113" t="str">
        <f>'Actual species'!A175</f>
        <v>Cilea silphoides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</row>
    <row r="176" spans="1:18" x14ac:dyDescent="0.3">
      <c r="A176" s="113" t="str">
        <f>'Actual species'!A176</f>
        <v>Ischnosoma loebli</v>
      </c>
      <c r="B176" s="66">
        <f>IF(SUM('Actual species'!B176:E176)&gt;=1,1,IF(SUM('Actual species'!B176:E176)="X",1,0))</f>
        <v>1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</row>
    <row r="177" spans="1:18" x14ac:dyDescent="0.3">
      <c r="A177" s="113" t="str">
        <f>'Actual species'!A177</f>
        <v>Ischnosoma longicorne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1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1</v>
      </c>
      <c r="N177" s="2">
        <f>IF(SUM('Actual species'!Q177)&gt;=1,1,IF(SUM('Actual species'!Q177)="X",1,0))</f>
        <v>1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1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</row>
    <row r="178" spans="1:18" x14ac:dyDescent="0.3">
      <c r="A178" s="113" t="str">
        <f>'Actual species'!A178</f>
        <v>Ischnosoma splendidum</v>
      </c>
      <c r="B178" s="66">
        <f>IF(SUM('Actual species'!B178:E178)&gt;=1,1,IF(SUM('Actual species'!B178:E178)="X",1,0))</f>
        <v>0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1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</row>
    <row r="179" spans="1:18" x14ac:dyDescent="0.3">
      <c r="A179" s="113" t="str">
        <f>'Actual species'!A179</f>
        <v>Lamprinodes pictus</v>
      </c>
      <c r="B179" s="66">
        <f>IF(SUM('Actual species'!B179:E179)&gt;=1,1,IF(SUM('Actual species'!B179:E179)="X",1,0))</f>
        <v>1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0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</row>
    <row r="180" spans="1:18" x14ac:dyDescent="0.3">
      <c r="A180" s="113" t="str">
        <f>'Actual species'!A180</f>
        <v>Lamprinus erythropterus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0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</row>
    <row r="181" spans="1:18" x14ac:dyDescent="0.3">
      <c r="A181" s="113" t="str">
        <f>'Actual species'!A181</f>
        <v>Lordithon bimaculatus</v>
      </c>
      <c r="B181" s="66">
        <f>IF(SUM('Actual species'!B181:E181)&gt;=1,1,IF(SUM('Actual species'!B181:E181)="X",1,0))</f>
        <v>0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1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</row>
    <row r="182" spans="1:18" x14ac:dyDescent="0.3">
      <c r="A182" s="113" t="str">
        <f>'Actual species'!A182</f>
        <v>Lordithon exoletus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1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0</v>
      </c>
      <c r="O182" s="2">
        <f>IF(SUM('Actual species'!R182)&gt;=1,1,IF(SUM('Actual species'!R182)="X",1,0))</f>
        <v>0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0</v>
      </c>
      <c r="R182" s="2">
        <f>IF(SUM('Actual species'!U182)&gt;=1,1,IF(SUM('Actual species'!U182)="X",1,0))</f>
        <v>0</v>
      </c>
    </row>
    <row r="183" spans="1:18" x14ac:dyDescent="0.3">
      <c r="A183" s="113" t="str">
        <f>'Actual species'!A183</f>
        <v>Lordithon lunulatus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1</v>
      </c>
      <c r="Q183" s="2">
        <f>IF(SUM('Actual species'!T183)&gt;=1,1,IF(SUM('Actual species'!T183)="X",1,0))</f>
        <v>0</v>
      </c>
      <c r="R183" s="2">
        <f>IF(SUM('Actual species'!U183)&gt;=1,1,IF(SUM('Actual species'!U183)="X",1,0))</f>
        <v>0</v>
      </c>
    </row>
    <row r="184" spans="1:18" x14ac:dyDescent="0.3">
      <c r="A184" s="113" t="str">
        <f>'Actual species'!A184</f>
        <v>Lordithon thoracicus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1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1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1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1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1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</row>
    <row r="185" spans="1:18" x14ac:dyDescent="0.3">
      <c r="A185" s="113" t="str">
        <f>'Actual species'!A185</f>
        <v>Lordithon trinotatus</v>
      </c>
      <c r="B185" s="66">
        <f>IF(SUM('Actual species'!B185:E185)&gt;=1,1,IF(SUM('Actual species'!B185:E185)="X",1,0))</f>
        <v>1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1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1</v>
      </c>
      <c r="N185" s="2">
        <f>IF(SUM('Actual species'!Q185)&gt;=1,1,IF(SUM('Actual species'!Q185)="X",1,0))</f>
        <v>1</v>
      </c>
      <c r="O185" s="2">
        <f>IF(SUM('Actual species'!R185)&gt;=1,1,IF(SUM('Actual species'!R185)="X",1,0))</f>
        <v>1</v>
      </c>
      <c r="P185" s="2">
        <f>IF(SUM('Actual species'!S185)&gt;=1,1,IF(SUM('Actual species'!S185)="X",1,0))</f>
        <v>1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</row>
    <row r="186" spans="1:18" x14ac:dyDescent="0.3">
      <c r="A186" s="113" t="str">
        <f>'Actual species'!A186</f>
        <v>Mycetoporus 4 spp.</v>
      </c>
      <c r="B186" s="66">
        <f>IF(SUM('Actual species'!B186:E186)&gt;=1,1,IF(SUM('Actual species'!B186:E186)="X",1,0))</f>
        <v>1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0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</row>
    <row r="187" spans="1:18" x14ac:dyDescent="0.3">
      <c r="A187" s="113" t="str">
        <f>'Actual species'!A187</f>
        <v>Mycetoporus ambiguus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0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0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</row>
    <row r="188" spans="1:18" x14ac:dyDescent="0.3">
      <c r="A188" s="113" t="str">
        <f>'Actual species'!A188</f>
        <v>Mycetoporus baudueri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1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1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1</v>
      </c>
      <c r="Q188" s="2">
        <f>IF(SUM('Actual species'!T188)&gt;=1,1,IF(SUM('Actual species'!T188)="X",1,0))</f>
        <v>0</v>
      </c>
      <c r="R188" s="2">
        <f>IF(SUM('Actual species'!U188)&gt;=1,1,IF(SUM('Actual species'!U188)="X",1,0))</f>
        <v>0</v>
      </c>
    </row>
    <row r="189" spans="1:18" x14ac:dyDescent="0.3">
      <c r="A189" s="113" t="str">
        <f>'Actual species'!A189</f>
        <v>Mycetoporus bimaculatus</v>
      </c>
      <c r="B189" s="66">
        <f>IF(SUM('Actual species'!B189:E189)&gt;=1,1,IF(SUM('Actual species'!B189:E189)="X",1,0))</f>
        <v>0</v>
      </c>
      <c r="C189" s="2">
        <f>IF(SUM('Actual species'!F189)&gt;=1,1,IF(SUM('Actual species'!F189)="X",1,0))</f>
        <v>0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0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0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0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1</v>
      </c>
      <c r="Q189" s="2">
        <f>IF(SUM('Actual species'!T189)&gt;=1,1,IF(SUM('Actual species'!T189)="X",1,0))</f>
        <v>0</v>
      </c>
      <c r="R189" s="2">
        <f>IF(SUM('Actual species'!U189)&gt;=1,1,IF(SUM('Actual species'!U189)="X",1,0))</f>
        <v>0</v>
      </c>
    </row>
    <row r="190" spans="1:18" x14ac:dyDescent="0.3">
      <c r="A190" s="113" t="str">
        <f>'Actual species'!A190</f>
        <v>Mycetoporus bosnicus</v>
      </c>
      <c r="B190" s="66">
        <f>IF(SUM('Actual species'!B190:E190)&gt;=1,1,IF(SUM('Actual species'!B190:E190)="X",1,0))</f>
        <v>0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0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0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0</v>
      </c>
      <c r="R190" s="2">
        <f>IF(SUM('Actual species'!U190)&gt;=1,1,IF(SUM('Actual species'!U190)="X",1,0))</f>
        <v>0</v>
      </c>
    </row>
    <row r="191" spans="1:18" x14ac:dyDescent="0.3">
      <c r="A191" s="113" t="str">
        <f>'Actual species'!A191</f>
        <v>Mycetoporus brucki</v>
      </c>
      <c r="B191" s="66">
        <f>IF(SUM('Actual species'!B191:E191)&gt;=1,1,IF(SUM('Actual species'!B191:E191)="X",1,0))</f>
        <v>0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1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1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</row>
    <row r="192" spans="1:18" x14ac:dyDescent="0.3">
      <c r="A192" s="113" t="str">
        <f>'Actual species'!A192</f>
        <v>Mycetoporus cf. bosnicus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1</v>
      </c>
      <c r="P192" s="2">
        <f>IF(SUM('Actual species'!S192)&gt;=1,1,IF(SUM('Actual species'!S192)="X",1,0))</f>
        <v>1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</row>
    <row r="193" spans="1:18" x14ac:dyDescent="0.3">
      <c r="A193" s="113" t="str">
        <f>'Actual species'!A193</f>
        <v>Mycetoporus cf. confinis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1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0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0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0</v>
      </c>
      <c r="R193" s="2">
        <f>IF(SUM('Actual species'!U193)&gt;=1,1,IF(SUM('Actual species'!U193)="X",1,0))</f>
        <v>0</v>
      </c>
    </row>
    <row r="194" spans="1:18" x14ac:dyDescent="0.3">
      <c r="A194" s="113" t="str">
        <f>'Actual species'!A194</f>
        <v>Mycetoporus cf. erichsonanus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1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0</v>
      </c>
      <c r="R194" s="2">
        <f>IF(SUM('Actual species'!U194)&gt;=1,1,IF(SUM('Actual species'!U194)="X",1,0))</f>
        <v>0</v>
      </c>
    </row>
    <row r="195" spans="1:18" x14ac:dyDescent="0.3">
      <c r="A195" s="113" t="str">
        <f>'Actual species'!A195</f>
        <v>Mycetoporus cf. glaber</v>
      </c>
      <c r="B195" s="66">
        <f>IF(SUM('Actual species'!B195:E195)&gt;=1,1,IF(SUM('Actual species'!B195:E195)="X",1,0))</f>
        <v>1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0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0</v>
      </c>
      <c r="R195" s="2">
        <f>IF(SUM('Actual species'!U195)&gt;=1,1,IF(SUM('Actual species'!U195)="X",1,0))</f>
        <v>0</v>
      </c>
    </row>
    <row r="196" spans="1:18" x14ac:dyDescent="0.3">
      <c r="A196" s="113" t="str">
        <f>'Actual species'!A196</f>
        <v>Mycetoporus cf. Nigricollis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1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0</v>
      </c>
      <c r="R196" s="2">
        <f>IF(SUM('Actual species'!U196)&gt;=1,1,IF(SUM('Actual species'!U196)="X",1,0))</f>
        <v>0</v>
      </c>
    </row>
    <row r="197" spans="1:18" x14ac:dyDescent="0.3">
      <c r="A197" s="113" t="str">
        <f>'Actual species'!A197</f>
        <v>Mycetoporus cf. simillimus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1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1</v>
      </c>
      <c r="H197" s="2">
        <f>IF(SUM('Actual species'!K197)&gt;=1,1,IF(SUM('Actual species'!K197)="X",1,0))</f>
        <v>1</v>
      </c>
      <c r="I197" s="2">
        <f>IF(SUM('Actual species'!L197)&gt;=1,1,IF(SUM('Actual species'!L197)="X",1,0))</f>
        <v>1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0</v>
      </c>
      <c r="Q197" s="2">
        <f>IF(SUM('Actual species'!T197)&gt;=1,1,IF(SUM('Actual species'!T197)="X",1,0))</f>
        <v>0</v>
      </c>
      <c r="R197" s="2">
        <f>IF(SUM('Actual species'!U197)&gt;=1,1,IF(SUM('Actual species'!U197)="X",1,0))</f>
        <v>0</v>
      </c>
    </row>
    <row r="198" spans="1:18" x14ac:dyDescent="0.3">
      <c r="A198" s="113" t="str">
        <f>'Actual species'!A198</f>
        <v>Mycetoporus clavicornis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0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</row>
    <row r="199" spans="1:18" x14ac:dyDescent="0.3">
      <c r="A199" s="113" t="str">
        <f>'Actual species'!A199</f>
        <v>Mycetoporus confinis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1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1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0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</row>
    <row r="200" spans="1:18" x14ac:dyDescent="0.3">
      <c r="A200" s="113" t="str">
        <f>'Actual species'!A200</f>
        <v>Mycetoporus dispersus</v>
      </c>
      <c r="B200" s="66">
        <f>IF(SUM('Actual species'!B200:E200)&gt;=1,1,IF(SUM('Actual species'!B200:E200)="X",1,0))</f>
        <v>0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1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1</v>
      </c>
    </row>
    <row r="201" spans="1:18" x14ac:dyDescent="0.3">
      <c r="A201" s="113" t="str">
        <f>'Actual species'!A201</f>
        <v>Mycetoporus erichsonanus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0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1</v>
      </c>
    </row>
    <row r="202" spans="1:18" x14ac:dyDescent="0.3">
      <c r="A202" s="113" t="str">
        <f>'Actual species'!A202</f>
        <v>Mycetoporus forticornis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0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0</v>
      </c>
      <c r="H202" s="2">
        <f>IF(SUM('Actual species'!K202)&gt;=1,1,IF(SUM('Actual species'!K202)="X",1,0))</f>
        <v>0</v>
      </c>
      <c r="I202" s="2">
        <f>IF(SUM('Actual species'!L202)&gt;=1,1,IF(SUM('Actual species'!L202)="X",1,0))</f>
        <v>0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1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</row>
    <row r="203" spans="1:18" x14ac:dyDescent="0.3">
      <c r="A203" s="113" t="str">
        <f>'Actual species'!A203</f>
        <v>Mycetoporus glaber glaber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1</v>
      </c>
      <c r="L203" s="2">
        <f>IF(SUM('Actual species'!O203)&gt;=1,1,IF(SUM('Actual species'!O203)="X",1,0))</f>
        <v>1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</row>
    <row r="204" spans="1:18" x14ac:dyDescent="0.3">
      <c r="A204" s="113" t="str">
        <f>'Actual species'!A204</f>
        <v>Mycetoporus ignidorsum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1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1</v>
      </c>
      <c r="G204" s="2">
        <f>IF(SUM('Actual species'!J204)&gt;=1,1,IF(SUM('Actual species'!J204)="X",1,0))</f>
        <v>1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1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1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</row>
    <row r="205" spans="1:18" x14ac:dyDescent="0.3">
      <c r="A205" s="113" t="str">
        <f>'Actual species'!A205</f>
        <v>Mycetoporus imperialis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1</v>
      </c>
      <c r="E205" s="2">
        <f>IF(SUM('Actual species'!H205)&gt;=1,1,IF(SUM('Actual species'!H205)="X",1,0))</f>
        <v>1</v>
      </c>
      <c r="F205" s="2">
        <f>IF(SUM('Actual species'!I205)&gt;=1,1,IF(SUM('Actual species'!I205)="X",1,0))</f>
        <v>1</v>
      </c>
      <c r="G205" s="2">
        <f>IF(SUM('Actual species'!J205)&gt;=1,1,IF(SUM('Actual species'!J205)="X",1,0))</f>
        <v>0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</row>
    <row r="206" spans="1:18" x14ac:dyDescent="0.3">
      <c r="A206" s="113" t="str">
        <f>'Actual species'!A206</f>
        <v>Mycetoporus jonicus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1</v>
      </c>
      <c r="J206" s="2">
        <f>IF(SUM('Actual species'!M206)&gt;=1,1,IF(SUM('Actual species'!M206)="X",1,0))</f>
        <v>1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0</v>
      </c>
      <c r="R206" s="2">
        <f>IF(SUM('Actual species'!U206)&gt;=1,1,IF(SUM('Actual species'!U206)="X",1,0))</f>
        <v>0</v>
      </c>
    </row>
    <row r="207" spans="1:18" x14ac:dyDescent="0.3">
      <c r="A207" s="113" t="str">
        <f>'Actual species'!A207</f>
        <v>Mycetoporus longulus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0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</row>
    <row r="208" spans="1:18" x14ac:dyDescent="0.3">
      <c r="A208" s="113" t="str">
        <f>'Actual species'!A208</f>
        <v>Mycetoporus macrocephalus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1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1</v>
      </c>
      <c r="K208" s="2">
        <f>IF(SUM('Actual species'!N208)&gt;=1,1,IF(SUM('Actual species'!N208)="X",1,0))</f>
        <v>0</v>
      </c>
      <c r="L208" s="2">
        <f>IF(SUM('Actual species'!O208)&gt;=1,1,IF(SUM('Actual species'!O208)="X",1,0))</f>
        <v>0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</row>
    <row r="209" spans="1:18" x14ac:dyDescent="0.3">
      <c r="A209" s="113" t="str">
        <f>'Actual species'!A209</f>
        <v>Mycetoporus monticola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0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0</v>
      </c>
      <c r="G209" s="2">
        <f>IF(SUM('Actual species'!J209)&gt;=1,1,IF(SUM('Actual species'!J209)="X",1,0))</f>
        <v>0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0</v>
      </c>
      <c r="J209" s="2">
        <f>IF(SUM('Actual species'!M209)&gt;=1,1,IF(SUM('Actual species'!M209)="X",1,0))</f>
        <v>0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0</v>
      </c>
      <c r="M209" s="2">
        <f>IF(SUM('Actual species'!P209)&gt;=1,1,IF(SUM('Actual species'!P209)="X",1,0))</f>
        <v>0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</row>
    <row r="210" spans="1:18" x14ac:dyDescent="0.3">
      <c r="A210" s="113" t="str">
        <f>'Actual species'!A210</f>
        <v>Mycetoporus mulsanti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1</v>
      </c>
      <c r="D210" s="2">
        <f>IF(SUM('Actual species'!G210)&gt;=1,1,IF(SUM('Actual species'!G210)="X",1,0))</f>
        <v>0</v>
      </c>
      <c r="E210" s="2">
        <f>IF(SUM('Actual species'!H210)&gt;=1,1,IF(SUM('Actual species'!H210)="X",1,0))</f>
        <v>0</v>
      </c>
      <c r="F210" s="2">
        <f>IF(SUM('Actual species'!I210)&gt;=1,1,IF(SUM('Actual species'!I210)="X",1,0))</f>
        <v>0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</row>
    <row r="211" spans="1:18" x14ac:dyDescent="0.3">
      <c r="A211" s="113" t="str">
        <f>'Actual species'!A211</f>
        <v>Mycetoporus nr. altaicus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1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0</v>
      </c>
      <c r="J211" s="2">
        <f>IF(SUM('Actual species'!M211)&gt;=1,1,IF(SUM('Actual species'!M211)="X",1,0))</f>
        <v>0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</row>
    <row r="212" spans="1:18" x14ac:dyDescent="0.3">
      <c r="A212" s="113" t="str">
        <f>'Actual species'!A212</f>
        <v>Mycetoporus punctipennis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1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1</v>
      </c>
    </row>
    <row r="213" spans="1:18" x14ac:dyDescent="0.3">
      <c r="A213" s="113" t="str">
        <f>'Actual species'!A213</f>
        <v>Mycetoporus punctus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0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0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1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</row>
    <row r="214" spans="1:18" x14ac:dyDescent="0.3">
      <c r="A214" s="113" t="str">
        <f>'Actual species'!A214</f>
        <v>Mycetoporus reichei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1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1</v>
      </c>
      <c r="G214" s="2">
        <f>IF(SUM('Actual species'!J214)&gt;=1,1,IF(SUM('Actual species'!J214)="X",1,0))</f>
        <v>1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1</v>
      </c>
      <c r="J214" s="2">
        <f>IF(SUM('Actual species'!M214)&gt;=1,1,IF(SUM('Actual species'!M214)="X",1,0))</f>
        <v>1</v>
      </c>
      <c r="K214" s="2">
        <f>IF(SUM('Actual species'!N214)&gt;=1,1,IF(SUM('Actual species'!N214)="X",1,0))</f>
        <v>1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</row>
    <row r="215" spans="1:18" x14ac:dyDescent="0.3">
      <c r="A215" s="113" t="str">
        <f>'Actual species'!A215</f>
        <v>Mycetoporus rufescens</v>
      </c>
      <c r="B215" s="66">
        <f>IF(SUM('Actual species'!B215:E215)&gt;=1,1,IF(SUM('Actual species'!B215:E215)="X",1,0))</f>
        <v>1</v>
      </c>
      <c r="C215" s="2">
        <f>IF(SUM('Actual species'!F215)&gt;=1,1,IF(SUM('Actual species'!F215)="X",1,0))</f>
        <v>0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1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1</v>
      </c>
    </row>
    <row r="216" spans="1:18" x14ac:dyDescent="0.3">
      <c r="A216" s="113" t="str">
        <f>'Actual species'!A216</f>
        <v>Mycetoporus simillimus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0</v>
      </c>
      <c r="D216" s="2">
        <f>IF(SUM('Actual species'!G216)&gt;=1,1,IF(SUM('Actual species'!G216)="X",1,0))</f>
        <v>1</v>
      </c>
      <c r="E216" s="2">
        <f>IF(SUM('Actual species'!H216)&gt;=1,1,IF(SUM('Actual species'!H216)="X",1,0))</f>
        <v>1</v>
      </c>
      <c r="F216" s="2">
        <f>IF(SUM('Actual species'!I216)&gt;=1,1,IF(SUM('Actual species'!I216)="X",1,0))</f>
        <v>1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1</v>
      </c>
      <c r="K216" s="2">
        <f>IF(SUM('Actual species'!N216)&gt;=1,1,IF(SUM('Actual species'!N216)="X",1,0))</f>
        <v>1</v>
      </c>
      <c r="L216" s="2">
        <f>IF(SUM('Actual species'!O216)&gt;=1,1,IF(SUM('Actual species'!O216)="X",1,0))</f>
        <v>1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</row>
    <row r="217" spans="1:18" x14ac:dyDescent="0.3">
      <c r="A217" s="113" t="str">
        <f>'Actual species'!A217</f>
        <v>Mycetoporus sp.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1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0</v>
      </c>
      <c r="R217" s="2">
        <f>IF(SUM('Actual species'!U217)&gt;=1,1,IF(SUM('Actual species'!U217)="X",1,0))</f>
        <v>0</v>
      </c>
    </row>
    <row r="218" spans="1:18" x14ac:dyDescent="0.3">
      <c r="A218" s="113" t="str">
        <f>'Actual species'!A218</f>
        <v>Mycetoporus sp. (bauderi group)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1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0</v>
      </c>
      <c r="R218" s="2">
        <f>IF(SUM('Actual species'!U218)&gt;=1,1,IF(SUM('Actual species'!U218)="X",1,0))</f>
        <v>0</v>
      </c>
    </row>
    <row r="219" spans="1:18" x14ac:dyDescent="0.3">
      <c r="A219" s="113" t="str">
        <f>'Actual species'!A219</f>
        <v>Mycetoporus sp. (bauderi group, female)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0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0</v>
      </c>
      <c r="G219" s="2">
        <f>IF(SUM('Actual species'!J219)&gt;=1,1,IF(SUM('Actual species'!J219)="X",1,0))</f>
        <v>0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0</v>
      </c>
      <c r="J219" s="2">
        <f>IF(SUM('Actual species'!M219)&gt;=1,1,IF(SUM('Actual species'!M219)="X",1,0))</f>
        <v>0</v>
      </c>
      <c r="K219" s="2">
        <f>IF(SUM('Actual species'!N219)&gt;=1,1,IF(SUM('Actual species'!N219)="X",1,0))</f>
        <v>0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</row>
    <row r="220" spans="1:18" x14ac:dyDescent="0.3">
      <c r="A220" s="113" t="str">
        <f>'Actual species'!A220</f>
        <v>Mycetoporus sp. aff. Bosnicus</v>
      </c>
      <c r="B220" s="66">
        <f>IF(SUM('Actual species'!B220:E220)&gt;=1,1,IF(SUM('Actual species'!B220:E220)="X",1,0))</f>
        <v>0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1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0</v>
      </c>
      <c r="R220" s="2">
        <f>IF(SUM('Actual species'!U220)&gt;=1,1,IF(SUM('Actual species'!U220)="X",1,0))</f>
        <v>0</v>
      </c>
    </row>
    <row r="221" spans="1:18" x14ac:dyDescent="0.3">
      <c r="A221" s="113" t="str">
        <f>'Actual species'!A221</f>
        <v>Parabolitobius inclinans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0</v>
      </c>
      <c r="E221" s="2">
        <f>IF(SUM('Actual species'!H221)&gt;=1,1,IF(SUM('Actual species'!H221)="X",1,0))</f>
        <v>0</v>
      </c>
      <c r="F221" s="2">
        <f>IF(SUM('Actual species'!I221)&gt;=1,1,IF(SUM('Actual species'!I221)="X",1,0))</f>
        <v>0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0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0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</row>
    <row r="222" spans="1:18" x14ac:dyDescent="0.3">
      <c r="A222" s="113" t="str">
        <f>'Actual species'!A222</f>
        <v>Sepedophilus apfelbecki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0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1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</row>
    <row r="223" spans="1:18" x14ac:dyDescent="0.3">
      <c r="A223" s="113" t="str">
        <f>'Actual species'!A223</f>
        <v>Sepedophilus binotatus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0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1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</row>
    <row r="224" spans="1:18" x14ac:dyDescent="0.3">
      <c r="A224" s="113" t="str">
        <f>'Actual species'!A224</f>
        <v>Sepedophilus cf. apfelbecki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0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1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1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</row>
    <row r="225" spans="1:18" x14ac:dyDescent="0.3">
      <c r="A225" s="113" t="str">
        <f>'Actual species'!A225</f>
        <v>Sepedophilus immaculatus</v>
      </c>
      <c r="B225" s="66">
        <f>IF(SUM('Actual species'!B225:E225)&gt;=1,1,IF(SUM('Actual species'!B225:E225)="X",1,0))</f>
        <v>1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1</v>
      </c>
      <c r="F225" s="2">
        <f>IF(SUM('Actual species'!I225)&gt;=1,1,IF(SUM('Actual species'!I225)="X",1,0))</f>
        <v>1</v>
      </c>
      <c r="G225" s="2">
        <f>IF(SUM('Actual species'!J225)&gt;=1,1,IF(SUM('Actual species'!J225)="X",1,0))</f>
        <v>0</v>
      </c>
      <c r="H225" s="2">
        <f>IF(SUM('Actual species'!K225)&gt;=1,1,IF(SUM('Actual species'!K225)="X",1,0))</f>
        <v>1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1</v>
      </c>
      <c r="K225" s="2">
        <f>IF(SUM('Actual species'!N225)&gt;=1,1,IF(SUM('Actual species'!N225)="X",1,0))</f>
        <v>1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1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1</v>
      </c>
      <c r="Q225" s="2">
        <f>IF(SUM('Actual species'!T225)&gt;=1,1,IF(SUM('Actual species'!T225)="X",1,0))</f>
        <v>1</v>
      </c>
      <c r="R225" s="2">
        <f>IF(SUM('Actual species'!U225)&gt;=1,1,IF(SUM('Actual species'!U225)="X",1,0))</f>
        <v>1</v>
      </c>
    </row>
    <row r="226" spans="1:18" x14ac:dyDescent="0.3">
      <c r="A226" s="113" t="str">
        <f>'Actual species'!A226</f>
        <v>Sepedophilus obtusus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1</v>
      </c>
      <c r="F226" s="2">
        <f>IF(SUM('Actual species'!I226)&gt;=1,1,IF(SUM('Actual species'!I226)="X",1,0))</f>
        <v>1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1</v>
      </c>
      <c r="L226" s="2">
        <f>IF(SUM('Actual species'!O226)&gt;=1,1,IF(SUM('Actual species'!O226)="X",1,0))</f>
        <v>0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</row>
    <row r="227" spans="1:18" x14ac:dyDescent="0.3">
      <c r="A227" s="113" t="str">
        <f>'Actual species'!A227</f>
        <v>Sepedophilus sp.</v>
      </c>
      <c r="B227" s="66">
        <f>IF(SUM('Actual species'!B227:E227)&gt;=1,1,IF(SUM('Actual species'!B227:E227)="X",1,0))</f>
        <v>1</v>
      </c>
      <c r="C227" s="2">
        <f>IF(SUM('Actual species'!F227)&gt;=1,1,IF(SUM('Actual species'!F227)="X",1,0))</f>
        <v>1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0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</row>
    <row r="228" spans="1:18" x14ac:dyDescent="0.3">
      <c r="A228" s="113" t="str">
        <f>'Actual species'!A228</f>
        <v>Sepedophilus testaceus</v>
      </c>
      <c r="B228" s="66">
        <f>IF(SUM('Actual species'!B228:E228)&gt;=1,1,IF(SUM('Actual species'!B228:E228)="X",1,0))</f>
        <v>1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1</v>
      </c>
      <c r="F228" s="2">
        <f>IF(SUM('Actual species'!I228)&gt;=1,1,IF(SUM('Actual species'!I228)="X",1,0))</f>
        <v>1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1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1</v>
      </c>
      <c r="O228" s="2">
        <f>IF(SUM('Actual species'!R228)&gt;=1,1,IF(SUM('Actual species'!R228)="X",1,0))</f>
        <v>1</v>
      </c>
      <c r="P228" s="2">
        <f>IF(SUM('Actual species'!S228)&gt;=1,1,IF(SUM('Actual species'!S228)="X",1,0))</f>
        <v>1</v>
      </c>
      <c r="Q228" s="2">
        <f>IF(SUM('Actual species'!T228)&gt;=1,1,IF(SUM('Actual species'!T228)="X",1,0))</f>
        <v>0</v>
      </c>
      <c r="R228" s="2">
        <f>IF(SUM('Actual species'!U228)&gt;=1,1,IF(SUM('Actual species'!U228)="X",1,0))</f>
        <v>0</v>
      </c>
    </row>
    <row r="229" spans="1:18" x14ac:dyDescent="0.3">
      <c r="A229" s="113" t="str">
        <f>'Actual species'!A229</f>
        <v>Tachinus bonvouloiri</v>
      </c>
      <c r="B229" s="66">
        <f>IF(SUM('Actual species'!B229:E229)&gt;=1,1,IF(SUM('Actual species'!B229:E229)="X",1,0))</f>
        <v>1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1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1</v>
      </c>
      <c r="N229" s="2">
        <f>IF(SUM('Actual species'!Q229)&gt;=1,1,IF(SUM('Actual species'!Q229)="X",1,0))</f>
        <v>0</v>
      </c>
      <c r="O229" s="2">
        <f>IF(SUM('Actual species'!R229)&gt;=1,1,IF(SUM('Actual species'!R229)="X",1,0))</f>
        <v>1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1</v>
      </c>
    </row>
    <row r="230" spans="1:18" x14ac:dyDescent="0.3">
      <c r="A230" s="113" t="str">
        <f>'Actual species'!A230</f>
        <v>Tachnius corticinus</v>
      </c>
      <c r="B230" s="66">
        <f>IF(SUM('Actual species'!B230:E230)&gt;=1,1,IF(SUM('Actual species'!B230:E230)="X",1,0))</f>
        <v>0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0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0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0</v>
      </c>
      <c r="K230" s="2">
        <f>IF(SUM('Actual species'!N230)&gt;=1,1,IF(SUM('Actual species'!N230)="X",1,0))</f>
        <v>0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0</v>
      </c>
      <c r="P230" s="2">
        <f>IF(SUM('Actual species'!S230)&gt;=1,1,IF(SUM('Actual species'!S230)="X",1,0))</f>
        <v>1</v>
      </c>
      <c r="Q230" s="2">
        <f>IF(SUM('Actual species'!T230)&gt;=1,1,IF(SUM('Actual species'!T230)="X",1,0))</f>
        <v>0</v>
      </c>
      <c r="R230" s="2">
        <f>IF(SUM('Actual species'!U230)&gt;=1,1,IF(SUM('Actual species'!U230)="X",1,0))</f>
        <v>0</v>
      </c>
    </row>
    <row r="231" spans="1:18" x14ac:dyDescent="0.3">
      <c r="A231" s="113" t="str">
        <f>'Actual species'!A231</f>
        <v>Tachinus discoideus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0</v>
      </c>
      <c r="F231" s="2">
        <f>IF(SUM('Actual species'!I231)&gt;=1,1,IF(SUM('Actual species'!I231)="X",1,0))</f>
        <v>0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0</v>
      </c>
      <c r="K231" s="2">
        <f>IF(SUM('Actual species'!N231)&gt;=1,1,IF(SUM('Actual species'!N231)="X",1,0))</f>
        <v>0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1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</row>
    <row r="232" spans="1:18" x14ac:dyDescent="0.3">
      <c r="A232" s="113" t="str">
        <f>'Actual species'!A232</f>
        <v>Tachinus laticollis</v>
      </c>
      <c r="B232" s="66">
        <f>IF(SUM('Actual species'!B232:E232)&gt;=1,1,IF(SUM('Actual species'!B232:E232)="X",1,0))</f>
        <v>0</v>
      </c>
      <c r="C232" s="2">
        <f>IF(SUM('Actual species'!F232)&gt;=1,1,IF(SUM('Actual species'!F232)="X",1,0))</f>
        <v>0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1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</row>
    <row r="233" spans="1:18" x14ac:dyDescent="0.3">
      <c r="A233" s="113" t="str">
        <f>'Actual species'!A233</f>
        <v>Tachinus rufipes</v>
      </c>
      <c r="B233" s="66">
        <f>IF(SUM('Actual species'!B233:E233)&gt;=1,1,IF(SUM('Actual species'!B233:E233)="X",1,0))</f>
        <v>0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0</v>
      </c>
      <c r="F233" s="2">
        <f>IF(SUM('Actual species'!I233)&gt;=1,1,IF(SUM('Actual species'!I233)="X",1,0))</f>
        <v>0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0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0</v>
      </c>
      <c r="P233" s="2">
        <f>IF(SUM('Actual species'!S233)&gt;=1,1,IF(SUM('Actual species'!S233)="X",1,0))</f>
        <v>0</v>
      </c>
      <c r="Q233" s="2">
        <f>IF(SUM('Actual species'!T233)&gt;=1,1,IF(SUM('Actual species'!T233)="X",1,0))</f>
        <v>0</v>
      </c>
      <c r="R233" s="2">
        <f>IF(SUM('Actual species'!U233)&gt;=1,1,IF(SUM('Actual species'!U233)="X",1,0))</f>
        <v>0</v>
      </c>
    </row>
    <row r="234" spans="1:18" x14ac:dyDescent="0.3">
      <c r="A234" s="113" t="str">
        <f>'Actual species'!A234</f>
        <v>Tachinus scapularis</v>
      </c>
      <c r="B234" s="66">
        <f>IF(SUM('Actual species'!B234:E234)&gt;=1,1,IF(SUM('Actual species'!B234:E234)="X",1,0))</f>
        <v>0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0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0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0</v>
      </c>
      <c r="Q234" s="2">
        <f>IF(SUM('Actual species'!T234)&gt;=1,1,IF(SUM('Actual species'!T234)="X",1,0))</f>
        <v>0</v>
      </c>
      <c r="R234" s="2">
        <f>IF(SUM('Actual species'!U234)&gt;=1,1,IF(SUM('Actual species'!U234)="X",1,0))</f>
        <v>0</v>
      </c>
    </row>
    <row r="235" spans="1:18" s="49" customFormat="1" x14ac:dyDescent="0.3">
      <c r="A235" s="113" t="str">
        <f>'Actual species'!A235</f>
        <v>Tachyporus abner</v>
      </c>
      <c r="B235" s="66">
        <f>IF(SUM('Actual species'!B235:E235)&gt;=1,1,IF(SUM('Actual species'!B235:E235)="X",1,0))</f>
        <v>1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1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1</v>
      </c>
      <c r="H235" s="2">
        <f>IF(SUM('Actual species'!K235)&gt;=1,1,IF(SUM('Actual species'!K235)="X",1,0))</f>
        <v>1</v>
      </c>
      <c r="I235" s="2">
        <f>IF(SUM('Actual species'!L235)&gt;=1,1,IF(SUM('Actual species'!L235)="X",1,0))</f>
        <v>1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0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0</v>
      </c>
      <c r="R235" s="2">
        <f>IF(SUM('Actual species'!U235)&gt;=1,1,IF(SUM('Actual species'!U235)="X",1,0))</f>
        <v>0</v>
      </c>
    </row>
    <row r="236" spans="1:18" x14ac:dyDescent="0.3">
      <c r="A236" s="113" t="str">
        <f>'Actual species'!A236</f>
        <v>Tachyporus assingi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1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0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</row>
    <row r="237" spans="1:18" s="49" customFormat="1" x14ac:dyDescent="0.3">
      <c r="A237" s="113" t="str">
        <f>'Actual species'!A237</f>
        <v>Tachyporus atriceps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1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0</v>
      </c>
      <c r="R237" s="2">
        <f>IF(SUM('Actual species'!U237)&gt;=1,1,IF(SUM('Actual species'!U237)="X",1,0))</f>
        <v>0</v>
      </c>
    </row>
    <row r="238" spans="1:18" x14ac:dyDescent="0.3">
      <c r="A238" s="113" t="str">
        <f>'Actual species'!A238</f>
        <v>Tachyporus caucasicus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1</v>
      </c>
      <c r="F238" s="2">
        <f>IF(SUM('Actual species'!I238)&gt;=1,1,IF(SUM('Actual species'!I238)="X",1,0))</f>
        <v>1</v>
      </c>
      <c r="G238" s="2">
        <f>IF(SUM('Actual species'!J238)&gt;=1,1,IF(SUM('Actual species'!J238)="X",1,0))</f>
        <v>1</v>
      </c>
      <c r="H238" s="2">
        <f>IF(SUM('Actual species'!K238)&gt;=1,1,IF(SUM('Actual species'!K238)="X",1,0))</f>
        <v>1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1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</row>
    <row r="239" spans="1:18" x14ac:dyDescent="0.3">
      <c r="A239" s="113" t="str">
        <f>'Actual species'!A239</f>
        <v>Tachyporus chrysomelinus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1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</row>
    <row r="240" spans="1:18" x14ac:dyDescent="0.3">
      <c r="A240" s="113" t="str">
        <f>'Actual species'!A240</f>
        <v xml:space="preserve">Tachyporus hypnorum 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0</v>
      </c>
      <c r="F240" s="2">
        <f>IF(SUM('Actual species'!I240)&gt;=1,1,IF(SUM('Actual species'!I240)="X",1,0))</f>
        <v>0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0</v>
      </c>
      <c r="J240" s="2">
        <f>IF(SUM('Actual species'!M240)&gt;=1,1,IF(SUM('Actual species'!M240)="X",1,0))</f>
        <v>1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</row>
    <row r="241" spans="1:18" s="49" customFormat="1" x14ac:dyDescent="0.3">
      <c r="A241" s="113" t="str">
        <f>'Actual species'!A241</f>
        <v>Tachyporus nitidulus</v>
      </c>
      <c r="B241" s="66">
        <f>IF(SUM('Actual species'!B241:E241)&gt;=1,1,IF(SUM('Actual species'!B241:E241)="X",1,0))</f>
        <v>1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1</v>
      </c>
      <c r="E241" s="2">
        <f>IF(SUM('Actual species'!H241)&gt;=1,1,IF(SUM('Actual species'!H241)="X",1,0))</f>
        <v>1</v>
      </c>
      <c r="F241" s="2">
        <f>IF(SUM('Actual species'!I241)&gt;=1,1,IF(SUM('Actual species'!I241)="X",1,0))</f>
        <v>1</v>
      </c>
      <c r="G241" s="2">
        <f>IF(SUM('Actual species'!J241)&gt;=1,1,IF(SUM('Actual species'!J241)="X",1,0))</f>
        <v>1</v>
      </c>
      <c r="H241" s="2">
        <f>IF(SUM('Actual species'!K241)&gt;=1,1,IF(SUM('Actual species'!K241)="X",1,0))</f>
        <v>1</v>
      </c>
      <c r="I241" s="2">
        <f>IF(SUM('Actual species'!L241)&gt;=1,1,IF(SUM('Actual species'!L241)="X",1,0))</f>
        <v>1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1</v>
      </c>
      <c r="L241" s="2">
        <f>IF(SUM('Actual species'!O241)&gt;=1,1,IF(SUM('Actual species'!O241)="X",1,0))</f>
        <v>1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1</v>
      </c>
      <c r="O241" s="2">
        <f>IF(SUM('Actual species'!R241)&gt;=1,1,IF(SUM('Actual species'!R241)="X",1,0))</f>
        <v>1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1</v>
      </c>
    </row>
    <row r="242" spans="1:18" x14ac:dyDescent="0.3">
      <c r="A242" s="113" t="str">
        <f>'Actual species'!A242</f>
        <v>Tachyporus pusillus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1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0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</row>
    <row r="243" spans="1:18" x14ac:dyDescent="0.3">
      <c r="A243" s="113" t="str">
        <f>'Actual species'!A243</f>
        <v>Tachyporus scitulus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1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0</v>
      </c>
      <c r="F243" s="2">
        <f>IF(SUM('Actual species'!I243)&gt;=1,1,IF(SUM('Actual species'!I243)="X",1,0))</f>
        <v>0</v>
      </c>
      <c r="G243" s="2">
        <f>IF(SUM('Actual species'!J243)&gt;=1,1,IF(SUM('Actual species'!J243)="X",1,0))</f>
        <v>0</v>
      </c>
      <c r="H243" s="2">
        <f>IF(SUM('Actual species'!K243)&gt;=1,1,IF(SUM('Actual species'!K243)="X",1,0))</f>
        <v>0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0</v>
      </c>
      <c r="K243" s="2">
        <f>IF(SUM('Actual species'!N243)&gt;=1,1,IF(SUM('Actual species'!N243)="X",1,0))</f>
        <v>0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1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</row>
    <row r="244" spans="1:18" x14ac:dyDescent="0.3">
      <c r="A244" s="113" t="str">
        <f>'Actual species'!A244</f>
        <v>Tachyporus solutus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1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0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</row>
    <row r="245" spans="1:18" x14ac:dyDescent="0.3">
      <c r="A245" s="113" t="str">
        <f>'Actual species'!A245</f>
        <v>Trichophyinae</v>
      </c>
      <c r="B245" s="66">
        <f>IF(SUM('Actual species'!B245:E245)&gt;=1,1,IF(SUM('Actual species'!B245:E245)="X",1,0))</f>
        <v>0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0</v>
      </c>
      <c r="H245" s="2">
        <f>IF(SUM('Actual species'!K245)&gt;=1,1,IF(SUM('Actual species'!K245)="X",1,0))</f>
        <v>0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0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</row>
    <row r="246" spans="1:18" x14ac:dyDescent="0.3">
      <c r="A246" s="113" t="str">
        <f>'Actual species'!A246</f>
        <v>Trichophya pilicornis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0</v>
      </c>
      <c r="E246" s="2">
        <f>IF(SUM('Actual species'!H246)&gt;=1,1,IF(SUM('Actual species'!H246)="X",1,0))</f>
        <v>0</v>
      </c>
      <c r="F246" s="2">
        <f>IF(SUM('Actual species'!I246)&gt;=1,1,IF(SUM('Actual species'!I246)="X",1,0))</f>
        <v>0</v>
      </c>
      <c r="G246" s="2">
        <f>IF(SUM('Actual species'!J246)&gt;=1,1,IF(SUM('Actual species'!J246)="X",1,0))</f>
        <v>0</v>
      </c>
      <c r="H246" s="2">
        <f>IF(SUM('Actual species'!K246)&gt;=1,1,IF(SUM('Actual species'!K246)="X",1,0))</f>
        <v>0</v>
      </c>
      <c r="I246" s="2">
        <f>IF(SUM('Actual species'!L246)&gt;=1,1,IF(SUM('Actual species'!L246)="X",1,0))</f>
        <v>0</v>
      </c>
      <c r="J246" s="2">
        <f>IF(SUM('Actual species'!M246)&gt;=1,1,IF(SUM('Actual species'!M246)="X",1,0))</f>
        <v>0</v>
      </c>
      <c r="K246" s="2">
        <f>IF(SUM('Actual species'!N246)&gt;=1,1,IF(SUM('Actual species'!N246)="X",1,0))</f>
        <v>0</v>
      </c>
      <c r="L246" s="2">
        <f>IF(SUM('Actual species'!O246)&gt;=1,1,IF(SUM('Actual species'!O246)="X",1,0))</f>
        <v>0</v>
      </c>
      <c r="M246" s="2">
        <f>IF(SUM('Actual species'!P246)&gt;=1,1,IF(SUM('Actual species'!P246)="X",1,0))</f>
        <v>0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0</v>
      </c>
      <c r="P246" s="2">
        <f>IF(SUM('Actual species'!S246)&gt;=1,1,IF(SUM('Actual species'!S246)="X",1,0))</f>
        <v>0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</row>
    <row r="247" spans="1:18" x14ac:dyDescent="0.3">
      <c r="A247" s="113" t="str">
        <f>'Actual species'!A247</f>
        <v>Habrocerinae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0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</row>
    <row r="248" spans="1:18" x14ac:dyDescent="0.3">
      <c r="A248" s="113" t="str">
        <f>'Actual species'!A248</f>
        <v>Habrocerus capillaricornis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0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1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1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1</v>
      </c>
      <c r="Q248" s="2">
        <f>IF(SUM('Actual species'!T248)&gt;=1,1,IF(SUM('Actual species'!T248)="X",1,0))</f>
        <v>0</v>
      </c>
      <c r="R248" s="2">
        <f>IF(SUM('Actual species'!U248)&gt;=1,1,IF(SUM('Actual species'!U248)="X",1,0))</f>
        <v>0</v>
      </c>
    </row>
    <row r="249" spans="1:18" x14ac:dyDescent="0.3">
      <c r="A249" s="113" t="str">
        <f>'Actual species'!A249</f>
        <v>Habrocerus cyprensis</v>
      </c>
      <c r="B249" s="66">
        <f>IF(SUM('Actual species'!B249:E249)&gt;=1,1,IF(SUM('Actual species'!B249:E249)="X",1,0))</f>
        <v>1</v>
      </c>
      <c r="C249" s="2">
        <f>IF(SUM('Actual species'!F249)&gt;=1,1,IF(SUM('Actual species'!F249)="X",1,0))</f>
        <v>0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1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1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</row>
    <row r="250" spans="1:18" x14ac:dyDescent="0.3">
      <c r="A250" s="113" t="str">
        <f>'Actual species'!A250</f>
        <v>Habrocerus pisidicus</v>
      </c>
      <c r="B250" s="66">
        <f>IF(SUM('Actual species'!B250:E250)&gt;=1,1,IF(SUM('Actual species'!B250:E250)="X",1,0))</f>
        <v>1</v>
      </c>
      <c r="C250" s="2">
        <f>IF(SUM('Actual species'!F250)&gt;=1,1,IF(SUM('Actual species'!F250)="X",1,0))</f>
        <v>1</v>
      </c>
      <c r="D250" s="2">
        <f>IF(SUM('Actual species'!G250)&gt;=1,1,IF(SUM('Actual species'!G250)="X",1,0))</f>
        <v>1</v>
      </c>
      <c r="E250" s="2">
        <f>IF(SUM('Actual species'!H250)&gt;=1,1,IF(SUM('Actual species'!H250)="X",1,0))</f>
        <v>1</v>
      </c>
      <c r="F250" s="2">
        <f>IF(SUM('Actual species'!I250)&gt;=1,1,IF(SUM('Actual species'!I250)="X",1,0))</f>
        <v>1</v>
      </c>
      <c r="G250" s="2">
        <f>IF(SUM('Actual species'!J250)&gt;=1,1,IF(SUM('Actual species'!J250)="X",1,0))</f>
        <v>1</v>
      </c>
      <c r="H250" s="2">
        <f>IF(SUM('Actual species'!K250)&gt;=1,1,IF(SUM('Actual species'!K250)="X",1,0))</f>
        <v>1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1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1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1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1</v>
      </c>
      <c r="Q250" s="2">
        <f>IF(SUM('Actual species'!T250)&gt;=1,1,IF(SUM('Actual species'!T250)="X",1,0))</f>
        <v>1</v>
      </c>
      <c r="R250" s="2">
        <f>IF(SUM('Actual species'!U250)&gt;=1,1,IF(SUM('Actual species'!U250)="X",1,0))</f>
        <v>1</v>
      </c>
    </row>
    <row r="251" spans="1:18" x14ac:dyDescent="0.3">
      <c r="A251" s="113" t="str">
        <f>'Actual species'!A251</f>
        <v>Aleocharinae</v>
      </c>
      <c r="B251" s="66">
        <f>IF(SUM('Actual species'!B251:E251)&gt;=1,1,IF(SUM('Actual species'!B251:E251)="X",1,0))</f>
        <v>0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</row>
    <row r="252" spans="1:18" x14ac:dyDescent="0.3">
      <c r="A252" s="113" t="str">
        <f>'Actual species'!A252</f>
        <v>Acrotona muscorum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1</v>
      </c>
      <c r="F252" s="2">
        <f>IF(SUM('Actual species'!I252)&gt;=1,1,IF(SUM('Actual species'!I252)="X",1,0))</f>
        <v>1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1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1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</row>
    <row r="253" spans="1:18" x14ac:dyDescent="0.3">
      <c r="A253" s="113" t="str">
        <f>'Actual species'!A253</f>
        <v>Acrotona nigerrima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0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0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0</v>
      </c>
      <c r="P253" s="2">
        <f>IF(SUM('Actual species'!S253)&gt;=1,1,IF(SUM('Actual species'!S253)="X",1,0))</f>
        <v>1</v>
      </c>
      <c r="Q253" s="2">
        <f>IF(SUM('Actual species'!T253)&gt;=1,1,IF(SUM('Actual species'!T253)="X",1,0))</f>
        <v>0</v>
      </c>
      <c r="R253" s="2">
        <f>IF(SUM('Actual species'!U253)&gt;=1,1,IF(SUM('Actual species'!U253)="X",1,0))</f>
        <v>0</v>
      </c>
    </row>
    <row r="254" spans="1:18" x14ac:dyDescent="0.3">
      <c r="A254" s="113" t="str">
        <f>'Actual species'!A254</f>
        <v>Acrotona parens</v>
      </c>
      <c r="B254" s="66">
        <f>IF(SUM('Actual species'!B254:E254)&gt;=1,1,IF(SUM('Actual species'!B254:E254)="X",1,0))</f>
        <v>0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0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1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0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1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</row>
    <row r="255" spans="1:18" x14ac:dyDescent="0.3">
      <c r="A255" s="113" t="str">
        <f>'Actual species'!A255</f>
        <v>Acrotona parvula</v>
      </c>
      <c r="B255" s="66">
        <f>IF(SUM('Actual species'!B255:E255)&gt;=1,1,IF(SUM('Actual species'!B255:E255)="X",1,0))</f>
        <v>0</v>
      </c>
      <c r="C255" s="2">
        <f>IF(SUM('Actual species'!F255)&gt;=1,1,IF(SUM('Actual species'!F255)="X",1,0))</f>
        <v>0</v>
      </c>
      <c r="D255" s="2">
        <f>IF(SUM('Actual species'!G255)&gt;=1,1,IF(SUM('Actual species'!G255)="X",1,0))</f>
        <v>0</v>
      </c>
      <c r="E255" s="2">
        <f>IF(SUM('Actual species'!H255)&gt;=1,1,IF(SUM('Actual species'!H255)="X",1,0))</f>
        <v>0</v>
      </c>
      <c r="F255" s="2">
        <f>IF(SUM('Actual species'!I255)&gt;=1,1,IF(SUM('Actual species'!I255)="X",1,0))</f>
        <v>0</v>
      </c>
      <c r="G255" s="2">
        <f>IF(SUM('Actual species'!J255)&gt;=1,1,IF(SUM('Actual species'!J255)="X",1,0))</f>
        <v>0</v>
      </c>
      <c r="H255" s="2">
        <f>IF(SUM('Actual species'!K255)&gt;=1,1,IF(SUM('Actual species'!K255)="X",1,0))</f>
        <v>0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0</v>
      </c>
      <c r="M255" s="2">
        <f>IF(SUM('Actual species'!P255)&gt;=1,1,IF(SUM('Actual species'!P255)="X",1,0))</f>
        <v>0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0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0</v>
      </c>
      <c r="R255" s="2">
        <f>IF(SUM('Actual species'!U255)&gt;=1,1,IF(SUM('Actual species'!U255)="X",1,0))</f>
        <v>0</v>
      </c>
    </row>
    <row r="256" spans="1:18" x14ac:dyDescent="0.3">
      <c r="A256" s="113" t="str">
        <f>'Actual species'!A256</f>
        <v>Acrotona troglodytes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1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1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1</v>
      </c>
    </row>
    <row r="257" spans="1:18" x14ac:dyDescent="0.3">
      <c r="A257" s="113" t="str">
        <f>'Actual species'!A257</f>
        <v>Alaobia scapularis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0</v>
      </c>
      <c r="F257" s="2">
        <f>IF(SUM('Actual species'!I257)&gt;=1,1,IF(SUM('Actual species'!I257)="X",1,0))</f>
        <v>0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0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0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</row>
    <row r="258" spans="1:18" x14ac:dyDescent="0.3">
      <c r="A258" s="113" t="str">
        <f>'Actual species'!A258</f>
        <v>Aleochara aff. laevigata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1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0</v>
      </c>
      <c r="R258" s="2">
        <f>IF(SUM('Actual species'!U258)&gt;=1,1,IF(SUM('Actual species'!U258)="X",1,0))</f>
        <v>0</v>
      </c>
    </row>
    <row r="259" spans="1:18" x14ac:dyDescent="0.3">
      <c r="A259" s="113" t="str">
        <f>'Actual species'!A259</f>
        <v>Aleochara albopila</v>
      </c>
      <c r="B259" s="66">
        <f>IF(SUM('Actual species'!B259:E259)&gt;=1,1,IF(SUM('Actual species'!B259:E259)="X",1,0))</f>
        <v>1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0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0</v>
      </c>
      <c r="R259" s="2">
        <f>IF(SUM('Actual species'!U259)&gt;=1,1,IF(SUM('Actual species'!U259)="X",1,0))</f>
        <v>0</v>
      </c>
    </row>
    <row r="260" spans="1:18" x14ac:dyDescent="0.3">
      <c r="A260" s="113" t="str">
        <f>'Actual species'!A260</f>
        <v>Aleochara bipustulata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1</v>
      </c>
      <c r="H260" s="2">
        <f>IF(SUM('Actual species'!K260)&gt;=1,1,IF(SUM('Actual species'!K260)="X",1,0))</f>
        <v>1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0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1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1</v>
      </c>
    </row>
    <row r="261" spans="1:18" x14ac:dyDescent="0.3">
      <c r="A261" s="113" t="str">
        <f>'Actual species'!A261</f>
        <v>Aleochara cf. Conviva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1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0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0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</row>
    <row r="262" spans="1:18" x14ac:dyDescent="0.3">
      <c r="A262" s="113" t="str">
        <f>'Actual species'!A262</f>
        <v>Aleochara clavicornis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</row>
    <row r="263" spans="1:18" x14ac:dyDescent="0.3">
      <c r="A263" s="113" t="str">
        <f>'Actual species'!A263</f>
        <v>Aleochara erythroptera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1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</row>
    <row r="264" spans="1:18" x14ac:dyDescent="0.3">
      <c r="A264" s="113" t="str">
        <f>'Actual species'!A264</f>
        <v>Aleochara gridellii</v>
      </c>
      <c r="B264" s="66">
        <f>IF(SUM('Actual species'!B264:E264)&gt;=1,1,IF(SUM('Actual species'!B264:E264)="X",1,0))</f>
        <v>0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0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1</v>
      </c>
    </row>
    <row r="265" spans="1:18" x14ac:dyDescent="0.3">
      <c r="A265" s="113" t="str">
        <f>'Actual species'!A265</f>
        <v>Aleochara haematoptera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1</v>
      </c>
      <c r="F265" s="2">
        <f>IF(SUM('Actual species'!I265)&gt;=1,1,IF(SUM('Actual species'!I265)="X",1,0))</f>
        <v>1</v>
      </c>
      <c r="G265" s="2">
        <f>IF(SUM('Actual species'!J265)&gt;=1,1,IF(SUM('Actual species'!J265)="X",1,0))</f>
        <v>0</v>
      </c>
      <c r="H265" s="2">
        <f>IF(SUM('Actual species'!K265)&gt;=1,1,IF(SUM('Actual species'!K265)="X",1,0))</f>
        <v>0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0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0</v>
      </c>
      <c r="R265" s="2">
        <f>IF(SUM('Actual species'!U265)&gt;=1,1,IF(SUM('Actual species'!U265)="X",1,0))</f>
        <v>0</v>
      </c>
    </row>
    <row r="266" spans="1:18" x14ac:dyDescent="0.3">
      <c r="A266" s="113" t="str">
        <f>'Actual species'!A266</f>
        <v>Aleochara laevigata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0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1</v>
      </c>
    </row>
    <row r="267" spans="1:18" x14ac:dyDescent="0.3">
      <c r="A267" s="113" t="str">
        <f>'Actual species'!A267</f>
        <v>Aleochara lanuginosa</v>
      </c>
      <c r="B267" s="66">
        <f>IF(SUM('Actual species'!B267:E267)&gt;=1,1,IF(SUM('Actual species'!B267:E267)="X",1,0))</f>
        <v>1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0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</row>
    <row r="268" spans="1:18" x14ac:dyDescent="0.3">
      <c r="A268" s="113" t="str">
        <f>'Actual species'!A268</f>
        <v>Aleochara lata</v>
      </c>
      <c r="B268" s="66">
        <f>IF(SUM('Actual species'!B268:E268)&gt;=1,1,IF(SUM('Actual species'!B268:E268)="X",1,0))</f>
        <v>1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1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0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0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</row>
    <row r="269" spans="1:18" x14ac:dyDescent="0.3">
      <c r="A269" s="113" t="str">
        <f>'Actual species'!A269</f>
        <v>Aleochara laticornis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1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1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</row>
    <row r="270" spans="1:18" x14ac:dyDescent="0.3">
      <c r="A270" s="113" t="str">
        <f>'Actual species'!A270</f>
        <v>Aleochara maculata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0</v>
      </c>
      <c r="F270" s="2">
        <f>IF(SUM('Actual species'!I270)&gt;=1,1,IF(SUM('Actual species'!I270)="X",1,0))</f>
        <v>0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1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</row>
    <row r="271" spans="1:18" x14ac:dyDescent="0.3">
      <c r="A271" s="113" t="str">
        <f>'Actual species'!A271</f>
        <v>Aleochara maculipennis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1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</row>
    <row r="272" spans="1:18" x14ac:dyDescent="0.3">
      <c r="A272" s="113" t="str">
        <f>'Actual species'!A272</f>
        <v>Aleochara rambouseki (hamulata)</v>
      </c>
      <c r="B272" s="66">
        <f>IF(SUM('Actual species'!B272:E272)&gt;=1,1,IF(SUM('Actual species'!B272:E272)="X",1,0))</f>
        <v>0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1</v>
      </c>
      <c r="F272" s="2">
        <f>IF(SUM('Actual species'!I272)&gt;=1,1,IF(SUM('Actual species'!I272)="X",1,0))</f>
        <v>1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</row>
    <row r="273" spans="1:18" x14ac:dyDescent="0.3">
      <c r="A273" s="113" t="str">
        <f>'Actual species'!A273</f>
        <v>Aleochara sp.</v>
      </c>
      <c r="B273" s="66">
        <f>IF(SUM('Actual species'!B273:E273)&gt;=1,1,IF(SUM('Actual species'!B273:E273)="X",1,0))</f>
        <v>0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0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1</v>
      </c>
      <c r="P273" s="2">
        <f>IF(SUM('Actual species'!S273)&gt;=1,1,IF(SUM('Actual species'!S273)="X",1,0))</f>
        <v>1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</row>
    <row r="274" spans="1:18" x14ac:dyDescent="0.3">
      <c r="A274" s="113" t="str">
        <f>'Actual species'!A274</f>
        <v>Aleochara tristis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0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1</v>
      </c>
      <c r="I274" s="2">
        <f>IF(SUM('Actual species'!L274)&gt;=1,1,IF(SUM('Actual species'!L274)="X",1,0))</f>
        <v>0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</row>
    <row r="275" spans="1:18" x14ac:dyDescent="0.3">
      <c r="A275" s="113" t="str">
        <f>'Actual species'!A275</f>
        <v>Aleochara verna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1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1</v>
      </c>
      <c r="Q275" s="2">
        <f>IF(SUM('Actual species'!T275)&gt;=1,1,IF(SUM('Actual species'!T275)="X",1,0))</f>
        <v>0</v>
      </c>
      <c r="R275" s="2">
        <f>IF(SUM('Actual species'!U275)&gt;=1,1,IF(SUM('Actual species'!U275)="X",1,0))</f>
        <v>0</v>
      </c>
    </row>
    <row r="276" spans="1:18" x14ac:dyDescent="0.3">
      <c r="A276" s="113" t="str">
        <f>'Actual species'!A276</f>
        <v xml:space="preserve">Alevonota cretica (E) 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1</v>
      </c>
      <c r="H276" s="2">
        <f>IF(SUM('Actual species'!K276)&gt;=1,1,IF(SUM('Actual species'!K276)="X",1,0))</f>
        <v>0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</row>
    <row r="277" spans="1:18" x14ac:dyDescent="0.3">
      <c r="A277" s="113" t="str">
        <f>'Actual species'!A277</f>
        <v>Alevonota egregia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0</v>
      </c>
      <c r="F277" s="2">
        <f>IF(SUM('Actual species'!I277)&gt;=1,1,IF(SUM('Actual species'!I277)="X",1,0))</f>
        <v>0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1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</row>
    <row r="278" spans="1:18" x14ac:dyDescent="0.3">
      <c r="A278" s="113" t="str">
        <f>'Actual species'!A278</f>
        <v>Alevonota gracilenta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1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0</v>
      </c>
      <c r="R278" s="2">
        <f>IF(SUM('Actual species'!U278)&gt;=1,1,IF(SUM('Actual species'!U278)="X",1,0))</f>
        <v>0</v>
      </c>
    </row>
    <row r="279" spans="1:18" x14ac:dyDescent="0.3">
      <c r="A279" s="113" t="str">
        <f>'Actual species'!A279</f>
        <v>Alevonota libanotica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1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</row>
    <row r="280" spans="1:18" x14ac:dyDescent="0.3">
      <c r="A280" s="113" t="str">
        <f>'Actual species'!A280</f>
        <v>Alevonota rufotestacea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1</v>
      </c>
      <c r="D280" s="2">
        <f>IF(SUM('Actual species'!G280)&gt;=1,1,IF(SUM('Actual species'!G280)="X",1,0))</f>
        <v>1</v>
      </c>
      <c r="E280" s="2">
        <f>IF(SUM('Actual species'!H280)&gt;=1,1,IF(SUM('Actual species'!H280)="X",1,0))</f>
        <v>1</v>
      </c>
      <c r="F280" s="2">
        <f>IF(SUM('Actual species'!I280)&gt;=1,1,IF(SUM('Actual species'!I280)="X",1,0))</f>
        <v>0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0</v>
      </c>
      <c r="R280" s="2">
        <f>IF(SUM('Actual species'!U280)&gt;=1,1,IF(SUM('Actual species'!U280)="X",1,0))</f>
        <v>0</v>
      </c>
    </row>
    <row r="281" spans="1:18" x14ac:dyDescent="0.3">
      <c r="A281" s="113" t="str">
        <f>'Actual species'!A281</f>
        <v>Aloconota aegea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1</v>
      </c>
      <c r="F281" s="2">
        <f>IF(SUM('Actual species'!I281)&gt;=1,1,IF(SUM('Actual species'!I281)="X",1,0))</f>
        <v>1</v>
      </c>
      <c r="G281" s="2">
        <f>IF(SUM('Actual species'!J281)&gt;=1,1,IF(SUM('Actual species'!J281)="X",1,0))</f>
        <v>0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</row>
    <row r="282" spans="1:18" x14ac:dyDescent="0.3">
      <c r="A282" s="113" t="str">
        <f>'Actual species'!A282</f>
        <v xml:space="preserve">Aloconota brachyptera (E) 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1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0</v>
      </c>
      <c r="R282" s="2">
        <f>IF(SUM('Actual species'!U282)&gt;=1,1,IF(SUM('Actual species'!U282)="X",1,0))</f>
        <v>0</v>
      </c>
    </row>
    <row r="283" spans="1:18" x14ac:dyDescent="0.3">
      <c r="A283" s="113" t="str">
        <f>'Actual species'!A283</f>
        <v>Aloconota cambrica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0</v>
      </c>
      <c r="D283" s="2">
        <f>IF(SUM('Actual species'!G283)&gt;=1,1,IF(SUM('Actual species'!G283)="X",1,0))</f>
        <v>0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1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1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0</v>
      </c>
      <c r="R283" s="2">
        <f>IF(SUM('Actual species'!U283)&gt;=1,1,IF(SUM('Actual species'!U283)="X",1,0))</f>
        <v>0</v>
      </c>
    </row>
    <row r="284" spans="1:18" x14ac:dyDescent="0.3">
      <c r="A284" s="113" t="str">
        <f>'Actual species'!A284</f>
        <v>Aloconota coulsoni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0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0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1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</row>
    <row r="285" spans="1:18" x14ac:dyDescent="0.3">
      <c r="A285" s="113" t="str">
        <f>'Actual species'!A285</f>
        <v>Aloconota greagaria</v>
      </c>
      <c r="B285" s="66">
        <f>IF(SUM('Actual species'!B285:E285)&gt;=1,1,IF(SUM('Actual species'!B285:E285)="X",1,0))</f>
        <v>1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0</v>
      </c>
      <c r="E285" s="2">
        <f>IF(SUM('Actual species'!H285)&gt;=1,1,IF(SUM('Actual species'!H285)="X",1,0))</f>
        <v>0</v>
      </c>
      <c r="F285" s="2">
        <f>IF(SUM('Actual species'!I285)&gt;=1,1,IF(SUM('Actual species'!I285)="X",1,0))</f>
        <v>1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1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0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1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</row>
    <row r="286" spans="1:18" x14ac:dyDescent="0.3">
      <c r="A286" s="113" t="str">
        <f>'Actual species'!A286</f>
        <v>Aloconota languida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0</v>
      </c>
      <c r="F286" s="2">
        <f>IF(SUM('Actual species'!I286)&gt;=1,1,IF(SUM('Actual species'!I286)="X",1,0))</f>
        <v>0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0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</row>
    <row r="287" spans="1:18" x14ac:dyDescent="0.3">
      <c r="A287" s="113" t="str">
        <f>'Actual species'!A287</f>
        <v>Aloconota lesbia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1</v>
      </c>
      <c r="G287" s="2">
        <f>IF(SUM('Actual species'!J287)&gt;=1,1,IF(SUM('Actual species'!J287)="X",1,0))</f>
        <v>0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</row>
    <row r="288" spans="1:18" x14ac:dyDescent="0.3">
      <c r="A288" s="113" t="str">
        <f>'Actual species'!A288</f>
        <v>Aloconota longicollis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0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0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0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</row>
    <row r="289" spans="1:18" x14ac:dyDescent="0.3">
      <c r="A289" s="113" t="str">
        <f>'Actual species'!A289</f>
        <v>Aloconota mediterranea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0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1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</row>
    <row r="290" spans="1:18" x14ac:dyDescent="0.3">
      <c r="A290" s="113" t="str">
        <f>'Actual species'!A290</f>
        <v xml:space="preserve">Aloconota minoica (E) </v>
      </c>
      <c r="B290" s="66">
        <f>IF(SUM('Actual species'!B290:E290)&gt;=1,1,IF(SUM('Actual species'!B290:E290)="X",1,0))</f>
        <v>0</v>
      </c>
      <c r="C290" s="2">
        <f>IF(SUM('Actual species'!F290)&gt;=1,1,IF(SUM('Actual species'!F290)="X",1,0))</f>
        <v>0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0</v>
      </c>
      <c r="G290" s="2">
        <f>IF(SUM('Actual species'!J290)&gt;=1,1,IF(SUM('Actual species'!J290)="X",1,0))</f>
        <v>1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0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0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0</v>
      </c>
      <c r="R290" s="2">
        <f>IF(SUM('Actual species'!U290)&gt;=1,1,IF(SUM('Actual species'!U290)="X",1,0))</f>
        <v>0</v>
      </c>
    </row>
    <row r="291" spans="1:18" x14ac:dyDescent="0.3">
      <c r="A291" s="113" t="str">
        <f>'Actual species'!A291</f>
        <v>Aloconota montenegrina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1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0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</row>
    <row r="292" spans="1:18" x14ac:dyDescent="0.3">
      <c r="A292" s="113" t="str">
        <f>'Actual species'!A292</f>
        <v>Aloconota myrmicaria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</row>
    <row r="293" spans="1:18" x14ac:dyDescent="0.3">
      <c r="A293" s="113" t="str">
        <f>'Actual species'!A293</f>
        <v>Aloconota planifrons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0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1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</row>
    <row r="294" spans="1:18" x14ac:dyDescent="0.3">
      <c r="A294" s="113" t="str">
        <f>'Actual species'!A294</f>
        <v>Aloconota samia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1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0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</row>
    <row r="295" spans="1:18" x14ac:dyDescent="0.3">
      <c r="A295" s="113" t="str">
        <f>'Actual species'!A295</f>
        <v xml:space="preserve">Aloconota sp. </v>
      </c>
      <c r="B295" s="66">
        <f>IF(SUM('Actual species'!B295:E295)&gt;=1,1,IF(SUM('Actual species'!B295:E295)="X",1,0))</f>
        <v>1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0</v>
      </c>
      <c r="R295" s="2">
        <f>IF(SUM('Actual species'!U295)&gt;=1,1,IF(SUM('Actual species'!U295)="X",1,0))</f>
        <v>0</v>
      </c>
    </row>
    <row r="296" spans="1:18" x14ac:dyDescent="0.3">
      <c r="A296" s="113" t="str">
        <f>'Actual species'!A296</f>
        <v>Aloconota sp. 1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0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</row>
    <row r="297" spans="1:18" x14ac:dyDescent="0.3">
      <c r="A297" s="113" t="str">
        <f>'Actual species'!A297</f>
        <v>Aloconota sp. 2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0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</row>
    <row r="298" spans="1:18" x14ac:dyDescent="0.3">
      <c r="A298" s="113" t="str">
        <f>'Actual species'!A298</f>
        <v>Aloconota sp. aff. insecta</v>
      </c>
      <c r="B298" s="66">
        <f>IF(SUM('Actual species'!B298:E298)&gt;=1,1,IF(SUM('Actual species'!B298:E298)="X",1,0))</f>
        <v>1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</row>
    <row r="299" spans="1:18" x14ac:dyDescent="0.3">
      <c r="A299" s="113" t="str">
        <f>'Actual species'!A299</f>
        <v xml:space="preserve">Aloconota sp. aff. planifrons </v>
      </c>
      <c r="B299" s="66">
        <f>IF(SUM('Actual species'!B299:E299)&gt;=1,1,IF(SUM('Actual species'!B299:E299)="X",1,0))</f>
        <v>1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0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</row>
    <row r="300" spans="1:18" x14ac:dyDescent="0.3">
      <c r="A300" s="113" t="str">
        <f>'Actual species'!A300</f>
        <v>Aloconota sp. aff. subgrandis</v>
      </c>
      <c r="B300" s="66">
        <f>IF(SUM('Actual species'!B300:E300)&gt;=1,1,IF(SUM('Actual species'!B300:E300)="X",1,0))</f>
        <v>1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0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</row>
    <row r="301" spans="1:18" x14ac:dyDescent="0.3">
      <c r="A301" s="113" t="str">
        <f>'Actual species'!A301</f>
        <v>Aloconota subgrandis</v>
      </c>
      <c r="B301" s="66">
        <f>IF(SUM('Actual species'!B301:E301)&gt;=1,1,IF(SUM('Actual species'!B301:E301)="X",1,0))</f>
        <v>0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1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</row>
    <row r="302" spans="1:18" x14ac:dyDescent="0.3">
      <c r="A302" s="113" t="str">
        <f>'Actual species'!A302</f>
        <v>Aloconota sulcifrons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1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1</v>
      </c>
      <c r="R302" s="2">
        <f>IF(SUM('Actual species'!U302)&gt;=1,1,IF(SUM('Actual species'!U302)="X",1,0))</f>
        <v>0</v>
      </c>
    </row>
    <row r="303" spans="1:18" x14ac:dyDescent="0.3">
      <c r="A303" s="113" t="str">
        <f>'Actual species'!A303</f>
        <v>Amarochara forticornis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1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</row>
    <row r="304" spans="1:18" x14ac:dyDescent="0.3">
      <c r="A304" s="113" t="str">
        <f>'Actual species'!A304</f>
        <v>Amarochara wunderlei</v>
      </c>
      <c r="B304" s="66">
        <f>IF(SUM('Actual species'!B304:E304)&gt;=1,1,IF(SUM('Actual species'!B304:E304)="X",1,0))</f>
        <v>0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1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</row>
    <row r="305" spans="1:18" x14ac:dyDescent="0.3">
      <c r="A305" s="113" t="str">
        <f>'Actual species'!A305</f>
        <v>Amischa analis</v>
      </c>
      <c r="B305" s="66">
        <f>IF(SUM('Actual species'!B305:E305)&gt;=1,1,IF(SUM('Actual species'!B305:E305)="X",1,0))</f>
        <v>0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1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</row>
    <row r="306" spans="1:18" x14ac:dyDescent="0.3">
      <c r="A306" s="113" t="str">
        <f>'Actual species'!A306</f>
        <v>Amischa bifoveolata</v>
      </c>
      <c r="B306" s="66">
        <f>IF(SUM('Actual species'!B306:E306)&gt;=1,1,IF(SUM('Actual species'!B306:E306)="X",1,0))</f>
        <v>0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1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</row>
    <row r="307" spans="1:18" x14ac:dyDescent="0.3">
      <c r="A307" s="113" t="str">
        <f>'Actual species'!A307</f>
        <v>Amischa filum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1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0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</row>
    <row r="308" spans="1:18" x14ac:dyDescent="0.3">
      <c r="A308" s="113" t="str">
        <f>'Actual species'!A308</f>
        <v>Amischa forcipata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0</v>
      </c>
    </row>
    <row r="309" spans="1:18" x14ac:dyDescent="0.3">
      <c r="A309" s="113" t="str">
        <f>'Actual species'!A309</f>
        <v>Amischa n. sp.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1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0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</row>
    <row r="310" spans="1:18" x14ac:dyDescent="0.3">
      <c r="A310" s="113" t="str">
        <f>'Actual species'!A310</f>
        <v>Amischa sp.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1</v>
      </c>
      <c r="K310" s="2">
        <f>IF(SUM('Actual species'!N310)&gt;=1,1,IF(SUM('Actual species'!N310)="X",1,0))</f>
        <v>0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</row>
    <row r="311" spans="1:18" x14ac:dyDescent="0.3">
      <c r="A311" s="113" t="str">
        <f>'Actual species'!A311</f>
        <v>Amischa strupii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1</v>
      </c>
      <c r="Q311" s="2">
        <f>IF(SUM('Actual species'!T311)&gt;=1,1,IF(SUM('Actual species'!T311)="X",1,0))</f>
        <v>0</v>
      </c>
      <c r="R311" s="2">
        <f>IF(SUM('Actual species'!U311)&gt;=1,1,IF(SUM('Actual species'!U311)="X",1,0))</f>
        <v>0</v>
      </c>
    </row>
    <row r="312" spans="1:18" x14ac:dyDescent="0.3">
      <c r="A312" s="113" t="str">
        <f>'Actual species'!A312</f>
        <v>Anaulacaspis laevigata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1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1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1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0</v>
      </c>
      <c r="R312" s="2">
        <f>IF(SUM('Actual species'!U312)&gt;=1,1,IF(SUM('Actual species'!U312)="X",1,0))</f>
        <v>0</v>
      </c>
    </row>
    <row r="313" spans="1:18" x14ac:dyDescent="0.3">
      <c r="A313" s="113" t="str">
        <f>'Actual species'!A313</f>
        <v>Anaulacaspis nigra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1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0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1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</row>
    <row r="314" spans="1:18" x14ac:dyDescent="0.3">
      <c r="A314" s="113" t="str">
        <f>'Actual species'!A314</f>
        <v>Anaulacaspis nigrina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1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0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</row>
    <row r="315" spans="1:18" x14ac:dyDescent="0.3">
      <c r="A315" s="113" t="str">
        <f>'Actual species'!A315</f>
        <v>Atheta (Bessobia)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0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1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</row>
    <row r="316" spans="1:18" x14ac:dyDescent="0.3">
      <c r="A316" s="113" t="str">
        <f>'Actual species'!A316</f>
        <v xml:space="preserve">Atheta (Microdota) sp. </v>
      </c>
      <c r="B316" s="66">
        <f>IF(SUM('Actual species'!B316:E316)&gt;=1,1,IF(SUM('Actual species'!B316:E316)="X",1,0))</f>
        <v>1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1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1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1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</row>
    <row r="317" spans="1:18" x14ac:dyDescent="0.3">
      <c r="A317" s="113" t="str">
        <f>'Actual species'!A317</f>
        <v>Atheta (Mocyta) cingulata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1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0</v>
      </c>
      <c r="R317" s="2">
        <f>IF(SUM('Actual species'!U317)&gt;=1,1,IF(SUM('Actual species'!U317)="X",1,0))</f>
        <v>0</v>
      </c>
    </row>
    <row r="318" spans="1:18" x14ac:dyDescent="0.3">
      <c r="A318" s="113" t="str">
        <f>'Actual species'!A318</f>
        <v>Atheta (Mocyta) clientula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0</v>
      </c>
      <c r="K318" s="2">
        <f>IF(SUM('Actual species'!N318)&gt;=1,1,IF(SUM('Actual species'!N318)="X",1,0))</f>
        <v>1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0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0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</row>
    <row r="319" spans="1:18" x14ac:dyDescent="0.3">
      <c r="A319" s="113" t="str">
        <f>'Actual species'!A319</f>
        <v>Atheta (Mocyta) pulchra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0</v>
      </c>
      <c r="E319" s="2">
        <f>IF(SUM('Actual species'!H319)&gt;=1,1,IF(SUM('Actual species'!H319)="X",1,0))</f>
        <v>1</v>
      </c>
      <c r="F319" s="2">
        <f>IF(SUM('Actual species'!I319)&gt;=1,1,IF(SUM('Actual species'!I319)="X",1,0))</f>
        <v>1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0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1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</row>
    <row r="320" spans="1:18" x14ac:dyDescent="0.3">
      <c r="A320" s="113" t="str">
        <f>'Actual species'!A320</f>
        <v>Atheta (Mocyta) sp.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1</v>
      </c>
      <c r="L320" s="2">
        <f>IF(SUM('Actual species'!O320)&gt;=1,1,IF(SUM('Actual species'!O320)="X",1,0))</f>
        <v>1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</row>
    <row r="321" spans="1:18" x14ac:dyDescent="0.3">
      <c r="A321" s="113" t="str">
        <f>'Actual species'!A321</f>
        <v>Atheta (Mocyta) spp.</v>
      </c>
      <c r="B321" s="66">
        <f>IF(SUM('Actual species'!B321:E321)&gt;=1,1,IF(SUM('Actual species'!B321:E321)="X",1,0))</f>
        <v>1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1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1</v>
      </c>
      <c r="H321" s="2">
        <f>IF(SUM('Actual species'!K321)&gt;=1,1,IF(SUM('Actual species'!K321)="X",1,0))</f>
        <v>1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1</v>
      </c>
      <c r="K321" s="2">
        <f>IF(SUM('Actual species'!N321)&gt;=1,1,IF(SUM('Actual species'!N321)="X",1,0))</f>
        <v>1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1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1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1</v>
      </c>
    </row>
    <row r="322" spans="1:18" x14ac:dyDescent="0.3">
      <c r="A322" s="113" t="str">
        <f>'Actual species'!A322</f>
        <v>Atheta (Paralpinia)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0</v>
      </c>
      <c r="R322" s="2">
        <f>IF(SUM('Actual species'!U322)&gt;=1,1,IF(SUM('Actual species'!U322)="X",1,0))</f>
        <v>1</v>
      </c>
    </row>
    <row r="323" spans="1:18" x14ac:dyDescent="0.3">
      <c r="A323" s="113" t="str">
        <f>'Actual species'!A323</f>
        <v>Atheta (Philhygra) sp. (Female)</v>
      </c>
      <c r="B323" s="66">
        <f>IF(SUM('Actual species'!B323:E323)&gt;=1,1,IF(SUM('Actual species'!B323:E323)="X",1,0))</f>
        <v>0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0</v>
      </c>
      <c r="F323" s="2">
        <f>IF(SUM('Actual species'!I323)&gt;=1,1,IF(SUM('Actual species'!I323)="X",1,0))</f>
        <v>1</v>
      </c>
      <c r="G323" s="2">
        <f>IF(SUM('Actual species'!J323)&gt;=1,1,IF(SUM('Actual species'!J323)="X",1,0))</f>
        <v>0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0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0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0</v>
      </c>
      <c r="R323" s="2">
        <f>IF(SUM('Actual species'!U323)&gt;=1,1,IF(SUM('Actual species'!U323)="X",1,0))</f>
        <v>0</v>
      </c>
    </row>
    <row r="324" spans="1:18" x14ac:dyDescent="0.3">
      <c r="A324" s="113" t="str">
        <f>'Actual species'!A324</f>
        <v>Atheta (s. str) sp.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</row>
    <row r="325" spans="1:18" x14ac:dyDescent="0.3">
      <c r="A325" s="113" t="str">
        <f>'Actual species'!A325</f>
        <v>Atheta aegra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0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1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0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</row>
    <row r="326" spans="1:18" x14ac:dyDescent="0.3">
      <c r="A326" s="113" t="str">
        <f>'Actual species'!A326</f>
        <v>Atheta aeneicollis</v>
      </c>
      <c r="B326" s="66">
        <f>IF(SUM('Actual species'!B326:E326)&gt;=1,1,IF(SUM('Actual species'!B326:E326)="X",1,0))</f>
        <v>1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1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1</v>
      </c>
      <c r="H326" s="2">
        <f>IF(SUM('Actual species'!K326)&gt;=1,1,IF(SUM('Actual species'!K326)="X",1,0))</f>
        <v>1</v>
      </c>
      <c r="I326" s="2">
        <f>IF(SUM('Actual species'!L326)&gt;=1,1,IF(SUM('Actual species'!L326)="X",1,0))</f>
        <v>1</v>
      </c>
      <c r="J326" s="2">
        <f>IF(SUM('Actual species'!M326)&gt;=1,1,IF(SUM('Actual species'!M326)="X",1,0))</f>
        <v>1</v>
      </c>
      <c r="K326" s="2">
        <f>IF(SUM('Actual species'!N326)&gt;=1,1,IF(SUM('Actual species'!N326)="X",1,0))</f>
        <v>1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</row>
    <row r="327" spans="1:18" x14ac:dyDescent="0.3">
      <c r="A327" s="113" t="str">
        <f>'Actual species'!A327</f>
        <v>Atheta amicula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1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1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1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0</v>
      </c>
      <c r="M327" s="2">
        <f>IF(SUM('Actual species'!P327)&gt;=1,1,IF(SUM('Actual species'!P327)="X",1,0))</f>
        <v>0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</row>
    <row r="328" spans="1:18" x14ac:dyDescent="0.3">
      <c r="A328" s="113" t="str">
        <f>'Actual species'!A328</f>
        <v>Atheta aquatilis</v>
      </c>
      <c r="B328" s="66">
        <f>IF(SUM('Actual species'!B328:E328)&gt;=1,1,IF(SUM('Actual species'!B328:E328)="X",1,0))</f>
        <v>0</v>
      </c>
      <c r="C328" s="2">
        <f>IF(SUM('Actual species'!F328)&gt;=1,1,IF(SUM('Actual species'!F328)="X",1,0))</f>
        <v>1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0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0</v>
      </c>
      <c r="H328" s="2">
        <f>IF(SUM('Actual species'!K328)&gt;=1,1,IF(SUM('Actual species'!K328)="X",1,0))</f>
        <v>0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0</v>
      </c>
      <c r="K328" s="2">
        <f>IF(SUM('Actual species'!N328)&gt;=1,1,IF(SUM('Actual species'!N328)="X",1,0))</f>
        <v>0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0</v>
      </c>
      <c r="O328" s="2">
        <f>IF(SUM('Actual species'!R328)&gt;=1,1,IF(SUM('Actual species'!R328)="X",1,0))</f>
        <v>0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0</v>
      </c>
      <c r="R328" s="2">
        <f>IF(SUM('Actual species'!U328)&gt;=1,1,IF(SUM('Actual species'!U328)="X",1,0))</f>
        <v>0</v>
      </c>
    </row>
    <row r="329" spans="1:18" x14ac:dyDescent="0.3">
      <c r="A329" s="113" t="str">
        <f>'Actual species'!A329</f>
        <v>Atheta atramentaria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1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1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</row>
    <row r="330" spans="1:18" x14ac:dyDescent="0.3">
      <c r="A330" s="113" t="str">
        <f>'Actual species'!A330</f>
        <v>Atheta balcanicola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0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1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</row>
    <row r="331" spans="1:18" x14ac:dyDescent="0.3">
      <c r="A331" s="113" t="str">
        <f>'Actual species'!A331</f>
        <v>Atheta benickiella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0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1</v>
      </c>
      <c r="N331" s="2">
        <f>IF(SUM('Actual species'!Q331)&gt;=1,1,IF(SUM('Actual species'!Q331)="X",1,0))</f>
        <v>1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1</v>
      </c>
      <c r="Q331" s="2">
        <f>IF(SUM('Actual species'!T331)&gt;=1,1,IF(SUM('Actual species'!T331)="X",1,0))</f>
        <v>1</v>
      </c>
      <c r="R331" s="2">
        <f>IF(SUM('Actual species'!U331)&gt;=1,1,IF(SUM('Actual species'!U331)="X",1,0))</f>
        <v>1</v>
      </c>
    </row>
    <row r="332" spans="1:18" x14ac:dyDescent="0.3">
      <c r="A332" s="113" t="str">
        <f>'Actual species'!A332</f>
        <v xml:space="preserve">Atheta biroi (E) 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0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</row>
    <row r="333" spans="1:18" x14ac:dyDescent="0.3">
      <c r="A333" s="113" t="str">
        <f>'Actual species'!A333</f>
        <v>Atheta bosnica</v>
      </c>
      <c r="B333" s="66">
        <f>IF(SUM('Actual species'!B333:E333)&gt;=1,1,IF(SUM('Actual species'!B333:E333)="X",1,0))</f>
        <v>0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0</v>
      </c>
      <c r="E333" s="2">
        <f>IF(SUM('Actual species'!H333)&gt;=1,1,IF(SUM('Actual species'!H333)="X",1,0))</f>
        <v>0</v>
      </c>
      <c r="F333" s="2">
        <f>IF(SUM('Actual species'!I333)&gt;=1,1,IF(SUM('Actual species'!I333)="X",1,0))</f>
        <v>0</v>
      </c>
      <c r="G333" s="2">
        <f>IF(SUM('Actual species'!J333)&gt;=1,1,IF(SUM('Actual species'!J333)="X",1,0))</f>
        <v>0</v>
      </c>
      <c r="H333" s="2">
        <f>IF(SUM('Actual species'!K333)&gt;=1,1,IF(SUM('Actual species'!K333)="X",1,0))</f>
        <v>0</v>
      </c>
      <c r="I333" s="2">
        <f>IF(SUM('Actual species'!L333)&gt;=1,1,IF(SUM('Actual species'!L333)="X",1,0))</f>
        <v>0</v>
      </c>
      <c r="J333" s="2">
        <f>IF(SUM('Actual species'!M333)&gt;=1,1,IF(SUM('Actual species'!M333)="X",1,0))</f>
        <v>0</v>
      </c>
      <c r="K333" s="2">
        <f>IF(SUM('Actual species'!N333)&gt;=1,1,IF(SUM('Actual species'!N333)="X",1,0))</f>
        <v>0</v>
      </c>
      <c r="L333" s="2">
        <f>IF(SUM('Actual species'!O333)&gt;=1,1,IF(SUM('Actual species'!O333)="X",1,0))</f>
        <v>0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1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</row>
    <row r="334" spans="1:18" x14ac:dyDescent="0.3">
      <c r="A334" s="113" t="str">
        <f>'Actual species'!A334</f>
        <v>Atheta brisouti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0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0</v>
      </c>
      <c r="G334" s="2">
        <f>IF(SUM('Actual species'!J334)&gt;=1,1,IF(SUM('Actual species'!J334)="X",1,0))</f>
        <v>0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0</v>
      </c>
      <c r="K334" s="2">
        <f>IF(SUM('Actual species'!N334)&gt;=1,1,IF(SUM('Actual species'!N334)="X",1,0))</f>
        <v>0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1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</row>
    <row r="335" spans="1:18" x14ac:dyDescent="0.3">
      <c r="A335" s="113" t="str">
        <f>'Actual species'!A335</f>
        <v>Atheta castanoptera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0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</row>
    <row r="336" spans="1:18" x14ac:dyDescent="0.3">
      <c r="A336" s="113" t="str">
        <f>'Actual species'!A336</f>
        <v>Atheta cauta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0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1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0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</row>
    <row r="337" spans="1:18" x14ac:dyDescent="0.3">
      <c r="A337" s="113" t="str">
        <f>'Actual species'!A337</f>
        <v>Atheta cf. Clientula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1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0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</row>
    <row r="338" spans="1:18" x14ac:dyDescent="0.3">
      <c r="A338" s="113" t="str">
        <f>'Actual species'!A338</f>
        <v>Atheta clientula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1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0</v>
      </c>
      <c r="O338" s="2">
        <f>IF(SUM('Actual species'!R338)&gt;=1,1,IF(SUM('Actual species'!R338)="X",1,0))</f>
        <v>0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0</v>
      </c>
      <c r="R338" s="2">
        <f>IF(SUM('Actual species'!U338)&gt;=1,1,IF(SUM('Actual species'!U338)="X",1,0))</f>
        <v>0</v>
      </c>
    </row>
    <row r="339" spans="1:18" x14ac:dyDescent="0.3">
      <c r="A339" s="113" t="str">
        <f>'Actual species'!A339</f>
        <v>Atheta crassicornis</v>
      </c>
      <c r="B339" s="66">
        <f>IF(SUM('Actual species'!B339:E339)&gt;=1,1,IF(SUM('Actual species'!B339:E339)="X",1,0))</f>
        <v>1</v>
      </c>
      <c r="C339" s="2">
        <f>IF(SUM('Actual species'!F339)&gt;=1,1,IF(SUM('Actual species'!F339)="X",1,0))</f>
        <v>1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1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1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1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1</v>
      </c>
      <c r="P339" s="2">
        <f>IF(SUM('Actual species'!S339)&gt;=1,1,IF(SUM('Actual species'!S339)="X",1,0))</f>
        <v>1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</row>
    <row r="340" spans="1:18" x14ac:dyDescent="0.3">
      <c r="A340" s="113" t="str">
        <f>'Actual species'!A340</f>
        <v xml:space="preserve">Atheta cretica (E) 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1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0</v>
      </c>
      <c r="R340" s="2">
        <f>IF(SUM('Actual species'!U340)&gt;=1,1,IF(SUM('Actual species'!U340)="X",1,0))</f>
        <v>0</v>
      </c>
    </row>
    <row r="341" spans="1:18" x14ac:dyDescent="0.3">
      <c r="A341" s="113" t="str">
        <f>'Actual species'!A341</f>
        <v>Atheta debilis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1</v>
      </c>
      <c r="Q341" s="2">
        <f>IF(SUM('Actual species'!T341)&gt;=1,1,IF(SUM('Actual species'!T341)="X",1,0))</f>
        <v>0</v>
      </c>
      <c r="R341" s="2">
        <f>IF(SUM('Actual species'!U341)&gt;=1,1,IF(SUM('Actual species'!U341)="X",1,0))</f>
        <v>0</v>
      </c>
    </row>
    <row r="342" spans="1:18" x14ac:dyDescent="0.3">
      <c r="A342" s="113" t="str">
        <f>'Actual species'!A342</f>
        <v>Atheta elongatula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1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</row>
    <row r="343" spans="1:18" x14ac:dyDescent="0.3">
      <c r="A343" s="113" t="str">
        <f>'Actual species'!A343</f>
        <v>Atheta epirotica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0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</row>
    <row r="344" spans="1:18" x14ac:dyDescent="0.3">
      <c r="A344" s="113" t="str">
        <f>'Actual species'!A344</f>
        <v>Atheta fimorum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0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1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</row>
    <row r="345" spans="1:18" x14ac:dyDescent="0.3">
      <c r="A345" s="113" t="str">
        <f>'Actual species'!A345</f>
        <v>Atheta flavipes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0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1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</row>
    <row r="346" spans="1:18" x14ac:dyDescent="0.3">
      <c r="A346" s="113" t="str">
        <f>'Actual species'!A346</f>
        <v>Atheta fungi fungi</v>
      </c>
      <c r="B346" s="66">
        <f>IF(SUM('Actual species'!B346:E346)&gt;=1,1,IF(SUM('Actual species'!B346:E346)="X",1,0))</f>
        <v>0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0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0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0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0</v>
      </c>
      <c r="Q346" s="2">
        <f>IF(SUM('Actual species'!T346)&gt;=1,1,IF(SUM('Actual species'!T346)="X",1,0))</f>
        <v>0</v>
      </c>
      <c r="R346" s="2">
        <f>IF(SUM('Actual species'!U346)&gt;=1,1,IF(SUM('Actual species'!U346)="X",1,0))</f>
        <v>0</v>
      </c>
    </row>
    <row r="347" spans="1:18" x14ac:dyDescent="0.3">
      <c r="A347" s="113" t="str">
        <f>'Actual species'!A347</f>
        <v>Atheta fussi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0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1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</row>
    <row r="348" spans="1:18" x14ac:dyDescent="0.3">
      <c r="A348" s="113" t="str">
        <f>'Actual species'!A348</f>
        <v>Atheta gagatina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1</v>
      </c>
      <c r="Q348" s="2">
        <f>IF(SUM('Actual species'!T348)&gt;=1,1,IF(SUM('Actual species'!T348)="X",1,0))</f>
        <v>0</v>
      </c>
      <c r="R348" s="2">
        <f>IF(SUM('Actual species'!U348)&gt;=1,1,IF(SUM('Actual species'!U348)="X",1,0))</f>
        <v>0</v>
      </c>
    </row>
    <row r="349" spans="1:18" x14ac:dyDescent="0.3">
      <c r="A349" s="113" t="str">
        <f>'Actual species'!A349</f>
        <v>Atheta s. str. Graminicola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1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0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</row>
    <row r="350" spans="1:18" x14ac:dyDescent="0.3">
      <c r="A350" s="113" t="str">
        <f>'Actual species'!A350</f>
        <v>Atheta harwoodi</v>
      </c>
      <c r="B350" s="66">
        <f>IF(SUM('Actual species'!B350:E350)&gt;=1,1,IF(SUM('Actual species'!B350:E350)="X",1,0))</f>
        <v>1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0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</row>
    <row r="351" spans="1:18" x14ac:dyDescent="0.3">
      <c r="A351" s="113" t="str">
        <f>'Actual species'!A351</f>
        <v>Atheta hummleri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0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</row>
    <row r="352" spans="1:18" x14ac:dyDescent="0.3">
      <c r="A352" s="113" t="str">
        <f>'Actual species'!A352</f>
        <v>Atheta hypnorum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0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1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</row>
    <row r="353" spans="1:18" x14ac:dyDescent="0.3">
      <c r="A353" s="113" t="str">
        <f>'Actual species'!A353</f>
        <v>Atheta laevicauda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0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1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1</v>
      </c>
    </row>
    <row r="354" spans="1:18" x14ac:dyDescent="0.3">
      <c r="A354" s="113" t="str">
        <f>'Actual species'!A354</f>
        <v>Atheta laevigata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0</v>
      </c>
      <c r="K354" s="2">
        <f>IF(SUM('Actual species'!N354)&gt;=1,1,IF(SUM('Actual species'!N354)="X",1,0))</f>
        <v>1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</row>
    <row r="355" spans="1:18" x14ac:dyDescent="0.3">
      <c r="A355" s="113" t="str">
        <f>'Actual species'!A355</f>
        <v>Atheta laticollis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1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0</v>
      </c>
      <c r="R355" s="2">
        <f>IF(SUM('Actual species'!U355)&gt;=1,1,IF(SUM('Actual species'!U355)="X",1,0))</f>
        <v>0</v>
      </c>
    </row>
    <row r="356" spans="1:18" x14ac:dyDescent="0.3">
      <c r="A356" s="113" t="str">
        <f>'Actual species'!A356</f>
        <v>Atheta longicornis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0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1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</row>
    <row r="357" spans="1:18" x14ac:dyDescent="0.3">
      <c r="A357" s="113" t="str">
        <f>'Actual species'!A357</f>
        <v>Atheta luridipennis</v>
      </c>
      <c r="B357" s="66">
        <f>IF(SUM('Actual species'!B357:E357)&gt;=1,1,IF(SUM('Actual species'!B357:E357)="X",1,0))</f>
        <v>0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1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</row>
    <row r="358" spans="1:18" x14ac:dyDescent="0.3">
      <c r="A358" s="113" t="str">
        <f>'Actual species'!A358</f>
        <v>Atheta luctuosa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1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1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</row>
    <row r="359" spans="1:18" x14ac:dyDescent="0.3">
      <c r="A359" s="113" t="str">
        <f>'Actual species'!A359</f>
        <v>Atheta marcida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1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1</v>
      </c>
      <c r="Q359" s="2">
        <f>IF(SUM('Actual species'!T359)&gt;=1,1,IF(SUM('Actual species'!T359)="X",1,0))</f>
        <v>0</v>
      </c>
      <c r="R359" s="2">
        <f>IF(SUM('Actual species'!U359)&gt;=1,1,IF(SUM('Actual species'!U359)="X",1,0))</f>
        <v>0</v>
      </c>
    </row>
    <row r="360" spans="1:18" x14ac:dyDescent="0.3">
      <c r="A360" s="113" t="str">
        <f>'Actual species'!A360</f>
        <v>Atheta meybohmi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1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0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</row>
    <row r="361" spans="1:18" x14ac:dyDescent="0.3">
      <c r="A361" s="113" t="str">
        <f>'Actual species'!A361</f>
        <v>Atheta nigra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1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0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</row>
    <row r="362" spans="1:18" x14ac:dyDescent="0.3">
      <c r="A362" s="113" t="str">
        <f>'Actual species'!A362</f>
        <v>Atheta nigritula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1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0</v>
      </c>
      <c r="R362" s="2">
        <f>IF(SUM('Actual species'!U362)&gt;=1,1,IF(SUM('Actual species'!U362)="X",1,0))</f>
        <v>0</v>
      </c>
    </row>
    <row r="363" spans="1:18" x14ac:dyDescent="0.3">
      <c r="A363" s="113" t="str">
        <f>'Actual species'!A363</f>
        <v>Atheta oblita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1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1</v>
      </c>
      <c r="K363" s="2">
        <f>IF(SUM('Actual species'!N363)&gt;=1,1,IF(SUM('Actual species'!N363)="X",1,0))</f>
        <v>0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0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</row>
    <row r="364" spans="1:18" x14ac:dyDescent="0.3">
      <c r="A364" s="113" t="str">
        <f>'Actual species'!A364</f>
        <v>Atheta occulta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0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</row>
    <row r="365" spans="1:18" x14ac:dyDescent="0.3">
      <c r="A365" s="113" t="str">
        <f>'Actual species'!A365</f>
        <v>Atheta opacicollis</v>
      </c>
      <c r="B365" s="66">
        <f>IF(SUM('Actual species'!B365:E365)&gt;=1,1,IF(SUM('Actual species'!B365:E365)="X",1,0))</f>
        <v>1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0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</row>
    <row r="366" spans="1:18" x14ac:dyDescent="0.3">
      <c r="A366" s="113" t="str">
        <f>'Actual species'!A366</f>
        <v>Atheta orbata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1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0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</row>
    <row r="367" spans="1:18" x14ac:dyDescent="0.3">
      <c r="A367" s="113" t="str">
        <f>'Actual species'!A367</f>
        <v>Atheta orosana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0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0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0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1</v>
      </c>
      <c r="R367" s="2">
        <f>IF(SUM('Actual species'!U367)&gt;=1,1,IF(SUM('Actual species'!U367)="X",1,0))</f>
        <v>0</v>
      </c>
    </row>
    <row r="368" spans="1:18" x14ac:dyDescent="0.3">
      <c r="A368" s="113" t="str">
        <f>'Actual species'!A368</f>
        <v>Atheta palustris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0</v>
      </c>
      <c r="J368" s="2">
        <f>IF(SUM('Actual species'!M368)&gt;=1,1,IF(SUM('Actual species'!M368)="X",1,0))</f>
        <v>1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0</v>
      </c>
      <c r="R368" s="2">
        <f>IF(SUM('Actual species'!U368)&gt;=1,1,IF(SUM('Actual species'!U368)="X",1,0))</f>
        <v>0</v>
      </c>
    </row>
    <row r="369" spans="1:18" x14ac:dyDescent="0.3">
      <c r="A369" s="113" t="str">
        <f>'Actual species'!A369</f>
        <v>Atheta pittionii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0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1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</row>
    <row r="370" spans="1:18" x14ac:dyDescent="0.3">
      <c r="A370" s="113" t="str">
        <f>'Actual species'!A370</f>
        <v>Atheta putrida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0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1</v>
      </c>
      <c r="N370" s="2">
        <f>IF(SUM('Actual species'!Q370)&gt;=1,1,IF(SUM('Actual species'!Q370)="X",1,0))</f>
        <v>1</v>
      </c>
      <c r="O370" s="2">
        <f>IF(SUM('Actual species'!R370)&gt;=1,1,IF(SUM('Actual species'!R370)="X",1,0))</f>
        <v>1</v>
      </c>
      <c r="P370" s="2">
        <f>IF(SUM('Actual species'!S370)&gt;=1,1,IF(SUM('Actual species'!S370)="X",1,0))</f>
        <v>1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1</v>
      </c>
    </row>
    <row r="371" spans="1:18" x14ac:dyDescent="0.3">
      <c r="A371" s="113" t="str">
        <f>'Actual species'!A371</f>
        <v>Atheta ravilla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</row>
    <row r="372" spans="1:18" x14ac:dyDescent="0.3">
      <c r="A372" s="113" t="str">
        <f>'Actual species'!A372</f>
        <v>Atheta sodalis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0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0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1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</row>
    <row r="373" spans="1:18" x14ac:dyDescent="0.3">
      <c r="A373" s="113" t="str">
        <f>'Actual species'!A373</f>
        <v>Atheta sp.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1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1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</row>
    <row r="374" spans="1:18" x14ac:dyDescent="0.3">
      <c r="A374" s="113" t="str">
        <f>'Actual species'!A374</f>
        <v>Atheta sp. aff. bellesi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</row>
    <row r="375" spans="1:18" x14ac:dyDescent="0.3">
      <c r="A375" s="113" t="str">
        <f>'Actual species'!A375</f>
        <v>Atheta speculum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0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1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1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</row>
    <row r="376" spans="1:18" x14ac:dyDescent="0.3">
      <c r="A376" s="113" t="str">
        <f>'Actual species'!A376</f>
        <v>Atheta subtilis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0</v>
      </c>
    </row>
    <row r="377" spans="1:18" x14ac:dyDescent="0.3">
      <c r="A377" s="113" t="str">
        <f>'Actual species'!A377</f>
        <v>Atheta testaceipes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1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</row>
    <row r="378" spans="1:18" x14ac:dyDescent="0.3">
      <c r="A378" s="113" t="str">
        <f>'Actual species'!A378</f>
        <v xml:space="preserve">Atheta triangulum </v>
      </c>
      <c r="B378" s="66">
        <f>IF(SUM('Actual species'!B378:E378)&gt;=1,1,IF(SUM('Actual species'!B378:E378)="X",1,0))</f>
        <v>1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1</v>
      </c>
      <c r="K378" s="2">
        <f>IF(SUM('Actual species'!N378)&gt;=1,1,IF(SUM('Actual species'!N378)="X",1,0))</f>
        <v>1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0</v>
      </c>
      <c r="R378" s="2">
        <f>IF(SUM('Actual species'!U378)&gt;=1,1,IF(SUM('Actual species'!U378)="X",1,0))</f>
        <v>0</v>
      </c>
    </row>
    <row r="379" spans="1:18" x14ac:dyDescent="0.3">
      <c r="A379" s="113" t="str">
        <f>'Actual species'!A379</f>
        <v>Atheta trinotata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1</v>
      </c>
      <c r="E379" s="2">
        <f>IF(SUM('Actual species'!H379)&gt;=1,1,IF(SUM('Actual species'!H379)="X",1,0))</f>
        <v>1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1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1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0</v>
      </c>
      <c r="O379" s="2">
        <f>IF(SUM('Actual species'!R379)&gt;=1,1,IF(SUM('Actual species'!R379)="X",1,0))</f>
        <v>0</v>
      </c>
      <c r="P379" s="2">
        <f>IF(SUM('Actual species'!S379)&gt;=1,1,IF(SUM('Actual species'!S379)="X",1,0))</f>
        <v>0</v>
      </c>
      <c r="Q379" s="2">
        <f>IF(SUM('Actual species'!T379)&gt;=1,1,IF(SUM('Actual species'!T379)="X",1,0))</f>
        <v>0</v>
      </c>
      <c r="R379" s="2">
        <f>IF(SUM('Actual species'!U379)&gt;=1,1,IF(SUM('Actual species'!U379)="X",1,0))</f>
        <v>0</v>
      </c>
    </row>
    <row r="380" spans="1:18" x14ac:dyDescent="0.3">
      <c r="A380" s="113" t="str">
        <f>'Actual species'!A380</f>
        <v>Atheta vaga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</row>
    <row r="381" spans="1:18" x14ac:dyDescent="0.3">
      <c r="A381" s="113" t="str">
        <f>'Actual species'!A381</f>
        <v>Autalia longicornis</v>
      </c>
      <c r="B381" s="66">
        <f>IF(SUM('Actual species'!B381:E381)&gt;=1,1,IF(SUM('Actual species'!B381:E381)="X",1,0))</f>
        <v>1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1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0</v>
      </c>
      <c r="R381" s="2">
        <f>IF(SUM('Actual species'!U381)&gt;=1,1,IF(SUM('Actual species'!U381)="X",1,0))</f>
        <v>0</v>
      </c>
    </row>
    <row r="382" spans="1:18" x14ac:dyDescent="0.3">
      <c r="A382" s="113" t="str">
        <f>'Actual species'!A382</f>
        <v>Autalia rivularis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0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1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</row>
    <row r="383" spans="1:18" x14ac:dyDescent="0.3">
      <c r="A383" s="113" t="str">
        <f>'Actual species'!A383</f>
        <v xml:space="preserve">Bellatheta albimontis (E) </v>
      </c>
      <c r="B383" s="66">
        <f>IF(SUM('Actual species'!B383:E383)&gt;=1,1,IF(SUM('Actual species'!B383:E383)="X",1,0))</f>
        <v>0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1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</row>
    <row r="384" spans="1:18" x14ac:dyDescent="0.3">
      <c r="A384" s="113" t="str">
        <f>'Actual species'!A384</f>
        <v>Bellatheta idana (E)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0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1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0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</row>
    <row r="385" spans="1:18" x14ac:dyDescent="0.3">
      <c r="A385" s="113" t="str">
        <f>'Actual species'!A385</f>
        <v>Bolitobius sp.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1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</row>
    <row r="386" spans="1:18" x14ac:dyDescent="0.3">
      <c r="A386" s="113" t="str">
        <f>'Actual species'!A386</f>
        <v>Bolitochara bella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0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</row>
    <row r="387" spans="1:18" x14ac:dyDescent="0.3">
      <c r="A387" s="113" t="str">
        <f>'Actual species'!A387</f>
        <v>Bolitochara obliqua</v>
      </c>
      <c r="B387" s="66">
        <f>IF(SUM('Actual species'!B387:E387)&gt;=1,1,IF(SUM('Actual species'!B387:E387)="X",1,0))</f>
        <v>0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0</v>
      </c>
      <c r="K387" s="2">
        <f>IF(SUM('Actual species'!N387)&gt;=1,1,IF(SUM('Actual species'!N387)="X",1,0))</f>
        <v>0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1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</row>
    <row r="388" spans="1:18" x14ac:dyDescent="0.3">
      <c r="A388" s="113" t="str">
        <f>'Actual species'!A388</f>
        <v xml:space="preserve">*Borboropora corcyrana (E) 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0</v>
      </c>
      <c r="E388" s="2">
        <f>IF(SUM('Actual species'!H388)&gt;=1,1,IF(SUM('Actual species'!H388)="X",1,0))</f>
        <v>0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0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</row>
    <row r="389" spans="1:18" x14ac:dyDescent="0.3">
      <c r="A389" s="113" t="str">
        <f>'Actual species'!A389</f>
        <v>Brachida exigua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0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</row>
    <row r="390" spans="1:18" x14ac:dyDescent="0.3">
      <c r="A390" s="113" t="str">
        <f>'Actual species'!A390</f>
        <v>Brundinia meridionalis</v>
      </c>
      <c r="B390" s="66">
        <f>IF(SUM('Actual species'!B390:E390)&gt;=1,1,IF(SUM('Actual species'!B390:E390)="X",1,0))</f>
        <v>0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1</v>
      </c>
      <c r="F390" s="2">
        <f>IF(SUM('Actual species'!I390)&gt;=1,1,IF(SUM('Actual species'!I390)="X",1,0))</f>
        <v>1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0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</row>
    <row r="391" spans="1:18" x14ac:dyDescent="0.3">
      <c r="A391" s="113" t="str">
        <f>'Actual species'!A391</f>
        <v>Callicerus rigidicornis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0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0</v>
      </c>
      <c r="R391" s="2">
        <f>IF(SUM('Actual species'!U391)&gt;=1,1,IF(SUM('Actual species'!U391)="X",1,0))</f>
        <v>1</v>
      </c>
    </row>
    <row r="392" spans="1:18" x14ac:dyDescent="0.3">
      <c r="A392" s="113" t="str">
        <f>'Actual species'!A392</f>
        <v>Caloderina hierosolymitana</v>
      </c>
      <c r="B392" s="66">
        <f>IF(SUM('Actual species'!B392:E392)&gt;=1,1,IF(SUM('Actual species'!B392:E392)="X",1,0))</f>
        <v>1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1</v>
      </c>
      <c r="K392" s="2">
        <f>IF(SUM('Actual species'!N392)&gt;=1,1,IF(SUM('Actual species'!N392)="X",1,0))</f>
        <v>1</v>
      </c>
      <c r="L392" s="2">
        <f>IF(SUM('Actual species'!O392)&gt;=1,1,IF(SUM('Actual species'!O392)="X",1,0))</f>
        <v>1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</row>
    <row r="393" spans="1:18" x14ac:dyDescent="0.3">
      <c r="A393" s="113" t="str">
        <f>'Actual species'!A393</f>
        <v>Cordalia anatolica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1</v>
      </c>
      <c r="G393" s="2">
        <f>IF(SUM('Actual species'!J393)&gt;=1,1,IF(SUM('Actual species'!J393)="X",1,0))</f>
        <v>0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</row>
    <row r="394" spans="1:18" x14ac:dyDescent="0.3">
      <c r="A394" s="113" t="str">
        <f>'Actual species'!A394</f>
        <v>Cordalia obscura</v>
      </c>
      <c r="B394" s="66">
        <f>IF(SUM('Actual species'!B394:E394)&gt;=1,1,IF(SUM('Actual species'!B394:E394)="X",1,0))</f>
        <v>1</v>
      </c>
      <c r="C394" s="2">
        <f>IF(SUM('Actual species'!F394)&gt;=1,1,IF(SUM('Actual species'!F394)="X",1,0))</f>
        <v>0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1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1</v>
      </c>
      <c r="K394" s="2">
        <f>IF(SUM('Actual species'!N394)&gt;=1,1,IF(SUM('Actual species'!N394)="X",1,0))</f>
        <v>1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1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</row>
    <row r="395" spans="1:18" x14ac:dyDescent="0.3">
      <c r="A395" s="113" t="str">
        <f>'Actual species'!A395</f>
        <v>Cousya 2 spp.</v>
      </c>
      <c r="B395" s="66">
        <f>IF(SUM('Actual species'!B395:E395)&gt;=1,1,IF(SUM('Actual species'!B395:E395)="X",1,0))</f>
        <v>1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0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</row>
    <row r="396" spans="1:18" x14ac:dyDescent="0.3">
      <c r="A396" s="113" t="str">
        <f>'Actual species'!A396</f>
        <v>Cousya cf. nitidiventris</v>
      </c>
      <c r="B396" s="66">
        <f>IF(SUM('Actual species'!B396:E396)&gt;=1,1,IF(SUM('Actual species'!B396:E396)="X",1,0))</f>
        <v>1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1</v>
      </c>
      <c r="Q396" s="2">
        <f>IF(SUM('Actual species'!T396)&gt;=1,1,IF(SUM('Actual species'!T396)="X",1,0))</f>
        <v>0</v>
      </c>
      <c r="R396" s="2">
        <f>IF(SUM('Actual species'!U396)&gt;=1,1,IF(SUM('Actual species'!U396)="X",1,0))</f>
        <v>0</v>
      </c>
    </row>
    <row r="397" spans="1:18" x14ac:dyDescent="0.3">
      <c r="A397" s="113" t="str">
        <f>'Actual species'!A397</f>
        <v>Cousya defecta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1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0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</row>
    <row r="398" spans="1:18" x14ac:dyDescent="0.3">
      <c r="A398" s="113" t="str">
        <f>'Actual species'!A398</f>
        <v>Cousya dimorpha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1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</row>
    <row r="399" spans="1:18" x14ac:dyDescent="0.3">
      <c r="A399" s="113" t="str">
        <f>'Actual species'!A399</f>
        <v>Cousya sp.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0</v>
      </c>
      <c r="F399" s="2">
        <f>IF(SUM('Actual species'!I399)&gt;=1,1,IF(SUM('Actual species'!I399)="X",1,0))</f>
        <v>0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1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1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1</v>
      </c>
      <c r="P399" s="2">
        <f>IF(SUM('Actual species'!S399)&gt;=1,1,IF(SUM('Actual species'!S399)="X",1,0))</f>
        <v>1</v>
      </c>
      <c r="Q399" s="2">
        <f>IF(SUM('Actual species'!T399)&gt;=1,1,IF(SUM('Actual species'!T399)="X",1,0))</f>
        <v>1</v>
      </c>
      <c r="R399" s="2">
        <f>IF(SUM('Actual species'!U399)&gt;=1,1,IF(SUM('Actual species'!U399)="X",1,0))</f>
        <v>1</v>
      </c>
    </row>
    <row r="400" spans="1:18" x14ac:dyDescent="0.3">
      <c r="A400" s="113" t="str">
        <f>'Actual species'!A400</f>
        <v>Crataraea suturalis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0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1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</row>
    <row r="401" spans="1:18" x14ac:dyDescent="0.3">
      <c r="A401" s="113" t="str">
        <f>'Actual species'!A401</f>
        <v>Cypha cf. tarsalis</v>
      </c>
      <c r="B401" s="66">
        <f>IF(SUM('Actual species'!B401:E401)&gt;=1,1,IF(SUM('Actual species'!B401:E401)="X",1,0))</f>
        <v>0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1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0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0</v>
      </c>
      <c r="K401" s="2">
        <f>IF(SUM('Actual species'!N401)&gt;=1,1,IF(SUM('Actual species'!N401)="X",1,0))</f>
        <v>0</v>
      </c>
      <c r="L401" s="2">
        <f>IF(SUM('Actual species'!O401)&gt;=1,1,IF(SUM('Actual species'!O401)="X",1,0))</f>
        <v>0</v>
      </c>
      <c r="M401" s="2">
        <f>IF(SUM('Actual species'!P401)&gt;=1,1,IF(SUM('Actual species'!P401)="X",1,0))</f>
        <v>0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</row>
    <row r="402" spans="1:18" x14ac:dyDescent="0.3">
      <c r="A402" s="113" t="str">
        <f>'Actual species'!A402</f>
        <v>Cypha graeca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0</v>
      </c>
      <c r="G402" s="2">
        <f>IF(SUM('Actual species'!J402)&gt;=1,1,IF(SUM('Actual species'!J402)="X",1,0))</f>
        <v>1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1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</row>
    <row r="403" spans="1:18" x14ac:dyDescent="0.3">
      <c r="A403" s="113" t="str">
        <f>'Actual species'!A403</f>
        <v>Cypha longicornis</v>
      </c>
      <c r="B403" s="66">
        <f>IF(SUM('Actual species'!B403:E403)&gt;=1,1,IF(SUM('Actual species'!B403:E403)="X",1,0))</f>
        <v>0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0</v>
      </c>
      <c r="K403" s="2">
        <f>IF(SUM('Actual species'!N403)&gt;=1,1,IF(SUM('Actual species'!N403)="X",1,0))</f>
        <v>0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0</v>
      </c>
      <c r="N403" s="2">
        <f>IF(SUM('Actual species'!Q403)&gt;=1,1,IF(SUM('Actual species'!Q403)="X",1,0))</f>
        <v>0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</row>
    <row r="404" spans="1:18" x14ac:dyDescent="0.3">
      <c r="A404" s="113" t="str">
        <f>'Actual species'!A404</f>
        <v>Cypha spathulata</v>
      </c>
      <c r="B404" s="66">
        <f>IF(SUM('Actual species'!B404:E404)&gt;=1,1,IF(SUM('Actual species'!B404:E404)="X",1,0))</f>
        <v>0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1</v>
      </c>
      <c r="F404" s="2">
        <f>IF(SUM('Actual species'!I404)&gt;=1,1,IF(SUM('Actual species'!I404)="X",1,0))</f>
        <v>1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1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</row>
    <row r="405" spans="1:18" x14ac:dyDescent="0.3">
      <c r="A405" s="113" t="str">
        <f>'Actual species'!A405</f>
        <v>Cypha sp.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1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0</v>
      </c>
      <c r="R405" s="2">
        <f>IF(SUM('Actual species'!U405)&gt;=1,1,IF(SUM('Actual species'!U405)="X",1,0))</f>
        <v>0</v>
      </c>
    </row>
    <row r="406" spans="1:18" x14ac:dyDescent="0.3">
      <c r="A406" s="113" t="str">
        <f>'Actual species'!A406</f>
        <v>Cypha tenebricosa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0</v>
      </c>
      <c r="F406" s="2">
        <f>IF(SUM('Actual species'!I406)&gt;=1,1,IF(SUM('Actual species'!I406)="X",1,0))</f>
        <v>1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1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1</v>
      </c>
      <c r="L406" s="2">
        <f>IF(SUM('Actual species'!O406)&gt;=1,1,IF(SUM('Actual species'!O406)="X",1,0))</f>
        <v>1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1</v>
      </c>
      <c r="P406" s="2">
        <f>IF(SUM('Actual species'!S406)&gt;=1,1,IF(SUM('Actual species'!S406)="X",1,0))</f>
        <v>1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</row>
    <row r="407" spans="1:18" x14ac:dyDescent="0.3">
      <c r="A407" s="113" t="str">
        <f>'Actual species'!A407</f>
        <v>Dalotia coriaria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1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1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1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0</v>
      </c>
      <c r="R407" s="2">
        <f>IF(SUM('Actual species'!U407)&gt;=1,1,IF(SUM('Actual species'!U407)="X",1,0))</f>
        <v>0</v>
      </c>
    </row>
    <row r="408" spans="1:18" x14ac:dyDescent="0.3">
      <c r="A408" s="113" t="str">
        <f>'Actual species'!A408</f>
        <v>Deinopsis erosa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0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0</v>
      </c>
      <c r="Q408" s="2">
        <f>IF(SUM('Actual species'!T408)&gt;=1,1,IF(SUM('Actual species'!T408)="X",1,0))</f>
        <v>0</v>
      </c>
      <c r="R408" s="2">
        <f>IF(SUM('Actual species'!U408)&gt;=1,1,IF(SUM('Actual species'!U408)="X",1,0))</f>
        <v>0</v>
      </c>
    </row>
    <row r="409" spans="1:18" x14ac:dyDescent="0.3">
      <c r="A409" s="113" t="str">
        <f>'Actual species'!A409</f>
        <v>Diestota guadalupensis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1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0</v>
      </c>
      <c r="R409" s="2">
        <f>IF(SUM('Actual species'!U409)&gt;=1,1,IF(SUM('Actual species'!U409)="X",1,0))</f>
        <v>0</v>
      </c>
    </row>
    <row r="410" spans="1:18" x14ac:dyDescent="0.3">
      <c r="A410" s="113" t="str">
        <f>'Actual species'!A410</f>
        <v>Dilacra luteipes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0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</row>
    <row r="411" spans="1:18" x14ac:dyDescent="0.3">
      <c r="A411" s="113" t="str">
        <f>'Actual species'!A411</f>
        <v>Dilacra pruinosa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0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0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</row>
    <row r="412" spans="1:18" x14ac:dyDescent="0.3">
      <c r="A412" s="113" t="str">
        <f>'Actual species'!A412</f>
        <v>Dinusa cretica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1</v>
      </c>
      <c r="F412" s="2">
        <f>IF(SUM('Actual species'!I412)&gt;=1,1,IF(SUM('Actual species'!I412)="X",1,0))</f>
        <v>0</v>
      </c>
      <c r="G412" s="2">
        <f>IF(SUM('Actual species'!J412)&gt;=1,1,IF(SUM('Actual species'!J412)="X",1,0))</f>
        <v>1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1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</row>
    <row r="413" spans="1:18" x14ac:dyDescent="0.3">
      <c r="A413" s="113" t="str">
        <f>'Actual species'!A413</f>
        <v>Dinusa smyrnensis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0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0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</row>
    <row r="414" spans="1:18" x14ac:dyDescent="0.3">
      <c r="A414" s="113" t="str">
        <f>'Actual species'!A414</f>
        <v>Dinusa sp. (female)</v>
      </c>
      <c r="B414" s="66">
        <f>IF(SUM('Actual species'!B414:E414)&gt;=1,1,IF(SUM('Actual species'!B414:E414)="X",1,0))</f>
        <v>0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1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0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</row>
    <row r="415" spans="1:18" x14ac:dyDescent="0.3">
      <c r="A415" s="113" t="str">
        <f>'Actual species'!A415</f>
        <v>Drusilla canaliculata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0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0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0</v>
      </c>
      <c r="L415" s="2">
        <f>IF(SUM('Actual species'!O415)&gt;=1,1,IF(SUM('Actual species'!O415)="X",1,0))</f>
        <v>0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0</v>
      </c>
      <c r="Q415" s="2">
        <f>IF(SUM('Actual species'!T415)&gt;=1,1,IF(SUM('Actual species'!T415)="X",1,0))</f>
        <v>0</v>
      </c>
      <c r="R415" s="2">
        <f>IF(SUM('Actual species'!U415)&gt;=1,1,IF(SUM('Actual species'!U415)="X",1,0))</f>
        <v>0</v>
      </c>
    </row>
    <row r="416" spans="1:18" x14ac:dyDescent="0.3">
      <c r="A416" s="113" t="str">
        <f>'Actual species'!A416</f>
        <v xml:space="preserve">Drusilla cretica (E) 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0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1</v>
      </c>
      <c r="H416" s="2">
        <f>IF(SUM('Actual species'!K416)&gt;=1,1,IF(SUM('Actual species'!K416)="X",1,0))</f>
        <v>0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0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</row>
    <row r="417" spans="1:18" x14ac:dyDescent="0.3">
      <c r="A417" s="113" t="str">
        <f>'Actual species'!A417</f>
        <v>Emmeostiba? Sp.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1</v>
      </c>
      <c r="O417" s="2">
        <f>IF(SUM('Actual species'!R417)&gt;=1,1,IF(SUM('Actual species'!R417)="X",1,0))</f>
        <v>0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</row>
    <row r="418" spans="1:18" x14ac:dyDescent="0.3">
      <c r="A418" s="113" t="str">
        <f>'Actual species'!A418</f>
        <v>Enalodroma hepatica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1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1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0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</row>
    <row r="419" spans="1:18" x14ac:dyDescent="0.3">
      <c r="A419" s="113" t="str">
        <f>'Actual species'!A419</f>
        <v>Eurodotina inquinula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</row>
    <row r="420" spans="1:18" x14ac:dyDescent="0.3">
      <c r="A420" s="113" t="str">
        <f>'Actual species'!A420</f>
        <v xml:space="preserve">*Euryalea picipennis (E) </v>
      </c>
      <c r="B420" s="66">
        <f>IF(SUM('Actual species'!B420:E420)&gt;=1,1,IF(SUM('Actual species'!B420:E420)="X",1,0))</f>
        <v>1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</row>
    <row r="421" spans="1:18" x14ac:dyDescent="0.3">
      <c r="A421" s="113" t="str">
        <f>'Actual species'!A421</f>
        <v>Falagria caesa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</row>
    <row r="422" spans="1:18" x14ac:dyDescent="0.3">
      <c r="A422" s="113" t="str">
        <f>'Actual species'!A422</f>
        <v>Falagria sulcata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0</v>
      </c>
      <c r="F422" s="2">
        <f>IF(SUM('Actual species'!I422)&gt;=1,1,IF(SUM('Actual species'!I422)="X",1,0))</f>
        <v>1</v>
      </c>
      <c r="G422" s="2">
        <f>IF(SUM('Actual species'!J422)&gt;=1,1,IF(SUM('Actual species'!J422)="X",1,0))</f>
        <v>0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</row>
    <row r="423" spans="1:18" x14ac:dyDescent="0.3">
      <c r="A423" s="113" t="str">
        <f>'Actual species'!A423</f>
        <v>Falagrioma thoracica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1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0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1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</row>
    <row r="424" spans="1:18" x14ac:dyDescent="0.3">
      <c r="A424" s="113" t="str">
        <f>'Actual species'!A424</f>
        <v xml:space="preserve">Geostiba albimontis (E) 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0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</row>
    <row r="425" spans="1:18" x14ac:dyDescent="0.3">
      <c r="A425" s="113" t="str">
        <f>'Actual species'!A425</f>
        <v>Geostiba armata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1</v>
      </c>
    </row>
    <row r="426" spans="1:18" x14ac:dyDescent="0.3">
      <c r="A426" s="113" t="str">
        <f>'Actual species'!A426</f>
        <v>Geostiba breviuter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0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1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</row>
    <row r="427" spans="1:18" x14ac:dyDescent="0.3">
      <c r="A427" s="113" t="str">
        <f>'Actual species'!A427</f>
        <v xml:space="preserve">*Geostiba cyprensis (E) </v>
      </c>
      <c r="B427" s="66">
        <f>IF(SUM('Actual species'!B427:E427)&gt;=1,1,IF(SUM('Actual species'!B427:E427)="X",1,0))</f>
        <v>1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0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</row>
    <row r="428" spans="1:18" x14ac:dyDescent="0.3">
      <c r="A428" s="113" t="str">
        <f>'Actual species'!A428</f>
        <v xml:space="preserve">Geostiba diktiana (E) 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0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0</v>
      </c>
      <c r="G428" s="2">
        <f>IF(SUM('Actual species'!J428)&gt;=1,1,IF(SUM('Actual species'!J428)="X",1,0))</f>
        <v>1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</row>
    <row r="429" spans="1:18" x14ac:dyDescent="0.3">
      <c r="A429" s="113" t="str">
        <f>'Actual species'!A429</f>
        <v>Geostiba euboica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0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1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</row>
    <row r="430" spans="1:18" x14ac:dyDescent="0.3">
      <c r="A430" s="113" t="str">
        <f>'Actual species'!A430</f>
        <v xml:space="preserve">Geostiba exsecta (E) </v>
      </c>
      <c r="B430" s="66">
        <f>IF(SUM('Actual species'!B430:E430)&gt;=1,1,IF(SUM('Actual species'!B430:E430)="X",1,0))</f>
        <v>0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1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</row>
    <row r="431" spans="1:18" x14ac:dyDescent="0.3">
      <c r="A431" s="113" t="str">
        <f>'Actual species'!A431</f>
        <v>Geostiba fthiotisensis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0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1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1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</row>
    <row r="432" spans="1:18" x14ac:dyDescent="0.3">
      <c r="A432" s="113" t="str">
        <f>'Actual species'!A432</f>
        <v xml:space="preserve">Geostiba icaria (E) 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0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0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</row>
    <row r="433" spans="1:18" x14ac:dyDescent="0.3">
      <c r="A433" s="113" t="str">
        <f>'Actual species'!A433</f>
        <v xml:space="preserve">Geostiba idaea (E) 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0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1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0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</row>
    <row r="434" spans="1:18" x14ac:dyDescent="0.3">
      <c r="A434" s="113" t="str">
        <f>'Actual species'!A434</f>
        <v>Geostiba lucens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1</v>
      </c>
      <c r="I434" s="2">
        <f>IF(SUM('Actual species'!L434)&gt;=1,1,IF(SUM('Actual species'!L434)="X",1,0))</f>
        <v>1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</row>
    <row r="435" spans="1:18" x14ac:dyDescent="0.3">
      <c r="A435" s="113" t="str">
        <f>'Actual species'!A435</f>
        <v>Geostiba maxiana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1</v>
      </c>
      <c r="E435" s="2">
        <f>IF(SUM('Actual species'!H435)&gt;=1,1,IF(SUM('Actual species'!H435)="X",1,0))</f>
        <v>1</v>
      </c>
      <c r="F435" s="2">
        <f>IF(SUM('Actual species'!I435)&gt;=1,1,IF(SUM('Actual species'!I435)="X",1,0))</f>
        <v>1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1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1</v>
      </c>
      <c r="L435" s="2">
        <f>IF(SUM('Actual species'!O435)&gt;=1,1,IF(SUM('Actual species'!O435)="X",1,0))</f>
        <v>1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</row>
    <row r="436" spans="1:18" x14ac:dyDescent="0.3">
      <c r="A436" s="113" t="str">
        <f>'Actual species'!A436</f>
        <v xml:space="preserve">Geostiba meybohmi (E) 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1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0</v>
      </c>
      <c r="R436" s="2">
        <f>IF(SUM('Actual species'!U436)&gt;=1,1,IF(SUM('Actual species'!U436)="X",1,0))</f>
        <v>0</v>
      </c>
    </row>
    <row r="437" spans="1:18" x14ac:dyDescent="0.3">
      <c r="A437" s="113" t="str">
        <f>'Actual species'!A437</f>
        <v>Geostiba obtusangula</v>
      </c>
      <c r="B437" s="66">
        <f>IF(SUM('Actual species'!B437:E437)&gt;=1,1,IF(SUM('Actual species'!B437:E437)="X",1,0))</f>
        <v>0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1</v>
      </c>
      <c r="N437" s="2">
        <f>IF(SUM('Actual species'!Q437)&gt;=1,1,IF(SUM('Actual species'!Q437)="X",1,0))</f>
        <v>1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</row>
    <row r="438" spans="1:18" x14ac:dyDescent="0.3">
      <c r="A438" s="113" t="str">
        <f>'Actual species'!A438</f>
        <v>Geostiba oertzeni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1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1</v>
      </c>
      <c r="F438" s="2">
        <f>IF(SUM('Actual species'!I438)&gt;=1,1,IF(SUM('Actual species'!I438)="X",1,0))</f>
        <v>1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1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1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1</v>
      </c>
      <c r="O438" s="2">
        <f>IF(SUM('Actual species'!R438)&gt;=1,1,IF(SUM('Actual species'!R438)="X",1,0))</f>
        <v>1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</row>
    <row r="439" spans="1:18" x14ac:dyDescent="0.3">
      <c r="A439" s="113" t="str">
        <f>'Actual species'!A439</f>
        <v xml:space="preserve">Geostiba paulexsecta (E) 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1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0</v>
      </c>
      <c r="R439" s="2">
        <f>IF(SUM('Actual species'!U439)&gt;=1,1,IF(SUM('Actual species'!U439)="X",1,0))</f>
        <v>0</v>
      </c>
    </row>
    <row r="440" spans="1:18" x14ac:dyDescent="0.3">
      <c r="A440" s="113" t="str">
        <f>'Actual species'!A440</f>
        <v xml:space="preserve">*Geostiba perdita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1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0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</row>
    <row r="441" spans="1:18" x14ac:dyDescent="0.3">
      <c r="A441" s="113" t="str">
        <f>'Actual species'!A441</f>
        <v xml:space="preserve">*Geostiba plicipennis (E) 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1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0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0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</row>
    <row r="442" spans="1:18" x14ac:dyDescent="0.3">
      <c r="A442" s="113" t="str">
        <f>'Actual species'!A442</f>
        <v>Geostiba rhodiensis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1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</row>
    <row r="443" spans="1:18" x14ac:dyDescent="0.3">
      <c r="A443" s="113" t="str">
        <f>'Actual species'!A443</f>
        <v xml:space="preserve">Geostiba thryptisensis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</row>
    <row r="444" spans="1:18" x14ac:dyDescent="0.3">
      <c r="A444" s="113" t="str">
        <f>'Actual species'!A444</f>
        <v>Geostiba torisuturalis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0</v>
      </c>
      <c r="I444" s="2">
        <f>IF(SUM('Actual species'!L444)&gt;=1,1,IF(SUM('Actual species'!L444)="X",1,0))</f>
        <v>0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1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</row>
    <row r="445" spans="1:18" x14ac:dyDescent="0.3">
      <c r="A445" s="113" t="str">
        <f>'Actual species'!A445</f>
        <v>Geostiba varnousica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0</v>
      </c>
      <c r="E445" s="2">
        <f>IF(SUM('Actual species'!H445)&gt;=1,1,IF(SUM('Actual species'!H445)="X",1,0))</f>
        <v>0</v>
      </c>
      <c r="F445" s="2">
        <f>IF(SUM('Actual species'!I445)&gt;=1,1,IF(SUM('Actual species'!I445)="X",1,0))</f>
        <v>0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0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0</v>
      </c>
      <c r="L445" s="2">
        <f>IF(SUM('Actual species'!O445)&gt;=1,1,IF(SUM('Actual species'!O445)="X",1,0))</f>
        <v>0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1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</row>
    <row r="446" spans="1:18" x14ac:dyDescent="0.3">
      <c r="A446" s="113" t="str">
        <f>'Actual species'!A446</f>
        <v>Gnypeta carbonaria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1</v>
      </c>
      <c r="G446" s="2">
        <f>IF(SUM('Actual species'!J446)&gt;=1,1,IF(SUM('Actual species'!J446)="X",1,0))</f>
        <v>0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</row>
    <row r="447" spans="1:18" x14ac:dyDescent="0.3">
      <c r="A447" s="113" t="str">
        <f>'Actual species'!A447</f>
        <v>Gyrophaena affinis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1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0</v>
      </c>
      <c r="O447" s="2">
        <f>IF(SUM('Actual species'!R447)&gt;=1,1,IF(SUM('Actual species'!R447)="X",1,0))</f>
        <v>0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</row>
    <row r="448" spans="1:18" x14ac:dyDescent="0.3">
      <c r="A448" s="113" t="str">
        <f>'Actual species'!A448</f>
        <v>Gyrophaena joyi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0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0</v>
      </c>
      <c r="F448" s="2">
        <f>IF(SUM('Actual species'!I448)&gt;=1,1,IF(SUM('Actual species'!I448)="X",1,0))</f>
        <v>0</v>
      </c>
      <c r="G448" s="2">
        <f>IF(SUM('Actual species'!J448)&gt;=1,1,IF(SUM('Actual species'!J448)="X",1,0))</f>
        <v>0</v>
      </c>
      <c r="H448" s="2">
        <f>IF(SUM('Actual species'!K448)&gt;=1,1,IF(SUM('Actual species'!K448)="X",1,0))</f>
        <v>0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1</v>
      </c>
      <c r="K448" s="2">
        <f>IF(SUM('Actual species'!N448)&gt;=1,1,IF(SUM('Actual species'!N448)="X",1,0))</f>
        <v>0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0</v>
      </c>
      <c r="P448" s="2">
        <f>IF(SUM('Actual species'!S448)&gt;=1,1,IF(SUM('Actual species'!S448)="X",1,0))</f>
        <v>0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</row>
    <row r="449" spans="1:18" x14ac:dyDescent="0.3">
      <c r="A449" s="113" t="str">
        <f>'Actual species'!A449</f>
        <v>Gyrophaena lucidula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0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1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</row>
    <row r="450" spans="1:18" x14ac:dyDescent="0.3">
      <c r="A450" s="113" t="str">
        <f>'Actual species'!A450</f>
        <v>Gyrophaena sp. (female)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0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1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</row>
    <row r="451" spans="1:18" x14ac:dyDescent="0.3">
      <c r="A451" s="113" t="str">
        <f>'Actual species'!A451</f>
        <v>Halobrecta algae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0</v>
      </c>
      <c r="F451" s="2">
        <f>IF(SUM('Actual species'!I451)&gt;=1,1,IF(SUM('Actual species'!I451)="X",1,0))</f>
        <v>1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</row>
    <row r="452" spans="1:18" x14ac:dyDescent="0.3">
      <c r="A452" s="113" t="str">
        <f>'Actual species'!A452</f>
        <v>Halobrecta cf. Puncticeps</v>
      </c>
      <c r="B452" s="66">
        <f>IF(SUM('Actual species'!B452:E452)&gt;=1,1,IF(SUM('Actual species'!B452:E452)="X",1,0))</f>
        <v>1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0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</row>
    <row r="453" spans="1:18" x14ac:dyDescent="0.3">
      <c r="A453" s="113" t="str">
        <f>'Actual species'!A453</f>
        <v>Halobrecta flavipes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1</v>
      </c>
      <c r="G453" s="2">
        <f>IF(SUM('Actual species'!J453)&gt;=1,1,IF(SUM('Actual species'!J453)="X",1,0))</f>
        <v>0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</row>
    <row r="454" spans="1:18" x14ac:dyDescent="0.3">
      <c r="A454" s="113" t="str">
        <f>'Actual species'!A454</f>
        <v>Haploglossa villosula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1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1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1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0</v>
      </c>
      <c r="R454" s="2">
        <f>IF(SUM('Actual species'!U454)&gt;=1,1,IF(SUM('Actual species'!U454)="X",1,0))</f>
        <v>0</v>
      </c>
    </row>
    <row r="455" spans="1:18" x14ac:dyDescent="0.3">
      <c r="A455" s="113" t="str">
        <f>'Actual species'!A455</f>
        <v>Heterota plumbea</v>
      </c>
      <c r="B455" s="66">
        <f>IF(SUM('Actual species'!B455:E455)&gt;=1,1,IF(SUM('Actual species'!B455:E455)="X",1,0))</f>
        <v>1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0</v>
      </c>
      <c r="R455" s="2">
        <f>IF(SUM('Actual species'!U455)&gt;=1,1,IF(SUM('Actual species'!U455)="X",1,0))</f>
        <v>0</v>
      </c>
    </row>
    <row r="456" spans="1:18" x14ac:dyDescent="0.3">
      <c r="A456" s="113" t="str">
        <f>'Actual species'!A456</f>
        <v>Holobus flavicornis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0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1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1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1</v>
      </c>
    </row>
    <row r="457" spans="1:18" x14ac:dyDescent="0.3">
      <c r="A457" s="113" t="str">
        <f>'Actual species'!A457</f>
        <v>Homoeusa acuminata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0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1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</row>
    <row r="458" spans="1:18" x14ac:dyDescent="0.3">
      <c r="A458" s="113" t="str">
        <f>'Actual species'!A458</f>
        <v>Homoeusa spec.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1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1</v>
      </c>
      <c r="R458" s="2">
        <f>IF(SUM('Actual species'!U458)&gt;=1,1,IF(SUM('Actual species'!U458)="X",1,0))</f>
        <v>0</v>
      </c>
    </row>
    <row r="459" spans="1:18" x14ac:dyDescent="0.3">
      <c r="A459" s="113" t="str">
        <f>'Actual species'!A459</f>
        <v>Hydrosmecta fragilis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</row>
    <row r="460" spans="1:18" x14ac:dyDescent="0.3">
      <c r="A460" s="113" t="str">
        <f>'Actual species'!A460</f>
        <v>Hydrosmecta sp.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1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</row>
    <row r="461" spans="1:18" x14ac:dyDescent="0.3">
      <c r="A461" s="113" t="str">
        <f>'Actual species'!A461</f>
        <v>Hydromecta sp. 1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1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0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</row>
    <row r="462" spans="1:18" x14ac:dyDescent="0.3">
      <c r="A462" s="113" t="str">
        <f>'Actual species'!A462</f>
        <v>Hydromecta sp. 2</v>
      </c>
      <c r="B462" s="66">
        <f>IF(SUM('Actual species'!B462:E462)&gt;=1,1,IF(SUM('Actual species'!B462:E462)="X",1,0))</f>
        <v>0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1</v>
      </c>
      <c r="G462" s="2">
        <f>IF(SUM('Actual species'!J462)&gt;=1,1,IF(SUM('Actual species'!J462)="X",1,0))</f>
        <v>1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</row>
    <row r="463" spans="1:18" x14ac:dyDescent="0.3">
      <c r="A463" s="113" t="str">
        <f>'Actual species'!A463</f>
        <v>Hydromecta sp. 3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1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</row>
    <row r="464" spans="1:18" x14ac:dyDescent="0.3">
      <c r="A464" s="113" t="str">
        <f>'Actual species'!A464</f>
        <v>Ischnoglossa proxila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0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0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1</v>
      </c>
      <c r="O464" s="2">
        <f>IF(SUM('Actual species'!R464)&gt;=1,1,IF(SUM('Actual species'!R464)="X",1,0))</f>
        <v>0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</row>
    <row r="465" spans="1:18" x14ac:dyDescent="0.3">
      <c r="A465" s="113" t="str">
        <f>'Actual species'!A465</f>
        <v>Ischnoglossa turcica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1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</row>
    <row r="466" spans="1:18" x14ac:dyDescent="0.3">
      <c r="A466" s="113" t="str">
        <f>'Actual species'!A466</f>
        <v>Ischnopoda umbratica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0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0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1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0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</row>
    <row r="467" spans="1:18" x14ac:dyDescent="0.3">
      <c r="A467" s="113" t="str">
        <f>'Actual species'!A467</f>
        <v>Leptusa asperata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1</v>
      </c>
      <c r="N467" s="2">
        <f>IF(SUM('Actual species'!Q467)&gt;=1,1,IF(SUM('Actual species'!Q467)="X",1,0))</f>
        <v>1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1</v>
      </c>
      <c r="Q467" s="2">
        <f>IF(SUM('Actual species'!T467)&gt;=1,1,IF(SUM('Actual species'!T467)="X",1,0))</f>
        <v>1</v>
      </c>
      <c r="R467" s="2">
        <f>IF(SUM('Actual species'!U467)&gt;=1,1,IF(SUM('Actual species'!U467)="X",1,0))</f>
        <v>1</v>
      </c>
    </row>
    <row r="468" spans="1:18" x14ac:dyDescent="0.3">
      <c r="A468" s="113" t="str">
        <f>'Actual species'!A468</f>
        <v xml:space="preserve">*Leptusa cerrutii (E) </v>
      </c>
      <c r="B468" s="66">
        <f>IF(SUM('Actual species'!B468:E468)&gt;=1,1,IF(SUM('Actual species'!B468:E468)="X",1,0))</f>
        <v>1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0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0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0</v>
      </c>
    </row>
    <row r="469" spans="1:18" x14ac:dyDescent="0.3">
      <c r="A469" s="113" t="str">
        <f>'Actual species'!A469</f>
        <v xml:space="preserve">*Leptusa cypria (E) </v>
      </c>
      <c r="B469" s="66">
        <f>IF(SUM('Actual species'!B469:E469)&gt;=1,1,IF(SUM('Actual species'!B469:E469)="X",1,0))</f>
        <v>1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0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</row>
    <row r="470" spans="1:18" x14ac:dyDescent="0.3">
      <c r="A470" s="113" t="str">
        <f>'Actual species'!A470</f>
        <v>Leptusa jelineki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0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0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1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1</v>
      </c>
    </row>
    <row r="471" spans="1:18" x14ac:dyDescent="0.3">
      <c r="A471" s="113" t="str">
        <f>'Actual species'!A471</f>
        <v>Leptusa meschniggi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0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1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</row>
    <row r="472" spans="1:18" x14ac:dyDescent="0.3">
      <c r="A472" s="113" t="str">
        <f>'Actual species'!A472</f>
        <v>Leptusa peristerica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0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</row>
    <row r="473" spans="1:18" x14ac:dyDescent="0.3">
      <c r="A473" s="113" t="str">
        <f>'Actual species'!A473</f>
        <v>Leptusa reitteri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0</v>
      </c>
      <c r="G473" s="2">
        <f>IF(SUM('Actual species'!J473)&gt;=1,1,IF(SUM('Actual species'!J473)="X",1,0))</f>
        <v>0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0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</row>
    <row r="474" spans="1:18" x14ac:dyDescent="0.3">
      <c r="A474" s="113" t="str">
        <f>'Actual species'!A474</f>
        <v>Leptusa ruficollis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0</v>
      </c>
      <c r="G474" s="2">
        <f>IF(SUM('Actual species'!J474)&gt;=1,1,IF(SUM('Actual species'!J474)="X",1,0))</f>
        <v>0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1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0</v>
      </c>
      <c r="N474" s="2">
        <f>IF(SUM('Actual species'!Q474)&gt;=1,1,IF(SUM('Actual species'!Q474)="X",1,0))</f>
        <v>1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1</v>
      </c>
      <c r="R474" s="2">
        <f>IF(SUM('Actual species'!U474)&gt;=1,1,IF(SUM('Actual species'!U474)="X",1,0))</f>
        <v>1</v>
      </c>
    </row>
    <row r="475" spans="1:18" x14ac:dyDescent="0.3">
      <c r="A475" s="113" t="str">
        <f>'Actual species'!A475</f>
        <v>Leptusa samia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1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0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</row>
    <row r="476" spans="1:18" x14ac:dyDescent="0.3">
      <c r="A476" s="113" t="str">
        <f>'Actual species'!A476</f>
        <v>Leptusa sororella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0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1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</row>
    <row r="477" spans="1:18" x14ac:dyDescent="0.3">
      <c r="A477" s="113" t="str">
        <f>'Actual species'!A477</f>
        <v xml:space="preserve">Leptusa sp. 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1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0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</row>
    <row r="478" spans="1:18" x14ac:dyDescent="0.3">
      <c r="A478" s="113" t="str">
        <f>'Actual species'!A478</f>
        <v>Leptusa winneguthiana</v>
      </c>
      <c r="B478" s="66">
        <f>IF(SUM('Actual species'!B478:E478)&gt;=1,1,IF(SUM('Actual species'!B478:E478)="X",1,0))</f>
        <v>0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0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1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</row>
    <row r="479" spans="1:18" x14ac:dyDescent="0.3">
      <c r="A479" s="113" t="str">
        <f>'Actual species'!A479</f>
        <v>Liogluta alpestris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0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0</v>
      </c>
      <c r="P479" s="2">
        <f>IF(SUM('Actual species'!S479)&gt;=1,1,IF(SUM('Actual species'!S479)="X",1,0))</f>
        <v>1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1</v>
      </c>
    </row>
    <row r="480" spans="1:18" x14ac:dyDescent="0.3">
      <c r="A480" s="113" t="str">
        <f>'Actual species'!A480</f>
        <v>Liogluta longiuscula</v>
      </c>
      <c r="B480" s="66">
        <f>IF(SUM('Actual species'!B480:E480)&gt;=1,1,IF(SUM('Actual species'!B480:E480)="X",1,0))</f>
        <v>1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1</v>
      </c>
      <c r="E480" s="2">
        <f>IF(SUM('Actual species'!H480)&gt;=1,1,IF(SUM('Actual species'!H480)="X",1,0))</f>
        <v>1</v>
      </c>
      <c r="F480" s="2">
        <f>IF(SUM('Actual species'!I480)&gt;=1,1,IF(SUM('Actual species'!I480)="X",1,0))</f>
        <v>1</v>
      </c>
      <c r="G480" s="2">
        <f>IF(SUM('Actual species'!J480)&gt;=1,1,IF(SUM('Actual species'!J480)="X",1,0))</f>
        <v>1</v>
      </c>
      <c r="H480" s="2">
        <f>IF(SUM('Actual species'!K480)&gt;=1,1,IF(SUM('Actual species'!K480)="X",1,0))</f>
        <v>1</v>
      </c>
      <c r="I480" s="2">
        <f>IF(SUM('Actual species'!L480)&gt;=1,1,IF(SUM('Actual species'!L480)="X",1,0))</f>
        <v>1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1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0</v>
      </c>
      <c r="R480" s="2">
        <f>IF(SUM('Actual species'!U480)&gt;=1,1,IF(SUM('Actual species'!U480)="X",1,0))</f>
        <v>1</v>
      </c>
    </row>
    <row r="481" spans="1:18" x14ac:dyDescent="0.3">
      <c r="A481" s="113" t="str">
        <f>'Actual species'!A481</f>
        <v>Liogluta microptera</v>
      </c>
      <c r="B481" s="66">
        <f>IF(SUM('Actual species'!B481:E481)&gt;=1,1,IF(SUM('Actual species'!B481:E481)="X",1,0))</f>
        <v>0</v>
      </c>
      <c r="C481" s="2">
        <f>IF(SUM('Actual species'!F481)&gt;=1,1,IF(SUM('Actual species'!F481)="X",1,0))</f>
        <v>1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</row>
    <row r="482" spans="1:18" x14ac:dyDescent="0.3">
      <c r="A482" s="113" t="str">
        <f>'Actual species'!A482</f>
        <v>Lyprocorrhe anceps</v>
      </c>
      <c r="B482" s="66">
        <f>IF(SUM('Actual species'!B482:E482)&gt;=1,1,IF(SUM('Actual species'!B482:E482)="X",1,0))</f>
        <v>0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1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</row>
    <row r="483" spans="1:18" x14ac:dyDescent="0.3">
      <c r="A483" s="113" t="str">
        <f>'Actual species'!A483</f>
        <v>Maurachelia roubali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1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0</v>
      </c>
      <c r="R483" s="2">
        <f>IF(SUM('Actual species'!U483)&gt;=1,1,IF(SUM('Actual species'!U483)="X",1,0))</f>
        <v>0</v>
      </c>
    </row>
    <row r="484" spans="1:18" x14ac:dyDescent="0.3">
      <c r="A484" s="113" t="str">
        <f>'Actual species'!A484</f>
        <v>Meotica parasita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1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0</v>
      </c>
      <c r="R484" s="2">
        <f>IF(SUM('Actual species'!U484)&gt;=1,1,IF(SUM('Actual species'!U484)="X",1,0))</f>
        <v>0</v>
      </c>
    </row>
    <row r="485" spans="1:18" x14ac:dyDescent="0.3">
      <c r="A485" s="113" t="str">
        <f>'Actual species'!A485</f>
        <v>Meotica sp.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1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1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0</v>
      </c>
      <c r="R485" s="2">
        <f>IF(SUM('Actual species'!U485)&gt;=1,1,IF(SUM('Actual species'!U485)="X",1,0))</f>
        <v>0</v>
      </c>
    </row>
    <row r="486" spans="1:18" x14ac:dyDescent="0.3">
      <c r="A486" s="113" t="str">
        <f>'Actual species'!A486</f>
        <v>Myllaena aff. minuta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1</v>
      </c>
      <c r="N486" s="2">
        <f>IF(SUM('Actual species'!Q486)&gt;=1,1,IF(SUM('Actual species'!Q486)="X",1,0))</f>
        <v>1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</row>
    <row r="487" spans="1:18" x14ac:dyDescent="0.3">
      <c r="A487" s="113" t="str">
        <f>'Actual species'!A487</f>
        <v>Myllaena cf. Kraatzi</v>
      </c>
      <c r="B487" s="66">
        <f>IF(SUM('Actual species'!B487:E487)&gt;=1,1,IF(SUM('Actual species'!B487:E487)="X",1,0))</f>
        <v>1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0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0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0</v>
      </c>
    </row>
    <row r="488" spans="1:18" x14ac:dyDescent="0.3">
      <c r="A488" s="113" t="str">
        <f>'Actual species'!A488</f>
        <v>Myllaena dubia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0</v>
      </c>
      <c r="F488" s="2">
        <f>IF(SUM('Actual species'!I488)&gt;=1,1,IF(SUM('Actual species'!I488)="X",1,0))</f>
        <v>0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</row>
    <row r="489" spans="1:18" x14ac:dyDescent="0.3">
      <c r="A489" s="113" t="str">
        <f>'Actual species'!A489</f>
        <v>Myllaena infuscata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0</v>
      </c>
      <c r="R489" s="2">
        <f>IF(SUM('Actual species'!U489)&gt;=1,1,IF(SUM('Actual species'!U489)="X",1,0))</f>
        <v>0</v>
      </c>
    </row>
    <row r="490" spans="1:18" x14ac:dyDescent="0.3">
      <c r="A490" s="113" t="str">
        <f>'Actual species'!A490</f>
        <v>Myllaena intermedia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0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1</v>
      </c>
      <c r="F490" s="2">
        <f>IF(SUM('Actual species'!I490)&gt;=1,1,IF(SUM('Actual species'!I490)="X",1,0))</f>
        <v>1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1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</row>
    <row r="491" spans="1:18" x14ac:dyDescent="0.3">
      <c r="A491" s="113" t="str">
        <f>'Actual species'!A491</f>
        <v>Myllaena lesbia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1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0</v>
      </c>
      <c r="R491" s="2">
        <f>IF(SUM('Actual species'!U491)&gt;=1,1,IF(SUM('Actual species'!U491)="X",1,0))</f>
        <v>0</v>
      </c>
    </row>
    <row r="492" spans="1:18" x14ac:dyDescent="0.3">
      <c r="A492" s="113" t="str">
        <f>'Actual species'!A492</f>
        <v>Myllaena kraatzi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1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0</v>
      </c>
      <c r="R492" s="2">
        <f>IF(SUM('Actual species'!U492)&gt;=1,1,IF(SUM('Actual species'!U492)="X",1,0))</f>
        <v>0</v>
      </c>
    </row>
    <row r="493" spans="1:18" x14ac:dyDescent="0.3">
      <c r="A493" s="113" t="str">
        <f>'Actual species'!A493</f>
        <v>Myllaena minuta</v>
      </c>
      <c r="B493" s="66">
        <f>IF(SUM('Actual species'!B493:E493)&gt;=1,1,IF(SUM('Actual species'!B493:E493)="X",1,0))</f>
        <v>0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0</v>
      </c>
      <c r="E493" s="2">
        <f>IF(SUM('Actual species'!H493)&gt;=1,1,IF(SUM('Actual species'!H493)="X",1,0))</f>
        <v>0</v>
      </c>
      <c r="F493" s="2">
        <f>IF(SUM('Actual species'!I493)&gt;=1,1,IF(SUM('Actual species'!I493)="X",1,0))</f>
        <v>0</v>
      </c>
      <c r="G493" s="2">
        <f>IF(SUM('Actual species'!J493)&gt;=1,1,IF(SUM('Actual species'!J493)="X",1,0))</f>
        <v>0</v>
      </c>
      <c r="H493" s="2">
        <f>IF(SUM('Actual species'!K493)&gt;=1,1,IF(SUM('Actual species'!K493)="X",1,0))</f>
        <v>0</v>
      </c>
      <c r="I493" s="2">
        <f>IF(SUM('Actual species'!L493)&gt;=1,1,IF(SUM('Actual species'!L493)="X",1,0))</f>
        <v>0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0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0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0</v>
      </c>
      <c r="P493" s="2">
        <f>IF(SUM('Actual species'!S493)&gt;=1,1,IF(SUM('Actual species'!S493)="X",1,0))</f>
        <v>0</v>
      </c>
      <c r="Q493" s="2">
        <f>IF(SUM('Actual species'!T493)&gt;=1,1,IF(SUM('Actual species'!T493)="X",1,0))</f>
        <v>0</v>
      </c>
      <c r="R493" s="2">
        <f>IF(SUM('Actual species'!U493)&gt;=1,1,IF(SUM('Actual species'!U493)="X",1,0))</f>
        <v>0</v>
      </c>
    </row>
    <row r="494" spans="1:18" x14ac:dyDescent="0.3">
      <c r="A494" s="113" t="str">
        <f>'Actual species'!A494</f>
        <v>Myllaena sp.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0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1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1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</row>
    <row r="495" spans="1:18" x14ac:dyDescent="0.3">
      <c r="A495" s="113" t="str">
        <f>'Actual species'!A495</f>
        <v>Myllaena spp.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1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0</v>
      </c>
      <c r="R495" s="2">
        <f>IF(SUM('Actual species'!U495)&gt;=1,1,IF(SUM('Actual species'!U495)="X",1,0))</f>
        <v>0</v>
      </c>
    </row>
    <row r="496" spans="1:18" x14ac:dyDescent="0.3">
      <c r="A496" s="113" t="str">
        <f>'Actual species'!A496</f>
        <v>Myrmecopora anatolica</v>
      </c>
      <c r="B496" s="66">
        <f>IF(SUM('Actual species'!B496:E496)&gt;=1,1,IF(SUM('Actual species'!B496:E496)="X",1,0))</f>
        <v>1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0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</row>
    <row r="497" spans="1:18" x14ac:dyDescent="0.3">
      <c r="A497" s="113" t="str">
        <f>'Actual species'!A497</f>
        <v>Myrmecopora boehmi</v>
      </c>
      <c r="B497" s="66">
        <f>IF(SUM('Actual species'!B497:E497)&gt;=1,1,IF(SUM('Actual species'!B497:E497)="X",1,0))</f>
        <v>1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0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</row>
    <row r="498" spans="1:18" x14ac:dyDescent="0.3">
      <c r="A498" s="113" t="str">
        <f>'Actual species'!A498</f>
        <v>Myrmecopora convexula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1</v>
      </c>
      <c r="E498" s="2">
        <f>IF(SUM('Actual species'!H498)&gt;=1,1,IF(SUM('Actual species'!H498)="X",1,0))</f>
        <v>1</v>
      </c>
      <c r="F498" s="2">
        <f>IF(SUM('Actual species'!I498)&gt;=1,1,IF(SUM('Actual species'!I498)="X",1,0))</f>
        <v>1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1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0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0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</row>
    <row r="499" spans="1:18" x14ac:dyDescent="0.3">
      <c r="A499" s="113" t="str">
        <f>'Actual species'!A499</f>
        <v xml:space="preserve">Myrmecopora elisa (E) 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1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0</v>
      </c>
      <c r="O499" s="2">
        <f>IF(SUM('Actual species'!R499)&gt;=1,1,IF(SUM('Actual species'!R499)="X",1,0))</f>
        <v>0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</row>
    <row r="500" spans="1:18" x14ac:dyDescent="0.3">
      <c r="A500" s="113" t="str">
        <f>'Actual species'!A500</f>
        <v xml:space="preserve">Myrmecopora fornicata (E) </v>
      </c>
      <c r="B500" s="66">
        <f>IF(SUM('Actual species'!B500:E500)&gt;=1,1,IF(SUM('Actual species'!B500:E500)="X",1,0))</f>
        <v>0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1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</row>
    <row r="501" spans="1:18" x14ac:dyDescent="0.3">
      <c r="A501" s="113" t="str">
        <f>'Actual species'!A501</f>
        <v>Myrmecopora fugax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1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1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</row>
    <row r="502" spans="1:18" x14ac:dyDescent="0.3">
      <c r="A502" s="113" t="str">
        <f>'Actual species'!A502</f>
        <v xml:space="preserve">Myrmecopora idana (E) 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1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0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</row>
    <row r="503" spans="1:18" x14ac:dyDescent="0.3">
      <c r="A503" s="113" t="str">
        <f>'Actual species'!A503</f>
        <v>Myrmecopora laesa</v>
      </c>
      <c r="B503" s="66">
        <f>IF(SUM('Actual species'!B503:E503)&gt;=1,1,IF(SUM('Actual species'!B503:E503)="X",1,0))</f>
        <v>1</v>
      </c>
      <c r="C503" s="2">
        <f>IF(SUM('Actual species'!F503)&gt;=1,1,IF(SUM('Actual species'!F503)="X",1,0))</f>
        <v>0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0</v>
      </c>
      <c r="F503" s="2">
        <f>IF(SUM('Actual species'!I503)&gt;=1,1,IF(SUM('Actual species'!I503)="X",1,0))</f>
        <v>0</v>
      </c>
      <c r="G503" s="2">
        <f>IF(SUM('Actual species'!J503)&gt;=1,1,IF(SUM('Actual species'!J503)="X",1,0))</f>
        <v>1</v>
      </c>
      <c r="H503" s="2">
        <f>IF(SUM('Actual species'!K503)&gt;=1,1,IF(SUM('Actual species'!K503)="X",1,0))</f>
        <v>1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0</v>
      </c>
      <c r="M503" s="2">
        <f>IF(SUM('Actual species'!P503)&gt;=1,1,IF(SUM('Actual species'!P503)="X",1,0))</f>
        <v>0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</row>
    <row r="504" spans="1:18" x14ac:dyDescent="0.3">
      <c r="A504" s="113" t="str">
        <f>'Actual species'!A504</f>
        <v xml:space="preserve">Myrmecopora plana (E) 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0</v>
      </c>
      <c r="G504" s="2">
        <f>IF(SUM('Actual species'!J504)&gt;=1,1,IF(SUM('Actual species'!J504)="X",1,0))</f>
        <v>1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</row>
    <row r="505" spans="1:18" x14ac:dyDescent="0.3">
      <c r="A505" s="113" t="str">
        <f>'Actual species'!A505</f>
        <v>Myrmecopora pygmaea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0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</row>
    <row r="506" spans="1:18" x14ac:dyDescent="0.3">
      <c r="A506" s="113" t="str">
        <f>'Actual species'!A506</f>
        <v xml:space="preserve">Myrmecopora rhodica (E) 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1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</row>
    <row r="507" spans="1:18" x14ac:dyDescent="0.3">
      <c r="A507" s="113" t="str">
        <f>'Actual species'!A507</f>
        <v xml:space="preserve">Myrmecopora sp. 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0</v>
      </c>
      <c r="G507" s="2">
        <f>IF(SUM('Actual species'!J507)&gt;=1,1,IF(SUM('Actual species'!J507)="X",1,0))</f>
        <v>1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0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</row>
    <row r="508" spans="1:18" x14ac:dyDescent="0.3">
      <c r="A508" s="113" t="str">
        <f>'Actual species'!A508</f>
        <v xml:space="preserve">Myrmecopora sulcata 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1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0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</row>
    <row r="509" spans="1:18" x14ac:dyDescent="0.3">
      <c r="A509" s="113" t="str">
        <f>'Actual species'!A509</f>
        <v xml:space="preserve">Myrmecopora thriptica (E) </v>
      </c>
      <c r="B509" s="66">
        <f>IF(SUM('Actual species'!B509:E509)&gt;=1,1,IF(SUM('Actual species'!B509:E509)="X",1,0))</f>
        <v>0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1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</row>
    <row r="510" spans="1:18" x14ac:dyDescent="0.3">
      <c r="A510" s="113" t="str">
        <f>'Actual species'!A510</f>
        <v>Myrmecopora uvida</v>
      </c>
      <c r="B510" s="66">
        <f>IF(SUM('Actual species'!B510:E510)&gt;=1,1,IF(SUM('Actual species'!B510:E510)="X",1,0))</f>
        <v>0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1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</row>
    <row r="511" spans="1:18" x14ac:dyDescent="0.3">
      <c r="A511" s="113" t="str">
        <f>'Actual species'!A511</f>
        <v>Myrmoecia plicata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0</v>
      </c>
      <c r="E511" s="2">
        <f>IF(SUM('Actual species'!H511)&gt;=1,1,IF(SUM('Actual species'!H511)="X",1,0))</f>
        <v>0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0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0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</row>
    <row r="512" spans="1:18" x14ac:dyDescent="0.3">
      <c r="A512" s="113" t="str">
        <f>'Actual species'!A512</f>
        <v>Nehemitropia lividipennis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0</v>
      </c>
      <c r="H512" s="2">
        <f>IF(SUM('Actual species'!K512)&gt;=1,1,IF(SUM('Actual species'!K512)="X",1,0))</f>
        <v>1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1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</row>
    <row r="513" spans="1:18" x14ac:dyDescent="0.3">
      <c r="A513" s="113" t="str">
        <f>'Actual species'!A513</f>
        <v>Notothecta flavipes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0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1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</row>
    <row r="514" spans="1:18" x14ac:dyDescent="0.3">
      <c r="A514" s="113" t="str">
        <f>'Actual species'!A514</f>
        <v>Notothecta pisidica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1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0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0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</row>
    <row r="515" spans="1:18" x14ac:dyDescent="0.3">
      <c r="A515" s="113" t="str">
        <f>'Actual species'!A515</f>
        <v>Ocalea badia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1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</row>
    <row r="516" spans="1:18" x14ac:dyDescent="0.3">
      <c r="A516" s="113" t="str">
        <f>'Actual species'!A516</f>
        <v>Ocalea brachyptera</v>
      </c>
      <c r="B516" s="66">
        <f>IF(SUM('Actual species'!B516:E516)&gt;=1,1,IF(SUM('Actual species'!B516:E516)="X",1,0))</f>
        <v>0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1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0</v>
      </c>
      <c r="H516" s="2">
        <f>IF(SUM('Actual species'!K516)&gt;=1,1,IF(SUM('Actual species'!K516)="X",1,0))</f>
        <v>0</v>
      </c>
      <c r="I516" s="2">
        <f>IF(SUM('Actual species'!L516)&gt;=1,1,IF(SUM('Actual species'!L516)="X",1,0))</f>
        <v>1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</row>
    <row r="517" spans="1:18" x14ac:dyDescent="0.3">
      <c r="A517" s="113" t="str">
        <f>'Actual species'!A517</f>
        <v>Ocalea cf. badia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0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1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1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</row>
    <row r="518" spans="1:18" x14ac:dyDescent="0.3">
      <c r="A518" s="113" t="str">
        <f>'Actual species'!A518</f>
        <v>Ocalea cf. puncticollis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1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</row>
    <row r="519" spans="1:18" x14ac:dyDescent="0.3">
      <c r="A519" s="113" t="str">
        <f>'Actual species'!A519</f>
        <v>Ocalea cf. rivularis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1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0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</row>
    <row r="520" spans="1:18" x14ac:dyDescent="0.3">
      <c r="A520" s="113" t="str">
        <f>'Actual species'!A520</f>
        <v>Ocalea concolor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0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1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</row>
    <row r="521" spans="1:18" x14ac:dyDescent="0.3">
      <c r="A521" s="113" t="str">
        <f>'Actual species'!A521</f>
        <v xml:space="preserve">Ocalea cretica (E)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0</v>
      </c>
      <c r="G521" s="2">
        <f>IF(SUM('Actual species'!J521)&gt;=1,1,IF(SUM('Actual species'!J521)="X",1,0))</f>
        <v>1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0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</row>
    <row r="522" spans="1:18" x14ac:dyDescent="0.3">
      <c r="A522" s="113" t="str">
        <f>'Actual species'!A522</f>
        <v>Ocalea puncticollis</v>
      </c>
      <c r="B522" s="66">
        <f>IF(SUM('Actual species'!B522:E522)&gt;=1,1,IF(SUM('Actual species'!B522:E522)="X",1,0))</f>
        <v>1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0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1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</row>
    <row r="523" spans="1:18" x14ac:dyDescent="0.3">
      <c r="A523" s="113" t="str">
        <f>'Actual species'!A523</f>
        <v>Ocalea robusta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0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1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0</v>
      </c>
      <c r="N523" s="2">
        <f>IF(SUM('Actual species'!Q523)&gt;=1,1,IF(SUM('Actual species'!Q523)="X",1,0))</f>
        <v>1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1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</row>
    <row r="524" spans="1:18" x14ac:dyDescent="0.3">
      <c r="A524" s="113" t="str">
        <f>'Actual species'!A524</f>
        <v>Ocalea ruficollis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0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1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</row>
    <row r="525" spans="1:18" x14ac:dyDescent="0.3">
      <c r="A525" s="113" t="str">
        <f>'Actual species'!A525</f>
        <v>Ocalea sp.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1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0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</row>
    <row r="526" spans="1:18" x14ac:dyDescent="0.3">
      <c r="A526" s="113" t="str">
        <f>'Actual species'!A526</f>
        <v>Ocalea spp.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1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1</v>
      </c>
    </row>
    <row r="527" spans="1:18" x14ac:dyDescent="0.3">
      <c r="A527" s="113" t="str">
        <f>'Actual species'!A527</f>
        <v>?*Oligocharina corcyrica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0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</row>
    <row r="528" spans="1:18" x14ac:dyDescent="0.3">
      <c r="A528" s="113" t="str">
        <f>'Actual species'!A528</f>
        <v>Oligota anatolica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0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0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1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0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</row>
    <row r="529" spans="1:18" x14ac:dyDescent="0.3">
      <c r="A529" s="113" t="str">
        <f>'Actual species'!A529</f>
        <v>Oligota granaria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0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0</v>
      </c>
      <c r="J529" s="2">
        <f>IF(SUM('Actual species'!M529)&gt;=1,1,IF(SUM('Actual species'!M529)="X",1,0))</f>
        <v>1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</row>
    <row r="530" spans="1:18" x14ac:dyDescent="0.3">
      <c r="A530" s="113" t="str">
        <f>'Actual species'!A530</f>
        <v>Oligota lohsei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1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0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0</v>
      </c>
      <c r="R530" s="2">
        <f>IF(SUM('Actual species'!U530)&gt;=1,1,IF(SUM('Actual species'!U530)="X",1,0))</f>
        <v>0</v>
      </c>
    </row>
    <row r="531" spans="1:18" x14ac:dyDescent="0.3">
      <c r="A531" s="113" t="str">
        <f>'Actual species'!A531</f>
        <v>Oligota parva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0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1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</row>
    <row r="532" spans="1:18" x14ac:dyDescent="0.3">
      <c r="A532" s="113" t="str">
        <f>'Actual species'!A532</f>
        <v>Oligota picipes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0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1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</row>
    <row r="533" spans="1:18" x14ac:dyDescent="0.3">
      <c r="A533" s="113" t="str">
        <f>'Actual species'!A533</f>
        <v>Oligota pusillima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1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0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</row>
    <row r="534" spans="1:18" x14ac:dyDescent="0.3">
      <c r="A534" s="113" t="str">
        <f>'Actual species'!A534</f>
        <v>Oligota pumilio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1</v>
      </c>
      <c r="F534" s="2">
        <f>IF(SUM('Actual species'!I534)&gt;=1,1,IF(SUM('Actual species'!I534)="X",1,0))</f>
        <v>1</v>
      </c>
      <c r="G534" s="2">
        <f>IF(SUM('Actual species'!J534)&gt;=1,1,IF(SUM('Actual species'!J534)="X",1,0))</f>
        <v>0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</row>
    <row r="535" spans="1:18" x14ac:dyDescent="0.3">
      <c r="A535" s="113" t="str">
        <f>'Actual species'!A535</f>
        <v>Oligota sp. (female)</v>
      </c>
      <c r="B535" s="66">
        <f>IF(SUM('Actual species'!B535:E535)&gt;=1,1,IF(SUM('Actual species'!B535:E535)="X",1,0))</f>
        <v>0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1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0</v>
      </c>
      <c r="R535" s="2">
        <f>IF(SUM('Actual species'!U535)&gt;=1,1,IF(SUM('Actual species'!U535)="X",1,0))</f>
        <v>0</v>
      </c>
    </row>
    <row r="536" spans="1:18" x14ac:dyDescent="0.3">
      <c r="A536" s="113" t="str">
        <f>'Actual species'!A536</f>
        <v>Ousipalia caesula</v>
      </c>
      <c r="B536" s="66">
        <f>IF(SUM('Actual species'!B536:E536)&gt;=1,1,IF(SUM('Actual species'!B536:E536)="X",1,0))</f>
        <v>1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1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0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0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0</v>
      </c>
      <c r="R536" s="2">
        <f>IF(SUM('Actual species'!U536)&gt;=1,1,IF(SUM('Actual species'!U536)="X",1,0))</f>
        <v>0</v>
      </c>
    </row>
    <row r="537" spans="1:18" x14ac:dyDescent="0.3">
      <c r="A537" s="113" t="str">
        <f>'Actual species'!A537</f>
        <v>Oxypoda (Baeoglena) sp.</v>
      </c>
      <c r="B537" s="66">
        <f>IF(SUM('Actual species'!B537:E537)&gt;=1,1,IF(SUM('Actual species'!B537:E537)="X",1,0))</f>
        <v>1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1</v>
      </c>
      <c r="H537" s="2">
        <f>IF(SUM('Actual species'!K537)&gt;=1,1,IF(SUM('Actual species'!K537)="X",1,0))</f>
        <v>1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0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1</v>
      </c>
      <c r="P537" s="2">
        <f>IF(SUM('Actual species'!S537)&gt;=1,1,IF(SUM('Actual species'!S537)="X",1,0))</f>
        <v>1</v>
      </c>
      <c r="Q537" s="2">
        <f>IF(SUM('Actual species'!T537)&gt;=1,1,IF(SUM('Actual species'!T537)="X",1,0))</f>
        <v>1</v>
      </c>
      <c r="R537" s="2">
        <f>IF(SUM('Actual species'!U537)&gt;=1,1,IF(SUM('Actual species'!U537)="X",1,0))</f>
        <v>1</v>
      </c>
    </row>
    <row r="538" spans="1:18" x14ac:dyDescent="0.3">
      <c r="A538" s="113" t="str">
        <f>'Actual species'!A538</f>
        <v>Oxypoda (brachyptera group) sp. Female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0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1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0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</row>
    <row r="539" spans="1:18" x14ac:dyDescent="0.3">
      <c r="A539" s="113" t="str">
        <f>'Actual species'!A539</f>
        <v>Oxypoda abominalis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1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0</v>
      </c>
      <c r="R539" s="2">
        <f>IF(SUM('Actual species'!U539)&gt;=1,1,IF(SUM('Actual species'!U539)="X",1,0))</f>
        <v>0</v>
      </c>
    </row>
    <row r="540" spans="1:18" x14ac:dyDescent="0.3">
      <c r="A540" s="113" t="str">
        <f>'Actual species'!A540</f>
        <v>Oxypoda acutissima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1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1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</row>
    <row r="541" spans="1:18" x14ac:dyDescent="0.3">
      <c r="A541" s="113" t="str">
        <f>'Actual species'!A541</f>
        <v>Oxypoda alternans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1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0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</row>
    <row r="542" spans="1:18" x14ac:dyDescent="0.3">
      <c r="A542" s="113" t="str">
        <f>'Actual species'!A542</f>
        <v>Oxypoda annularis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0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1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</row>
    <row r="543" spans="1:18" x14ac:dyDescent="0.3">
      <c r="A543" s="113" t="str">
        <f>'Actual species'!A543</f>
        <v>Oxypoda aff. brachyptera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0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1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1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</row>
    <row r="544" spans="1:18" x14ac:dyDescent="0.3">
      <c r="A544" s="113" t="str">
        <f>'Actual species'!A544</f>
        <v>Oxypoda attenuata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1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1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0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1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</row>
    <row r="545" spans="1:18" x14ac:dyDescent="0.3">
      <c r="A545" s="113" t="str">
        <f>'Actual species'!A545</f>
        <v xml:space="preserve">Oxypoda bicornuta (E) 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0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1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</row>
    <row r="546" spans="1:18" x14ac:dyDescent="0.3">
      <c r="A546" s="113" t="str">
        <f>'Actual species'!A546</f>
        <v>Oxypoda bimaculata</v>
      </c>
      <c r="B546" s="66">
        <f>IF(SUM('Actual species'!B546:E546)&gt;=1,1,IF(SUM('Actual species'!B546:E546)="X",1,0))</f>
        <v>1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1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</row>
    <row r="547" spans="1:18" x14ac:dyDescent="0.3">
      <c r="A547" s="113" t="str">
        <f>'Actual species'!A547</f>
        <v>Oxypoda brevicornis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0</v>
      </c>
      <c r="F547" s="2">
        <f>IF(SUM('Actual species'!I547)&gt;=1,1,IF(SUM('Actual species'!I547)="X",1,0))</f>
        <v>0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1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1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</row>
    <row r="548" spans="1:18" x14ac:dyDescent="0.3">
      <c r="A548" s="113" t="str">
        <f>'Actual species'!A548</f>
        <v>Oxypoda carbonaria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1</v>
      </c>
      <c r="G548" s="2">
        <f>IF(SUM('Actual species'!J548)&gt;=1,1,IF(SUM('Actual species'!J548)="X",1,0))</f>
        <v>0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1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</row>
    <row r="549" spans="1:18" x14ac:dyDescent="0.3">
      <c r="A549" s="113" t="str">
        <f>'Actual species'!A549</f>
        <v>Oxypoda cf. nova</v>
      </c>
      <c r="B549" s="66">
        <f>IF(SUM('Actual species'!B549:E549)&gt;=1,1,IF(SUM('Actual species'!B549:E549)="X",1,0))</f>
        <v>0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1</v>
      </c>
      <c r="E549" s="2">
        <f>IF(SUM('Actual species'!H549)&gt;=1,1,IF(SUM('Actual species'!H549)="X",1,0))</f>
        <v>1</v>
      </c>
      <c r="F549" s="2">
        <f>IF(SUM('Actual species'!I549)&gt;=1,1,IF(SUM('Actual species'!I549)="X",1,0))</f>
        <v>0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1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</row>
    <row r="550" spans="1:18" x14ac:dyDescent="0.3">
      <c r="A550" s="113" t="str">
        <f>'Actual species'!A550</f>
        <v>Oxypoda cf. turcica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0</v>
      </c>
      <c r="H550" s="2">
        <f>IF(SUM('Actual species'!K550)&gt;=1,1,IF(SUM('Actual species'!K550)="X",1,0))</f>
        <v>0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0</v>
      </c>
      <c r="Q550" s="2">
        <f>IF(SUM('Actual species'!T550)&gt;=1,1,IF(SUM('Actual species'!T550)="X",1,0))</f>
        <v>0</v>
      </c>
      <c r="R550" s="2">
        <f>IF(SUM('Actual species'!U550)&gt;=1,1,IF(SUM('Actual species'!U550)="X",1,0))</f>
        <v>0</v>
      </c>
    </row>
    <row r="551" spans="1:18" x14ac:dyDescent="0.3">
      <c r="A551" s="113" t="str">
        <f>'Actual species'!A551</f>
        <v>Oxypoda cf. vicina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0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</row>
    <row r="552" spans="1:18" x14ac:dyDescent="0.3">
      <c r="A552" s="113" t="str">
        <f>'Actual species'!A552</f>
        <v xml:space="preserve">Oxypoda cretica (E) 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0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1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</row>
    <row r="553" spans="1:18" x14ac:dyDescent="0.3">
      <c r="A553" s="113" t="str">
        <f>'Actual species'!A553</f>
        <v>Oxypoda exoleta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0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1</v>
      </c>
      <c r="I553" s="2">
        <f>IF(SUM('Actual species'!L553)&gt;=1,1,IF(SUM('Actual species'!L553)="X",1,0))</f>
        <v>0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</row>
    <row r="554" spans="1:18" x14ac:dyDescent="0.3">
      <c r="A554" s="113" t="str">
        <f>'Actual species'!A554</f>
        <v>Oxypoda ferruginea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0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1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1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</row>
    <row r="555" spans="1:18" x14ac:dyDescent="0.3">
      <c r="A555" s="113" t="str">
        <f>'Actual species'!A555</f>
        <v>Oxypoda flavicornis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1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1</v>
      </c>
      <c r="Q555" s="2">
        <f>IF(SUM('Actual species'!T555)&gt;=1,1,IF(SUM('Actual species'!T555)="X",1,0))</f>
        <v>0</v>
      </c>
      <c r="R555" s="2">
        <f>IF(SUM('Actual species'!U555)&gt;=1,1,IF(SUM('Actual species'!U555)="X",1,0))</f>
        <v>0</v>
      </c>
    </row>
    <row r="556" spans="1:18" x14ac:dyDescent="0.3">
      <c r="A556" s="113" t="str">
        <f>'Actual species'!A556</f>
        <v>Oxypoda formosa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1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1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0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0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</row>
    <row r="557" spans="1:18" x14ac:dyDescent="0.3">
      <c r="A557" s="113" t="str">
        <f>'Actual species'!A557</f>
        <v>Oxypoda haemorrhoa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1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1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0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</row>
    <row r="558" spans="1:18" x14ac:dyDescent="0.3">
      <c r="A558" s="113" t="str">
        <f>'Actual species'!A558</f>
        <v xml:space="preserve">Oxypoda idana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1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0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</row>
    <row r="559" spans="1:18" x14ac:dyDescent="0.3">
      <c r="A559" s="113" t="str">
        <f>'Actual species'!A559</f>
        <v>Oxypoda ignorata</v>
      </c>
      <c r="B559" s="66">
        <f>IF(SUM('Actual species'!B559:E559)&gt;=1,1,IF(SUM('Actual species'!B559:E559)="X",1,0))</f>
        <v>0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0</v>
      </c>
      <c r="H559" s="2">
        <f>IF(SUM('Actual species'!K559)&gt;=1,1,IF(SUM('Actual species'!K559)="X",1,0))</f>
        <v>0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1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</row>
    <row r="560" spans="1:18" x14ac:dyDescent="0.3">
      <c r="A560" s="113" t="str">
        <f>'Actual species'!A560</f>
        <v>Oxypoda induta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1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0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0</v>
      </c>
      <c r="R560" s="2">
        <f>IF(SUM('Actual species'!U560)&gt;=1,1,IF(SUM('Actual species'!U560)="X",1,0))</f>
        <v>0</v>
      </c>
    </row>
    <row r="561" spans="1:18" x14ac:dyDescent="0.3">
      <c r="A561" s="113" t="str">
        <f>'Actual species'!A561</f>
        <v xml:space="preserve">*Oxypoda kerkisica (E) 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1</v>
      </c>
      <c r="F561" s="2">
        <f>IF(SUM('Actual species'!I561)&gt;=1,1,IF(SUM('Actual species'!I561)="X",1,0))</f>
        <v>0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0</v>
      </c>
      <c r="M561" s="2">
        <f>IF(SUM('Actual species'!P561)&gt;=1,1,IF(SUM('Actual species'!P561)="X",1,0))</f>
        <v>0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</row>
    <row r="562" spans="1:18" x14ac:dyDescent="0.3">
      <c r="A562" s="113" t="str">
        <f>'Actual species'!A562</f>
        <v>Oxypoda lesbia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0</v>
      </c>
      <c r="E562" s="2">
        <f>IF(SUM('Actual species'!H562)&gt;=1,1,IF(SUM('Actual species'!H562)="X",1,0))</f>
        <v>0</v>
      </c>
      <c r="F562" s="2">
        <f>IF(SUM('Actual species'!I562)&gt;=1,1,IF(SUM('Actual species'!I562)="X",1,0))</f>
        <v>1</v>
      </c>
      <c r="G562" s="2">
        <f>IF(SUM('Actual species'!J562)&gt;=1,1,IF(SUM('Actual species'!J562)="X",1,0))</f>
        <v>1</v>
      </c>
      <c r="H562" s="2">
        <f>IF(SUM('Actual species'!K562)&gt;=1,1,IF(SUM('Actual species'!K562)="X",1,0))</f>
        <v>1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0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</row>
    <row r="563" spans="1:18" x14ac:dyDescent="0.3">
      <c r="A563" s="113" t="str">
        <f>'Actual species'!A563</f>
        <v>Oxypoda libanotica</v>
      </c>
      <c r="B563" s="66">
        <f>IF(SUM('Actual species'!B563:E563)&gt;=1,1,IF(SUM('Actual species'!B563:E563)="X",1,0))</f>
        <v>0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1</v>
      </c>
      <c r="E563" s="2">
        <f>IF(SUM('Actual species'!H563)&gt;=1,1,IF(SUM('Actual species'!H563)="X",1,0))</f>
        <v>1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</row>
    <row r="564" spans="1:18" x14ac:dyDescent="0.3">
      <c r="A564" s="113" t="str">
        <f>'Actual species'!A564</f>
        <v>Oxypoda lurida</v>
      </c>
      <c r="B564" s="66">
        <f>IF(SUM('Actual species'!B564:E564)&gt;=1,1,IF(SUM('Actual species'!B564:E564)="X",1,0))</f>
        <v>1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1</v>
      </c>
      <c r="E564" s="2">
        <f>IF(SUM('Actual species'!H564)&gt;=1,1,IF(SUM('Actual species'!H564)="X",1,0))</f>
        <v>1</v>
      </c>
      <c r="F564" s="2">
        <f>IF(SUM('Actual species'!I564)&gt;=1,1,IF(SUM('Actual species'!I564)="X",1,0))</f>
        <v>1</v>
      </c>
      <c r="G564" s="2">
        <f>IF(SUM('Actual species'!J564)&gt;=1,1,IF(SUM('Actual species'!J564)="X",1,0))</f>
        <v>1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1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1</v>
      </c>
      <c r="L564" s="2">
        <f>IF(SUM('Actual species'!O564)&gt;=1,1,IF(SUM('Actual species'!O564)="X",1,0))</f>
        <v>1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1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</row>
    <row r="565" spans="1:18" x14ac:dyDescent="0.3">
      <c r="A565" s="113" t="str">
        <f>'Actual species'!A565</f>
        <v>Oxypoda moczarskii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0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</row>
    <row r="566" spans="1:18" x14ac:dyDescent="0.3">
      <c r="A566" s="113" t="str">
        <f>'Actual species'!A566</f>
        <v>Oxypoda moreatica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0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1</v>
      </c>
    </row>
    <row r="567" spans="1:18" x14ac:dyDescent="0.3">
      <c r="A567" s="113" t="str">
        <f>'Actual species'!A567</f>
        <v>Oxypoda mulsanti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0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0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1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</row>
    <row r="568" spans="1:18" x14ac:dyDescent="0.3">
      <c r="A568" s="113" t="str">
        <f>'Actual species'!A568</f>
        <v>Oxypoda mutata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0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1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0</v>
      </c>
      <c r="R568" s="2">
        <f>IF(SUM('Actual species'!U568)&gt;=1,1,IF(SUM('Actual species'!U568)="X",1,0))</f>
        <v>0</v>
      </c>
    </row>
    <row r="569" spans="1:18" x14ac:dyDescent="0.3">
      <c r="A569" s="113" t="str">
        <f>'Actual species'!A569</f>
        <v>Oxypoda obscuricollis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0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0</v>
      </c>
      <c r="H569" s="2">
        <f>IF(SUM('Actual species'!K569)&gt;=1,1,IF(SUM('Actual species'!K569)="X",1,0))</f>
        <v>1</v>
      </c>
      <c r="I569" s="2">
        <f>IF(SUM('Actual species'!L569)&gt;=1,1,IF(SUM('Actual species'!L569)="X",1,0))</f>
        <v>1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</row>
    <row r="570" spans="1:18" x14ac:dyDescent="0.3">
      <c r="A570" s="113" t="str">
        <f>'Actual species'!A570</f>
        <v>Oxypoda opaca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1</v>
      </c>
      <c r="D570" s="2">
        <f>IF(SUM('Actual species'!G570)&gt;=1,1,IF(SUM('Actual species'!G570)="X",1,0))</f>
        <v>0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0</v>
      </c>
      <c r="G570" s="2">
        <f>IF(SUM('Actual species'!J570)&gt;=1,1,IF(SUM('Actual species'!J570)="X",1,0))</f>
        <v>0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0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1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</row>
    <row r="571" spans="1:18" x14ac:dyDescent="0.3">
      <c r="A571" s="113" t="str">
        <f>'Actual species'!A571</f>
        <v>Oxypoda praecox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1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0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</row>
    <row r="572" spans="1:18" x14ac:dyDescent="0.3">
      <c r="A572" s="113" t="str">
        <f>'Actual species'!A572</f>
        <v>Oxypoda recondita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0</v>
      </c>
      <c r="N572" s="2">
        <f>IF(SUM('Actual species'!Q572)&gt;=1,1,IF(SUM('Actual species'!Q572)="X",1,0))</f>
        <v>1</v>
      </c>
      <c r="O572" s="2">
        <f>IF(SUM('Actual species'!R572)&gt;=1,1,IF(SUM('Actual species'!R572)="X",1,0))</f>
        <v>1</v>
      </c>
      <c r="P572" s="2">
        <f>IF(SUM('Actual species'!S572)&gt;=1,1,IF(SUM('Actual species'!S572)="X",1,0))</f>
        <v>1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1</v>
      </c>
    </row>
    <row r="573" spans="1:18" x14ac:dyDescent="0.3">
      <c r="A573" s="113" t="str">
        <f>'Actual species'!A573</f>
        <v>Oxypoda scheerpeltziana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0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1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</row>
    <row r="574" spans="1:18" x14ac:dyDescent="0.3">
      <c r="A574" s="113" t="str">
        <f>'Actual species'!A574</f>
        <v>Oxypoda schminkei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0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1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</row>
    <row r="575" spans="1:18" x14ac:dyDescent="0.3">
      <c r="A575" s="113" t="str">
        <f>'Actual species'!A575</f>
        <v>Oxypoda sp.</v>
      </c>
      <c r="B575" s="66">
        <f>IF(SUM('Actual species'!B575:E575)&gt;=1,1,IF(SUM('Actual species'!B575:E575)="X",1,0))</f>
        <v>1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0</v>
      </c>
      <c r="H575" s="2">
        <f>IF(SUM('Actual species'!K575)&gt;=1,1,IF(SUM('Actual species'!K575)="X",1,0))</f>
        <v>0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</row>
    <row r="576" spans="1:18" x14ac:dyDescent="0.3">
      <c r="A576" s="113" t="str">
        <f>'Actual species'!A576</f>
        <v>Oxypoda sp. 1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0</v>
      </c>
      <c r="E576" s="2">
        <f>IF(SUM('Actual species'!H576)&gt;=1,1,IF(SUM('Actual species'!H576)="X",1,0))</f>
        <v>0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1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</row>
    <row r="577" spans="1:18" x14ac:dyDescent="0.3">
      <c r="A577" s="113" t="str">
        <f>'Actual species'!A577</f>
        <v>Oxypoda sp. 2</v>
      </c>
      <c r="B577" s="66">
        <f>IF(SUM('Actual species'!B577:E577)&gt;=1,1,IF(SUM('Actual species'!B577:E577)="X",1,0))</f>
        <v>0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0</v>
      </c>
      <c r="E577" s="2">
        <f>IF(SUM('Actual species'!H577)&gt;=1,1,IF(SUM('Actual species'!H577)="X",1,0))</f>
        <v>0</v>
      </c>
      <c r="F577" s="2">
        <f>IF(SUM('Actual species'!I577)&gt;=1,1,IF(SUM('Actual species'!I577)="X",1,0))</f>
        <v>0</v>
      </c>
      <c r="G577" s="2">
        <f>IF(SUM('Actual species'!J577)&gt;=1,1,IF(SUM('Actual species'!J577)="X",1,0))</f>
        <v>0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0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0</v>
      </c>
      <c r="L577" s="2">
        <f>IF(SUM('Actual species'!O577)&gt;=1,1,IF(SUM('Actual species'!O577)="X",1,0))</f>
        <v>0</v>
      </c>
      <c r="M577" s="2">
        <f>IF(SUM('Actual species'!P577)&gt;=1,1,IF(SUM('Actual species'!P577)="X",1,0))</f>
        <v>0</v>
      </c>
      <c r="N577" s="2">
        <f>IF(SUM('Actual species'!Q577)&gt;=1,1,IF(SUM('Actual species'!Q577)="X",1,0))</f>
        <v>1</v>
      </c>
      <c r="O577" s="2">
        <f>IF(SUM('Actual species'!R577)&gt;=1,1,IF(SUM('Actual species'!R577)="X",1,0))</f>
        <v>0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</row>
    <row r="578" spans="1:18" x14ac:dyDescent="0.3">
      <c r="A578" s="113" t="str">
        <f>'Actual species'!A578</f>
        <v>Oxypoda sp. 3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1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</row>
    <row r="579" spans="1:18" x14ac:dyDescent="0.3">
      <c r="A579" s="113" t="str">
        <f>'Actual species'!A579</f>
        <v>Oxypoda sp. aff. attenuata</v>
      </c>
      <c r="B579" s="66">
        <f>IF(SUM('Actual species'!B579:E579)&gt;=1,1,IF(SUM('Actual species'!B579:E579)="X",1,0))</f>
        <v>1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</row>
    <row r="580" spans="1:18" x14ac:dyDescent="0.3">
      <c r="A580" s="113" t="str">
        <f>'Actual species'!A580</f>
        <v>Oxypoda sp. aff. vicina</v>
      </c>
      <c r="B580" s="66">
        <f>IF(SUM('Actual species'!B580:E580)&gt;=1,1,IF(SUM('Actual species'!B580:E580)="X",1,0))</f>
        <v>1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0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</row>
    <row r="581" spans="1:18" x14ac:dyDescent="0.3">
      <c r="A581" s="113" t="str">
        <f>'Actual species'!A581</f>
        <v>Oxypoda subnitida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1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0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</row>
    <row r="582" spans="1:18" x14ac:dyDescent="0.3">
      <c r="A582" s="113" t="str">
        <f>'Actual species'!A582</f>
        <v>Oxypoda togata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1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0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</row>
    <row r="583" spans="1:18" x14ac:dyDescent="0.3">
      <c r="A583" s="113" t="str">
        <f>'Actual species'!A583</f>
        <v>Oxypoda turcica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1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0</v>
      </c>
      <c r="I583" s="2">
        <f>IF(SUM('Actual species'!L583)&gt;=1,1,IF(SUM('Actual species'!L583)="X",1,0))</f>
        <v>0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</row>
    <row r="584" spans="1:18" x14ac:dyDescent="0.3">
      <c r="A584" s="113" t="str">
        <f>'Actual species'!A584</f>
        <v>Oxypoda vicina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0</v>
      </c>
      <c r="D584" s="2">
        <f>IF(SUM('Actual species'!G584)&gt;=1,1,IF(SUM('Actual species'!G584)="X",1,0))</f>
        <v>1</v>
      </c>
      <c r="E584" s="2">
        <f>IF(SUM('Actual species'!H584)&gt;=1,1,IF(SUM('Actual species'!H584)="X",1,0))</f>
        <v>1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1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0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</row>
    <row r="585" spans="1:18" x14ac:dyDescent="0.3">
      <c r="A585" s="113" t="str">
        <f>'Actual species'!A585</f>
        <v>Oxypoda vittata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0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1</v>
      </c>
    </row>
    <row r="586" spans="1:18" x14ac:dyDescent="0.3">
      <c r="A586" s="113" t="str">
        <f>'Actual species'!A586</f>
        <v>Paraleptusa wunderlei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1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0</v>
      </c>
      <c r="P586" s="2">
        <f>IF(SUM('Actual species'!S586)&gt;=1,1,IF(SUM('Actual species'!S586)="X",1,0))</f>
        <v>0</v>
      </c>
      <c r="Q586" s="2">
        <f>IF(SUM('Actual species'!T586)&gt;=1,1,IF(SUM('Actual species'!T586)="X",1,0))</f>
        <v>0</v>
      </c>
      <c r="R586" s="2">
        <f>IF(SUM('Actual species'!U586)&gt;=1,1,IF(SUM('Actual species'!U586)="X",1,0))</f>
        <v>0</v>
      </c>
    </row>
    <row r="587" spans="1:18" x14ac:dyDescent="0.3">
      <c r="A587" s="113" t="str">
        <f>'Actual species'!A587</f>
        <v>Parocyusa longitarsis</v>
      </c>
      <c r="B587" s="66">
        <f>IF(SUM('Actual species'!B587:E587)&gt;=1,1,IF(SUM('Actual species'!B587:E587)="X",1,0))</f>
        <v>1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0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1</v>
      </c>
      <c r="O587" s="2">
        <f>IF(SUM('Actual species'!R587)&gt;=1,1,IF(SUM('Actual species'!R587)="X",1,0))</f>
        <v>1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</row>
    <row r="588" spans="1:18" x14ac:dyDescent="0.3">
      <c r="A588" s="113" t="str">
        <f>'Actual species'!A588</f>
        <v>Pella cinctipennis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1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0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</row>
    <row r="589" spans="1:18" x14ac:dyDescent="0.3">
      <c r="A589" s="113" t="str">
        <f>'Actual species'!A589</f>
        <v>Pella funesta</v>
      </c>
      <c r="B589" s="66">
        <f>IF(SUM('Actual species'!B589:E589)&gt;=1,1,IF(SUM('Actual species'!B589:E589)="X",1,0))</f>
        <v>0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0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1</v>
      </c>
      <c r="R589" s="2">
        <f>IF(SUM('Actual species'!U589)&gt;=1,1,IF(SUM('Actual species'!U589)="X",1,0))</f>
        <v>0</v>
      </c>
    </row>
    <row r="590" spans="1:18" x14ac:dyDescent="0.3">
      <c r="A590" s="113" t="str">
        <f>'Actual species'!A590</f>
        <v>Pella humeralis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0</v>
      </c>
      <c r="P590" s="2">
        <f>IF(SUM('Actual species'!S590)&gt;=1,1,IF(SUM('Actual species'!S590)="X",1,0))</f>
        <v>1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</row>
    <row r="591" spans="1:18" x14ac:dyDescent="0.3">
      <c r="A591" s="113" t="str">
        <f>'Actual species'!A591</f>
        <v>Phloeopora corticalis</v>
      </c>
      <c r="B591" s="66">
        <f>IF(SUM('Actual species'!B591:E591)&gt;=1,1,IF(SUM('Actual species'!B591:E591)="X",1,0))</f>
        <v>1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0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</row>
    <row r="592" spans="1:18" x14ac:dyDescent="0.3">
      <c r="A592" s="113" t="str">
        <f>'Actual species'!A592</f>
        <v>Phloeopora teres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1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0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</row>
    <row r="593" spans="1:18" x14ac:dyDescent="0.3">
      <c r="A593" s="113" t="str">
        <f>'Actual species'!A593</f>
        <v>Phytosus balticus</v>
      </c>
      <c r="B593" s="66">
        <f>IF(SUM('Actual species'!B593:E593)&gt;=1,1,IF(SUM('Actual species'!B593:E593)="X",1,0))</f>
        <v>0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1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</row>
    <row r="594" spans="1:18" x14ac:dyDescent="0.3">
      <c r="A594" s="113" t="str">
        <f>'Actual species'!A594</f>
        <v xml:space="preserve">Phytosus holtzi (E) </v>
      </c>
      <c r="B594" s="66">
        <f>IF(SUM('Actual species'!B594:E594)&gt;=1,1,IF(SUM('Actual species'!B594:E594)="X",1,0))</f>
        <v>0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</row>
    <row r="595" spans="1:18" s="49" customFormat="1" x14ac:dyDescent="0.3">
      <c r="A595" s="113" t="str">
        <f>'Actual species'!A595</f>
        <v>Piochardia reitteri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1</v>
      </c>
      <c r="F595" s="2">
        <f>IF(SUM('Actual species'!I595)&gt;=1,1,IF(SUM('Actual species'!I595)="X",1,0))</f>
        <v>1</v>
      </c>
      <c r="G595" s="2">
        <f>IF(SUM('Actual species'!J595)&gt;=1,1,IF(SUM('Actual species'!J595)="X",1,0))</f>
        <v>0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</row>
    <row r="596" spans="1:18" x14ac:dyDescent="0.3">
      <c r="A596" s="113" t="str">
        <f>'Actual species'!A596</f>
        <v>Platyola balcanica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0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1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</row>
    <row r="597" spans="1:18" x14ac:dyDescent="0.3">
      <c r="A597" s="113" t="str">
        <f>'Actual species'!A597</f>
        <v>Pronomaea picea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1</v>
      </c>
      <c r="E597" s="2">
        <f>IF(SUM('Actual species'!H597)&gt;=1,1,IF(SUM('Actual species'!H597)="X",1,0))</f>
        <v>0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1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1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</row>
    <row r="598" spans="1:18" x14ac:dyDescent="0.3">
      <c r="A598" s="113" t="str">
        <f>'Actual species'!A598</f>
        <v xml:space="preserve">Pronomaea wunderlei (E) 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0</v>
      </c>
      <c r="E598" s="2">
        <f>IF(SUM('Actual species'!H598)&gt;=1,1,IF(SUM('Actual species'!H598)="X",1,0))</f>
        <v>0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0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0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</row>
    <row r="599" spans="1:18" s="49" customFormat="1" x14ac:dyDescent="0.3">
      <c r="A599" s="113" t="str">
        <f>'Actual species'!A599</f>
        <v>Pseudocalea angulata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1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</row>
    <row r="600" spans="1:18" x14ac:dyDescent="0.3">
      <c r="A600" s="113" t="str">
        <f>'Actual species'!A600</f>
        <v>Pseudosemiris kaufmanni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1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0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</row>
    <row r="601" spans="1:18" x14ac:dyDescent="0.3">
      <c r="A601" s="113" t="str">
        <f>'Actual species'!A601</f>
        <v>Rhopalocerina clavigera</v>
      </c>
      <c r="B601" s="66">
        <f>IF(SUM('Actual species'!B601:E601)&gt;=1,1,IF(SUM('Actual species'!B601:E601)="X",1,0))</f>
        <v>0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0</v>
      </c>
      <c r="N601" s="2">
        <f>IF(SUM('Actual species'!Q601)&gt;=1,1,IF(SUM('Actual species'!Q601)="X",1,0))</f>
        <v>1</v>
      </c>
      <c r="O601" s="2">
        <f>IF(SUM('Actual species'!R601)&gt;=1,1,IF(SUM('Actual species'!R601)="X",1,0))</f>
        <v>0</v>
      </c>
      <c r="P601" s="2">
        <f>IF(SUM('Actual species'!S601)&gt;=1,1,IF(SUM('Actual species'!S601)="X",1,0))</f>
        <v>0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</row>
    <row r="602" spans="1:18" x14ac:dyDescent="0.3">
      <c r="A602" s="113" t="str">
        <f>'Actual species'!A602</f>
        <v>Tachyusa agilis</v>
      </c>
      <c r="B602" s="66">
        <f>IF(SUM('Actual species'!B602:E602)&gt;=1,1,IF(SUM('Actual species'!B602:E602)="X",1,0))</f>
        <v>1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0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</row>
    <row r="603" spans="1:18" x14ac:dyDescent="0.3">
      <c r="A603" s="113" t="str">
        <f>'Actual species'!A603</f>
        <v>Tachyusa balteata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1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0</v>
      </c>
    </row>
    <row r="604" spans="1:18" x14ac:dyDescent="0.3">
      <c r="A604" s="113" t="str">
        <f>'Actual species'!A604</f>
        <v>Tachyusa cf. coarctata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1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0</v>
      </c>
      <c r="R604" s="2">
        <f>IF(SUM('Actual species'!U604)&gt;=1,1,IF(SUM('Actual species'!U604)="X",1,0))</f>
        <v>0</v>
      </c>
    </row>
    <row r="605" spans="1:18" x14ac:dyDescent="0.3">
      <c r="A605" s="113" t="str">
        <f>'Actual species'!A605</f>
        <v>Tachyusa constricta</v>
      </c>
      <c r="B605" s="66">
        <f>IF(SUM('Actual species'!B605:E605)&gt;=1,1,IF(SUM('Actual species'!B605:E605)="X",1,0))</f>
        <v>0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1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</row>
    <row r="606" spans="1:18" x14ac:dyDescent="0.3">
      <c r="A606" s="113" t="str">
        <f>'Actual species'!A606</f>
        <v>Tachyusa nitella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</row>
    <row r="607" spans="1:18" x14ac:dyDescent="0.3">
      <c r="A607" s="113" t="str">
        <f>'Actual species'!A607</f>
        <v>Tachyusa objecta</v>
      </c>
      <c r="B607" s="66">
        <f>IF(SUM('Actual species'!B607:E607)&gt;=1,1,IF(SUM('Actual species'!B607:E607)="X",1,0))</f>
        <v>1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0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1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</row>
    <row r="608" spans="1:18" x14ac:dyDescent="0.3">
      <c r="A608" s="113" t="str">
        <f>'Actual species'!A608</f>
        <v>Taxicera moczarskii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1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</row>
    <row r="609" spans="1:18" x14ac:dyDescent="0.3">
      <c r="A609" s="113" t="str">
        <f>'Actual species'!A609</f>
        <v>Taxicera sericophila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0</v>
      </c>
      <c r="F609" s="2">
        <f>IF(SUM('Actual species'!I609)&gt;=1,1,IF(SUM('Actual species'!I609)="X",1,0))</f>
        <v>0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1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</row>
    <row r="610" spans="1:18" x14ac:dyDescent="0.3">
      <c r="A610" s="113" t="str">
        <f>'Actual species'!A610</f>
        <v>Tectusa apollonis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0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1</v>
      </c>
      <c r="O610" s="2">
        <f>IF(SUM('Actual species'!R610)&gt;=1,1,IF(SUM('Actual species'!R610)="X",1,0))</f>
        <v>1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</row>
    <row r="611" spans="1:18" x14ac:dyDescent="0.3">
      <c r="A611" s="113" t="str">
        <f>'Actual species'!A611</f>
        <v xml:space="preserve">Tectusa callicera (E) 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0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1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0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0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</row>
    <row r="612" spans="1:18" x14ac:dyDescent="0.3">
      <c r="A612" s="113" t="str">
        <f>'Actual species'!A612</f>
        <v xml:space="preserve">Tectusa diktiana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1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</row>
    <row r="613" spans="1:18" x14ac:dyDescent="0.3">
      <c r="A613" s="113" t="str">
        <f>'Actual species'!A613</f>
        <v>Tectusa longiuter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0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1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</row>
    <row r="614" spans="1:18" x14ac:dyDescent="0.3">
      <c r="A614" s="113" t="str">
        <f>'Actual species'!A614</f>
        <v>Tectusa rastrifera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0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1</v>
      </c>
      <c r="O614" s="2">
        <f>IF(SUM('Actual species'!R614)&gt;=1,1,IF(SUM('Actual species'!R614)="X",1,0))</f>
        <v>1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</row>
    <row r="615" spans="1:18" x14ac:dyDescent="0.3">
      <c r="A615" s="113" t="str">
        <f>'Actual species'!A615</f>
        <v>Tectusa recta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0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1</v>
      </c>
    </row>
    <row r="616" spans="1:18" x14ac:dyDescent="0.3">
      <c r="A616" s="113" t="str">
        <f>'Actual species'!A616</f>
        <v>Tectusa sp. n.</v>
      </c>
      <c r="B616" s="66">
        <f>IF(SUM('Actual species'!B616:E616)&gt;=1,1,IF(SUM('Actual species'!B616:E616)="X",1,0))</f>
        <v>0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1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</row>
    <row r="617" spans="1:18" x14ac:dyDescent="0.3">
      <c r="A617" s="113" t="str">
        <f>'Actual species'!A617</f>
        <v xml:space="preserve">Tectusa thriptica (E) 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1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0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</row>
    <row r="618" spans="1:18" x14ac:dyDescent="0.3">
      <c r="A618" s="113" t="str">
        <f>'Actual species'!A618</f>
        <v>Tectusa timfristosensis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1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0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</row>
    <row r="619" spans="1:18" x14ac:dyDescent="0.3">
      <c r="A619" s="113" t="str">
        <f>'Actual species'!A619</f>
        <v>Tectusa vardousiensis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</row>
    <row r="620" spans="1:18" x14ac:dyDescent="0.3">
      <c r="A620" s="113" t="str">
        <f>'Actual species'!A620</f>
        <v>Tectusa viduus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0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1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</row>
    <row r="621" spans="1:18" x14ac:dyDescent="0.3">
      <c r="A621" s="113" t="str">
        <f>'Actual species'!A621</f>
        <v>Tetralaucopora longitarsis</v>
      </c>
      <c r="B621" s="66">
        <f>IF(SUM('Actual species'!B621:E621)&gt;=1,1,IF(SUM('Actual species'!B621:E621)="X",1,0))</f>
        <v>0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1</v>
      </c>
      <c r="F621" s="2">
        <f>IF(SUM('Actual species'!I621)&gt;=1,1,IF(SUM('Actual species'!I621)="X",1,0))</f>
        <v>1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0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</row>
    <row r="622" spans="1:18" x14ac:dyDescent="0.3">
      <c r="A622" s="113" t="str">
        <f>'Actual species'!A622</f>
        <v>Thecturota marchii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0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1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</row>
    <row r="623" spans="1:18" x14ac:dyDescent="0.3">
      <c r="A623" s="113" t="str">
        <f>'Actual species'!A623</f>
        <v>Thiasophila angulata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0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</row>
    <row r="624" spans="1:18" x14ac:dyDescent="0.3">
      <c r="A624" s="113" t="str">
        <f>'Actual species'!A624</f>
        <v>Typhlocyptus pandellei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0</v>
      </c>
      <c r="P624" s="2">
        <f>IF(SUM('Actual species'!S624)&gt;=1,1,IF(SUM('Actual species'!S624)="X",1,0))</f>
        <v>0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</row>
    <row r="625" spans="1:18" x14ac:dyDescent="0.3">
      <c r="A625" s="113" t="str">
        <f>'Actual species'!A625</f>
        <v>Zoosetha sp.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1</v>
      </c>
      <c r="G625" s="2">
        <f>IF(SUM('Actual species'!J625)&gt;=1,1,IF(SUM('Actual species'!J625)="X",1,0))</f>
        <v>0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</row>
    <row r="626" spans="1:18" x14ac:dyDescent="0.3">
      <c r="A626" s="113" t="str">
        <f>'Actual species'!A626</f>
        <v>Zyras collaris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0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1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1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</row>
    <row r="627" spans="1:18" x14ac:dyDescent="0.3">
      <c r="A627" s="113" t="str">
        <f>'Actual species'!A627</f>
        <v>Zyras haworthi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1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0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</row>
    <row r="628" spans="1:18" x14ac:dyDescent="0.3">
      <c r="A628" s="113" t="str">
        <f>'Actual species'!A628</f>
        <v>Scaphidiinae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0</v>
      </c>
      <c r="P628" s="2">
        <f>IF(SUM('Actual species'!S628)&gt;=1,1,IF(SUM('Actual species'!S628)="X",1,0))</f>
        <v>0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</row>
    <row r="629" spans="1:18" x14ac:dyDescent="0.3">
      <c r="A629" s="113" t="str">
        <f>'Actual species'!A629</f>
        <v>Scaphidium quadrimaculatum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1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</row>
    <row r="630" spans="1:18" x14ac:dyDescent="0.3">
      <c r="A630" s="113" t="str">
        <f>'Actual species'!A630</f>
        <v>Scaphisoma agaricinum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1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0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</row>
    <row r="631" spans="1:18" x14ac:dyDescent="0.3">
      <c r="A631" s="113" t="str">
        <f>'Actual species'!A631</f>
        <v>Scaphisoma corcyricum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0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</row>
    <row r="632" spans="1:18" x14ac:dyDescent="0.3">
      <c r="A632" s="113" t="str">
        <f>'Actual species'!A632</f>
        <v>Oxytelinae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0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</row>
    <row r="633" spans="1:18" x14ac:dyDescent="0.3">
      <c r="A633" s="113" t="str">
        <f>'Actual species'!A633</f>
        <v>Anotylus clypeonitens</v>
      </c>
      <c r="B633" s="66">
        <f>IF(SUM('Actual species'!B633:E633)&gt;=1,1,IF(SUM('Actual species'!B633:E633)="X",1,0))</f>
        <v>1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1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1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1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0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</row>
    <row r="634" spans="1:18" x14ac:dyDescent="0.3">
      <c r="A634" s="113" t="str">
        <f>'Actual species'!A634</f>
        <v>Anotylus complanatus</v>
      </c>
      <c r="B634" s="66">
        <f>IF(SUM('Actual species'!B634:E634)&gt;=1,1,IF(SUM('Actual species'!B634:E634)="X",1,0))</f>
        <v>1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1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1</v>
      </c>
      <c r="G634" s="2">
        <f>IF(SUM('Actual species'!J634)&gt;=1,1,IF(SUM('Actual species'!J634)="X",1,0))</f>
        <v>1</v>
      </c>
      <c r="H634" s="2">
        <f>IF(SUM('Actual species'!K634)&gt;=1,1,IF(SUM('Actual species'!K634)="X",1,0))</f>
        <v>1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1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1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0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</row>
    <row r="635" spans="1:18" x14ac:dyDescent="0.3">
      <c r="A635" s="113" t="str">
        <f>'Actual species'!A635</f>
        <v>Anotylus inustus</v>
      </c>
      <c r="B635" s="66">
        <f>IF(SUM('Actual species'!B635:E635)&gt;=1,1,IF(SUM('Actual species'!B635:E635)="X",1,0))</f>
        <v>1</v>
      </c>
      <c r="C635" s="2">
        <f>IF(SUM('Actual species'!F635)&gt;=1,1,IF(SUM('Actual species'!F635)="X",1,0))</f>
        <v>1</v>
      </c>
      <c r="D635" s="2">
        <f>IF(SUM('Actual species'!G635)&gt;=1,1,IF(SUM('Actual species'!G635)="X",1,0))</f>
        <v>1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1</v>
      </c>
      <c r="H635" s="2">
        <f>IF(SUM('Actual species'!K635)&gt;=1,1,IF(SUM('Actual species'!K635)="X",1,0))</f>
        <v>1</v>
      </c>
      <c r="I635" s="2">
        <f>IF(SUM('Actual species'!L635)&gt;=1,1,IF(SUM('Actual species'!L635)="X",1,0))</f>
        <v>1</v>
      </c>
      <c r="J635" s="2">
        <f>IF(SUM('Actual species'!M635)&gt;=1,1,IF(SUM('Actual species'!M635)="X",1,0))</f>
        <v>1</v>
      </c>
      <c r="K635" s="2">
        <f>IF(SUM('Actual species'!N635)&gt;=1,1,IF(SUM('Actual species'!N635)="X",1,0))</f>
        <v>1</v>
      </c>
      <c r="L635" s="2">
        <f>IF(SUM('Actual species'!O635)&gt;=1,1,IF(SUM('Actual species'!O635)="X",1,0))</f>
        <v>1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1</v>
      </c>
      <c r="O635" s="2">
        <f>IF(SUM('Actual species'!R635)&gt;=1,1,IF(SUM('Actual species'!R635)="X",1,0))</f>
        <v>1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</row>
    <row r="636" spans="1:18" x14ac:dyDescent="0.3">
      <c r="A636" s="113" t="str">
        <f>'Actual species'!A636</f>
        <v>Anotylus nitidulus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1</v>
      </c>
      <c r="P636" s="2">
        <f>IF(SUM('Actual species'!S636)&gt;=1,1,IF(SUM('Actual species'!S636)="X",1,0))</f>
        <v>1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</row>
    <row r="637" spans="1:18" x14ac:dyDescent="0.3">
      <c r="A637" s="113" t="str">
        <f>'Actual species'!A637</f>
        <v>Anotylus pumilus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1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</row>
    <row r="638" spans="1:18" x14ac:dyDescent="0.3">
      <c r="A638" s="113" t="str">
        <f>'Actual species'!A638</f>
        <v>Anotylus rugosus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</row>
    <row r="639" spans="1:18" x14ac:dyDescent="0.3">
      <c r="A639" s="113" t="str">
        <f>'Actual species'!A639</f>
        <v>Anotylus sculpturatus</v>
      </c>
      <c r="B639" s="66">
        <f>IF(SUM('Actual species'!B639:E639)&gt;=1,1,IF(SUM('Actual species'!B639:E639)="X",1,0))</f>
        <v>1</v>
      </c>
      <c r="C639" s="2">
        <f>IF(SUM('Actual species'!F639)&gt;=1,1,IF(SUM('Actual species'!F639)="X",1,0))</f>
        <v>1</v>
      </c>
      <c r="D639" s="2">
        <f>IF(SUM('Actual species'!G639)&gt;=1,1,IF(SUM('Actual species'!G639)="X",1,0))</f>
        <v>1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1</v>
      </c>
      <c r="H639" s="2">
        <f>IF(SUM('Actual species'!K639)&gt;=1,1,IF(SUM('Actual species'!K639)="X",1,0))</f>
        <v>1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1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</row>
    <row r="640" spans="1:18" x14ac:dyDescent="0.3">
      <c r="A640" s="113" t="str">
        <f>'Actual species'!A640</f>
        <v>Anotylus speculifrons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0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</row>
    <row r="641" spans="1:18" x14ac:dyDescent="0.3">
      <c r="A641" s="113" t="str">
        <f>'Actual species'!A641</f>
        <v>Anotylus tetracarinatus</v>
      </c>
      <c r="B641" s="66">
        <f>IF(SUM('Actual species'!B641:E641)&gt;=1,1,IF(SUM('Actual species'!B641:E641)="X",1,0))</f>
        <v>1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1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1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</row>
    <row r="642" spans="1:18" x14ac:dyDescent="0.3">
      <c r="A642" s="113" t="str">
        <f>'Actual species'!A642</f>
        <v>Aploderus caelatus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</row>
    <row r="643" spans="1:18" x14ac:dyDescent="0.3">
      <c r="A643" s="113" t="str">
        <f>'Actual species'!A643</f>
        <v>Aploderus lydicus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1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0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</row>
    <row r="644" spans="1:18" x14ac:dyDescent="0.3">
      <c r="A644" s="113" t="str">
        <f>'Actual species'!A644</f>
        <v>Bledius bicornis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1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0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</row>
    <row r="645" spans="1:18" x14ac:dyDescent="0.3">
      <c r="A645" s="113" t="str">
        <f>'Actual species'!A645</f>
        <v>Bledius corniger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</row>
    <row r="646" spans="1:18" x14ac:dyDescent="0.3">
      <c r="A646" s="113" t="str">
        <f>'Actual species'!A646</f>
        <v>Bledius cribicollis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1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</row>
    <row r="647" spans="1:18" x14ac:dyDescent="0.3">
      <c r="A647" s="113" t="str">
        <f>'Actual species'!A647</f>
        <v>Bledius fossor</v>
      </c>
      <c r="B647" s="66">
        <f>IF(SUM('Actual species'!B647:E647)&gt;=1,1,IF(SUM('Actual species'!B647:E647)="X",1,0))</f>
        <v>0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0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0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0</v>
      </c>
      <c r="N647" s="2">
        <f>IF(SUM('Actual species'!Q647)&gt;=1,1,IF(SUM('Actual species'!Q647)="X",1,0))</f>
        <v>1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</row>
    <row r="648" spans="1:18" x14ac:dyDescent="0.3">
      <c r="A648" s="113" t="str">
        <f>'Actual species'!A648</f>
        <v>Bledius frisius</v>
      </c>
      <c r="B648" s="66">
        <f>IF(SUM('Actual species'!B648:E648)&gt;=1,1,IF(SUM('Actual species'!B648:E648)="X",1,0))</f>
        <v>0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0</v>
      </c>
      <c r="E648" s="2">
        <f>IF(SUM('Actual species'!H648)&gt;=1,1,IF(SUM('Actual species'!H648)="X",1,0))</f>
        <v>1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0</v>
      </c>
      <c r="H648" s="2">
        <f>IF(SUM('Actual species'!K648)&gt;=1,1,IF(SUM('Actual species'!K648)="X",1,0))</f>
        <v>0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0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0</v>
      </c>
      <c r="M648" s="2">
        <f>IF(SUM('Actual species'!P648)&gt;=1,1,IF(SUM('Actual species'!P648)="X",1,0))</f>
        <v>0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</row>
    <row r="649" spans="1:18" x14ac:dyDescent="0.3">
      <c r="A649" s="113" t="str">
        <f>'Actual species'!A649</f>
        <v>Bledius furcatus</v>
      </c>
      <c r="B649" s="66">
        <f>IF(SUM('Actual species'!B649:E649)&gt;=1,1,IF(SUM('Actual species'!B649:E649)="X",1,0))</f>
        <v>0</v>
      </c>
      <c r="C649" s="2">
        <f>IF(SUM('Actual species'!F649)&gt;=1,1,IF(SUM('Actual species'!F649)="X",1,0))</f>
        <v>0</v>
      </c>
      <c r="D649" s="2">
        <f>IF(SUM('Actual species'!G649)&gt;=1,1,IF(SUM('Actual species'!G649)="X",1,0))</f>
        <v>0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0</v>
      </c>
      <c r="G649" s="2">
        <f>IF(SUM('Actual species'!J649)&gt;=1,1,IF(SUM('Actual species'!J649)="X",1,0))</f>
        <v>0</v>
      </c>
      <c r="H649" s="2">
        <f>IF(SUM('Actual species'!K649)&gt;=1,1,IF(SUM('Actual species'!K649)="X",1,0))</f>
        <v>0</v>
      </c>
      <c r="I649" s="2">
        <f>IF(SUM('Actual species'!L649)&gt;=1,1,IF(SUM('Actual species'!L649)="X",1,0))</f>
        <v>0</v>
      </c>
      <c r="J649" s="2">
        <f>IF(SUM('Actual species'!M649)&gt;=1,1,IF(SUM('Actual species'!M649)="X",1,0))</f>
        <v>0</v>
      </c>
      <c r="K649" s="2">
        <f>IF(SUM('Actual species'!N649)&gt;=1,1,IF(SUM('Actual species'!N649)="X",1,0))</f>
        <v>0</v>
      </c>
      <c r="L649" s="2">
        <f>IF(SUM('Actual species'!O649)&gt;=1,1,IF(SUM('Actual species'!O649)="X",1,0))</f>
        <v>0</v>
      </c>
      <c r="M649" s="2">
        <f>IF(SUM('Actual species'!P649)&gt;=1,1,IF(SUM('Actual species'!P649)="X",1,0))</f>
        <v>0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0</v>
      </c>
      <c r="P649" s="2">
        <f>IF(SUM('Actual species'!S649)&gt;=1,1,IF(SUM('Actual species'!S649)="X",1,0))</f>
        <v>0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</row>
    <row r="650" spans="1:18" x14ac:dyDescent="0.3">
      <c r="A650" s="113" t="str">
        <f>'Actual species'!A650</f>
        <v xml:space="preserve">Bledius minor minor 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0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0</v>
      </c>
      <c r="Q650" s="2">
        <f>IF(SUM('Actual species'!T650)&gt;=1,1,IF(SUM('Actual species'!T650)="X",1,0))</f>
        <v>0</v>
      </c>
      <c r="R650" s="2">
        <f>IF(SUM('Actual species'!U650)&gt;=1,1,IF(SUM('Actual species'!U650)="X",1,0))</f>
        <v>0</v>
      </c>
    </row>
    <row r="651" spans="1:18" x14ac:dyDescent="0.3">
      <c r="A651" s="113" t="str">
        <f>'Actual species'!A651</f>
        <v>Bledius sp.</v>
      </c>
      <c r="B651" s="66">
        <f>IF(SUM('Actual species'!B651:E651)&gt;=1,1,IF(SUM('Actual species'!B651:E651)="X",1,0))</f>
        <v>1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0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</row>
    <row r="652" spans="1:18" x14ac:dyDescent="0.3">
      <c r="A652" s="113" t="str">
        <f>'Actual species'!A652</f>
        <v>Bledius spectabilis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1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</row>
    <row r="653" spans="1:18" x14ac:dyDescent="0.3">
      <c r="A653" s="113" t="str">
        <f>'Actual species'!A653</f>
        <v>Bledius tristis</v>
      </c>
      <c r="B653" s="66">
        <f>IF(SUM('Actual species'!B653:E653)&gt;=1,1,IF(SUM('Actual species'!B653:E653)="X",1,0))</f>
        <v>0</v>
      </c>
      <c r="C653" s="2">
        <f>IF(SUM('Actual species'!F653)&gt;=1,1,IF(SUM('Actual species'!F653)="X",1,0))</f>
        <v>0</v>
      </c>
      <c r="D653" s="2">
        <f>IF(SUM('Actual species'!G653)&gt;=1,1,IF(SUM('Actual species'!G653)="X",1,0))</f>
        <v>0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0</v>
      </c>
      <c r="G653" s="2">
        <f>IF(SUM('Actual species'!J653)&gt;=1,1,IF(SUM('Actual species'!J653)="X",1,0))</f>
        <v>0</v>
      </c>
      <c r="H653" s="2">
        <f>IF(SUM('Actual species'!K653)&gt;=1,1,IF(SUM('Actual species'!K653)="X",1,0))</f>
        <v>0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0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0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</row>
    <row r="654" spans="1:18" x14ac:dyDescent="0.3">
      <c r="A654" s="113" t="str">
        <f>'Actual species'!A654</f>
        <v>Bledius unicornis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1</v>
      </c>
      <c r="F654" s="2">
        <f>IF(SUM('Actual species'!I654)&gt;=1,1,IF(SUM('Actual species'!I654)="X",1,0))</f>
        <v>1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1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0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</row>
    <row r="655" spans="1:18" x14ac:dyDescent="0.3">
      <c r="A655" s="113" t="str">
        <f>'Actual species'!A655</f>
        <v>Bledius verres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0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0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0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0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</row>
    <row r="656" spans="1:18" x14ac:dyDescent="0.3">
      <c r="A656" s="113" t="str">
        <f>'Actual species'!A656</f>
        <v>Carpelimus alutaceus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</row>
    <row r="657" spans="1:18" x14ac:dyDescent="0.3">
      <c r="A657" s="113" t="str">
        <f>'Actual species'!A657</f>
        <v>Carpelimus bilineatus</v>
      </c>
      <c r="B657" s="66">
        <f>IF(SUM('Actual species'!B657:E657)&gt;=1,1,IF(SUM('Actual species'!B657:E657)="X",1,0))</f>
        <v>1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0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1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1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</row>
    <row r="658" spans="1:18" x14ac:dyDescent="0.3">
      <c r="A658" s="113" t="str">
        <f>'Actual species'!A658</f>
        <v>?*Carpelimus corfuensis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0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</row>
    <row r="659" spans="1:18" x14ac:dyDescent="0.3">
      <c r="A659" s="113" t="str">
        <f>'Actual species'!A659</f>
        <v>Carpelimus corticinus</v>
      </c>
      <c r="B659" s="66">
        <f>IF(SUM('Actual species'!B659:E659)&gt;=1,1,IF(SUM('Actual species'!B659:E659)="X",1,0))</f>
        <v>1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1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1</v>
      </c>
      <c r="G659" s="2">
        <f>IF(SUM('Actual species'!J659)&gt;=1,1,IF(SUM('Actual species'!J659)="X",1,0))</f>
        <v>1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1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1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1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</row>
    <row r="660" spans="1:18" x14ac:dyDescent="0.3">
      <c r="A660" s="113" t="str">
        <f>'Actual species'!A660</f>
        <v>Carpelimus despectus</v>
      </c>
      <c r="B660" s="66">
        <f>IF(SUM('Actual species'!B660:E660)&gt;=1,1,IF(SUM('Actual species'!B660:E660)="X",1,0))</f>
        <v>1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1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0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</row>
    <row r="661" spans="1:18" x14ac:dyDescent="0.3">
      <c r="A661" s="113" t="str">
        <f>'Actual species'!A661</f>
        <v>Carpelimus foveolatus foveolatus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0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0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</row>
    <row r="662" spans="1:18" x14ac:dyDescent="0.3">
      <c r="A662" s="113" t="str">
        <f>'Actual species'!A662</f>
        <v>Carpelimus fuliginosus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0</v>
      </c>
      <c r="F662" s="2">
        <f>IF(SUM('Actual species'!I662)&gt;=1,1,IF(SUM('Actual species'!I662)="X",1,0))</f>
        <v>0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1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1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</row>
    <row r="663" spans="1:18" x14ac:dyDescent="0.3">
      <c r="A663" s="113" t="str">
        <f>'Actual species'!A663</f>
        <v>Carpelimus gracilis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0</v>
      </c>
      <c r="F663" s="2">
        <f>IF(SUM('Actual species'!I663)&gt;=1,1,IF(SUM('Actual species'!I663)="X",1,0))</f>
        <v>1</v>
      </c>
      <c r="G663" s="2">
        <f>IF(SUM('Actual species'!J663)&gt;=1,1,IF(SUM('Actual species'!J663)="X",1,0))</f>
        <v>1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1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</row>
    <row r="664" spans="1:18" x14ac:dyDescent="0.3">
      <c r="A664" s="113" t="str">
        <f>'Actual species'!A664</f>
        <v>Carpelimus nitidus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</row>
    <row r="665" spans="1:18" x14ac:dyDescent="0.3">
      <c r="A665" s="113" t="str">
        <f>'Actual species'!A665</f>
        <v>Carpelimus obesus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</row>
    <row r="666" spans="1:18" x14ac:dyDescent="0.3">
      <c r="A666" s="113" t="str">
        <f>'Actual species'!A666</f>
        <v>Carpelimus parvulus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0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</row>
    <row r="667" spans="1:18" s="49" customFormat="1" x14ac:dyDescent="0.3">
      <c r="A667" s="113" t="str">
        <f>'Actual species'!A667</f>
        <v>Carpelimus punctatellus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1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</row>
    <row r="668" spans="1:18" x14ac:dyDescent="0.3">
      <c r="A668" s="113" t="str">
        <f>'Actual species'!A668</f>
        <v>Carpelimus punctipennis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0</v>
      </c>
      <c r="F668" s="2">
        <f>IF(SUM('Actual species'!I668)&gt;=1,1,IF(SUM('Actual species'!I668)="X",1,0))</f>
        <v>0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0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</row>
    <row r="669" spans="1:18" x14ac:dyDescent="0.3">
      <c r="A669" s="113" t="str">
        <f>'Actual species'!A669</f>
        <v>Carpelimus pusillus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</row>
    <row r="670" spans="1:18" x14ac:dyDescent="0.3">
      <c r="A670" s="113" t="str">
        <f>'Actual species'!A670</f>
        <v>?*Carpelimus reitteri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</row>
    <row r="671" spans="1:18" x14ac:dyDescent="0.3">
      <c r="A671" s="113" t="str">
        <f>'Actual species'!A671</f>
        <v>Carpelimus rivulare</v>
      </c>
      <c r="B671" s="66">
        <f>IF(SUM('Actual species'!B671:E671)&gt;=1,1,IF(SUM('Actual species'!B671:E671)="X",1,0))</f>
        <v>0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0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1</v>
      </c>
      <c r="O671" s="2">
        <f>IF(SUM('Actual species'!R671)&gt;=1,1,IF(SUM('Actual species'!R671)="X",1,0))</f>
        <v>0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</row>
    <row r="672" spans="1:18" x14ac:dyDescent="0.3">
      <c r="A672" s="113" t="str">
        <f>'Actual species'!A672</f>
        <v>Carpelimus siculus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</row>
    <row r="673" spans="1:18" x14ac:dyDescent="0.3">
      <c r="A673" s="113" t="str">
        <f>'Actual species'!A673</f>
        <v>Carpelimus similis</v>
      </c>
      <c r="B673" s="66">
        <f>IF(SUM('Actual species'!B673:E673)&gt;=1,1,IF(SUM('Actual species'!B673:E673)="X",1,0))</f>
        <v>0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0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0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0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0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0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0</v>
      </c>
      <c r="R673" s="2">
        <f>IF(SUM('Actual species'!U673)&gt;=1,1,IF(SUM('Actual species'!U673)="X",1,0))</f>
        <v>0</v>
      </c>
    </row>
    <row r="674" spans="1:18" x14ac:dyDescent="0.3">
      <c r="A674" s="113" t="str">
        <f>'Actual species'!A674</f>
        <v xml:space="preserve">Carpelimus sp. </v>
      </c>
      <c r="B674" s="66">
        <f>IF(SUM('Actual species'!B674:E674)&gt;=1,1,IF(SUM('Actual species'!B674:E674)="X",1,0))</f>
        <v>0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1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0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</row>
    <row r="675" spans="1:18" x14ac:dyDescent="0.3">
      <c r="A675" s="113" t="str">
        <f>'Actual species'!A675</f>
        <v>Carpelimus subtilis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1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</row>
    <row r="676" spans="1:18" x14ac:dyDescent="0.3">
      <c r="A676" s="113" t="str">
        <f>'Actual species'!A676</f>
        <v>Manda mandibularis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0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0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0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</row>
    <row r="677" spans="1:18" x14ac:dyDescent="0.3">
      <c r="A677" s="113" t="str">
        <f>'Actual species'!A677</f>
        <v>Ochthephilus andalusiacus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1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1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0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</row>
    <row r="678" spans="1:18" x14ac:dyDescent="0.3">
      <c r="A678" s="113" t="str">
        <f>'Actual species'!A678</f>
        <v>Ochthephilus angustior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1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</row>
    <row r="679" spans="1:18" x14ac:dyDescent="0.3">
      <c r="A679" s="113" t="str">
        <f>'Actual species'!A679</f>
        <v>Ochthephilus aureus</v>
      </c>
      <c r="B679" s="66">
        <f>IF(SUM('Actual species'!B679:E679)&gt;=1,1,IF(SUM('Actual species'!B679:E679)="X",1,0))</f>
        <v>0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1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</row>
    <row r="680" spans="1:18" x14ac:dyDescent="0.3">
      <c r="A680" s="113" t="str">
        <f>'Actual species'!A680</f>
        <v>Ochthephilus lenkoranus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1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</row>
    <row r="681" spans="1:18" x14ac:dyDescent="0.3">
      <c r="A681" s="113" t="str">
        <f>'Actual species'!A681</f>
        <v>Ochthephilus rosenhaueri</v>
      </c>
      <c r="B681" s="66">
        <f>IF(SUM('Actual species'!B681:E681)&gt;=1,1,IF(SUM('Actual species'!B681:E681)="X",1,0))</f>
        <v>1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1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0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1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</row>
    <row r="682" spans="1:18" x14ac:dyDescent="0.3">
      <c r="A682" s="113" t="str">
        <f>'Actual species'!A682</f>
        <v>Ochthephilus sp. n.</v>
      </c>
      <c r="B682" s="66">
        <f>IF(SUM('Actual species'!B682:E682)&gt;=1,1,IF(SUM('Actual species'!B682:E682)="X",1,0))</f>
        <v>1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</row>
    <row r="683" spans="1:18" x14ac:dyDescent="0.3">
      <c r="A683" s="113" t="str">
        <f>'Actual species'!A683</f>
        <v>Ochthephilus venustulus</v>
      </c>
      <c r="B683" s="66">
        <f>IF(SUM('Actual species'!B683:E683)&gt;=1,1,IF(SUM('Actual species'!B683:E683)="X",1,0))</f>
        <v>0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1</v>
      </c>
      <c r="G683" s="2">
        <f>IF(SUM('Actual species'!J683)&gt;=1,1,IF(SUM('Actual species'!J683)="X",1,0))</f>
        <v>1</v>
      </c>
      <c r="H683" s="2">
        <f>IF(SUM('Actual species'!K683)&gt;=1,1,IF(SUM('Actual species'!K683)="X",1,0))</f>
        <v>1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1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</row>
    <row r="684" spans="1:18" x14ac:dyDescent="0.3">
      <c r="A684" s="113" t="str">
        <f>'Actual species'!A684</f>
        <v>Oxytelus piceus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</row>
    <row r="685" spans="1:18" x14ac:dyDescent="0.3">
      <c r="A685" s="113" t="str">
        <f>'Actual species'!A685</f>
        <v>Oxytelus sculptus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0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</row>
    <row r="686" spans="1:18" x14ac:dyDescent="0.3">
      <c r="A686" s="113" t="str">
        <f>'Actual species'!A686</f>
        <v>Planeustomus cephalotes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1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1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</row>
    <row r="687" spans="1:18" x14ac:dyDescent="0.3">
      <c r="A687" s="113" t="str">
        <f>'Actual species'!A687</f>
        <v>Planeustomus rosti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0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0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</row>
    <row r="688" spans="1:18" x14ac:dyDescent="0.3">
      <c r="A688" s="113" t="str">
        <f>'Actual species'!A688</f>
        <v>Platystethus alutaceus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0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1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1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</row>
    <row r="689" spans="1:18" x14ac:dyDescent="0.3">
      <c r="A689" s="113" t="str">
        <f>'Actual species'!A689</f>
        <v>Platystethus arenarius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0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</row>
    <row r="690" spans="1:18" x14ac:dyDescent="0.3">
      <c r="A690" s="113" t="str">
        <f>'Actual species'!A690</f>
        <v>Platystethus capito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1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</row>
    <row r="691" spans="1:18" x14ac:dyDescent="0.3">
      <c r="A691" s="113" t="str">
        <f>'Actual species'!A691</f>
        <v>Platystethus cornutus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0</v>
      </c>
      <c r="F691" s="2">
        <f>IF(SUM('Actual species'!I691)&gt;=1,1,IF(SUM('Actual species'!I691)="X",1,0))</f>
        <v>0</v>
      </c>
      <c r="G691" s="2">
        <f>IF(SUM('Actual species'!J691)&gt;=1,1,IF(SUM('Actual species'!J691)="X",1,0))</f>
        <v>0</v>
      </c>
      <c r="H691" s="2">
        <f>IF(SUM('Actual species'!K691)&gt;=1,1,IF(SUM('Actual species'!K691)="X",1,0))</f>
        <v>0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0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</row>
    <row r="692" spans="1:18" x14ac:dyDescent="0.3">
      <c r="A692" s="113" t="str">
        <f>'Actual species'!A692</f>
        <v>Platystethus degener</v>
      </c>
      <c r="B692" s="66">
        <f>IF(SUM('Actual species'!B692:E692)&gt;=1,1,IF(SUM('Actual species'!B692:E692)="X",1,0))</f>
        <v>1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1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0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</row>
    <row r="693" spans="1:18" x14ac:dyDescent="0.3">
      <c r="A693" s="113" t="str">
        <f>'Actual species'!A693</f>
        <v>Platystethus nitens</v>
      </c>
      <c r="B693" s="66">
        <f>IF(SUM('Actual species'!B693:E693)&gt;=1,1,IF(SUM('Actual species'!B693:E693)="X",1,0))</f>
        <v>1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1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1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1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1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</row>
    <row r="694" spans="1:18" x14ac:dyDescent="0.3">
      <c r="A694" s="113" t="str">
        <f>'Actual species'!A694</f>
        <v>Platystethus rufospinus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0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</row>
    <row r="695" spans="1:18" x14ac:dyDescent="0.3">
      <c r="A695" s="113" t="str">
        <f>'Actual species'!A695</f>
        <v>Platystethus spinosus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1</v>
      </c>
      <c r="F695" s="2">
        <f>IF(SUM('Actual species'!I695)&gt;=1,1,IF(SUM('Actual species'!I695)="X",1,0))</f>
        <v>0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0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</row>
    <row r="696" spans="1:18" x14ac:dyDescent="0.3">
      <c r="A696" s="113" t="str">
        <f>'Actual species'!A696</f>
        <v>Thinobius gilvus</v>
      </c>
      <c r="B696" s="66">
        <f>IF(SUM('Actual species'!B696:E696)&gt;=1,1,IF(SUM('Actual species'!B696:E696)="X",1,0))</f>
        <v>0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</row>
    <row r="697" spans="1:18" x14ac:dyDescent="0.3">
      <c r="A697" s="113" t="str">
        <f>'Actual species'!A697</f>
        <v>Thinobius micros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1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0</v>
      </c>
      <c r="G697" s="2">
        <f>IF(SUM('Actual species'!J697)&gt;=1,1,IF(SUM('Actual species'!J697)="X",1,0))</f>
        <v>0</v>
      </c>
      <c r="H697" s="2">
        <f>IF(SUM('Actual species'!K697)&gt;=1,1,IF(SUM('Actual species'!K697)="X",1,0))</f>
        <v>0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0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</row>
    <row r="698" spans="1:18" x14ac:dyDescent="0.3">
      <c r="A698" s="113" t="str">
        <f>'Actual species'!A698</f>
        <v>Thinobius smetanai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</row>
    <row r="699" spans="1:18" x14ac:dyDescent="0.3">
      <c r="A699" s="113" t="str">
        <f>'Actual species'!A699</f>
        <v>Thinobius sp.</v>
      </c>
      <c r="B699" s="66">
        <f>IF(SUM('Actual species'!B699:E699)&gt;=1,1,IF(SUM('Actual species'!B699:E699)="X",1,0))</f>
        <v>1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</row>
    <row r="700" spans="1:18" x14ac:dyDescent="0.3">
      <c r="A700" s="113" t="str">
        <f>'Actual species'!A700</f>
        <v>Thinodromus bodemeyeri</v>
      </c>
      <c r="B700" s="66">
        <f>IF(SUM('Actual species'!B700:E700)&gt;=1,1,IF(SUM('Actual species'!B700:E700)="X",1,0))</f>
        <v>1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0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1</v>
      </c>
      <c r="L700" s="2">
        <f>IF(SUM('Actual species'!O700)&gt;=1,1,IF(SUM('Actual species'!O700)="X",1,0))</f>
        <v>1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</row>
    <row r="701" spans="1:18" x14ac:dyDescent="0.3">
      <c r="A701" s="113" t="str">
        <f>'Actual species'!A701</f>
        <v>Steninae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</row>
    <row r="702" spans="1:18" x14ac:dyDescent="0.3">
      <c r="A702" s="113" t="str">
        <f>'Actual species'!A702</f>
        <v>Stenus aceris</v>
      </c>
      <c r="B702" s="66">
        <f>IF(SUM('Actual species'!B702:E702)&gt;=1,1,IF(SUM('Actual species'!B702:E702)="X",1,0))</f>
        <v>1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1</v>
      </c>
      <c r="E702" s="2">
        <f>IF(SUM('Actual species'!H702)&gt;=1,1,IF(SUM('Actual species'!H702)="X",1,0))</f>
        <v>1</v>
      </c>
      <c r="F702" s="2">
        <f>IF(SUM('Actual species'!I702)&gt;=1,1,IF(SUM('Actual species'!I702)="X",1,0))</f>
        <v>1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1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1</v>
      </c>
      <c r="M702" s="2">
        <f>IF(SUM('Actual species'!P702)&gt;=1,1,IF(SUM('Actual species'!P702)="X",1,0))</f>
        <v>0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1</v>
      </c>
    </row>
    <row r="703" spans="1:18" x14ac:dyDescent="0.3">
      <c r="A703" s="113" t="str">
        <f>'Actual species'!A703</f>
        <v>Stenus anatolicus</v>
      </c>
      <c r="B703" s="66">
        <f>IF(SUM('Actual species'!B703:E703)&gt;=1,1,IF(SUM('Actual species'!B703:E703)="X",1,0))</f>
        <v>1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</row>
    <row r="704" spans="1:18" x14ac:dyDescent="0.3">
      <c r="A704" s="113" t="str">
        <f>'Actual species'!A704</f>
        <v>Stenus annulipes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0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</row>
    <row r="705" spans="1:18" x14ac:dyDescent="0.3">
      <c r="A705" s="113" t="str">
        <f>'Actual species'!A705</f>
        <v xml:space="preserve">Stenus ariadne (E) 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0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</row>
    <row r="706" spans="1:18" x14ac:dyDescent="0.3">
      <c r="A706" s="113" t="str">
        <f>'Actual species'!A706</f>
        <v>Stenus assequens</v>
      </c>
      <c r="B706" s="66">
        <f>IF(SUM('Actual species'!B706:E706)&gt;=1,1,IF(SUM('Actual species'!B706:E706)="X",1,0))</f>
        <v>0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0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1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</row>
    <row r="707" spans="1:18" x14ac:dyDescent="0.3">
      <c r="A707" s="113" t="str">
        <f>'Actual species'!A707</f>
        <v>Stenus assequens assequens</v>
      </c>
      <c r="B707" s="66">
        <f>IF(SUM('Actual species'!B707:E707)&gt;=1,1,IF(SUM('Actual species'!B707:E707)="X",1,0))</f>
        <v>0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1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0</v>
      </c>
      <c r="H707" s="2">
        <f>IF(SUM('Actual species'!K707)&gt;=1,1,IF(SUM('Actual species'!K707)="X",1,0))</f>
        <v>0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0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0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0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</row>
    <row r="708" spans="1:18" x14ac:dyDescent="0.3">
      <c r="A708" s="113" t="str">
        <f>'Actual species'!A708</f>
        <v>Stenus ater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</row>
    <row r="709" spans="1:18" x14ac:dyDescent="0.3">
      <c r="A709" s="113" t="str">
        <f>'Actual species'!A709</f>
        <v>Stenus atratulus</v>
      </c>
      <c r="B709" s="66">
        <f>IF(SUM('Actual species'!B709:E709)&gt;=1,1,IF(SUM('Actual species'!B709:E709)="X",1,0))</f>
        <v>0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0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</row>
    <row r="710" spans="1:18" x14ac:dyDescent="0.3">
      <c r="A710" s="113" t="str">
        <f>'Actual species'!A710</f>
        <v>Stenus binotatus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1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</row>
    <row r="711" spans="1:18" x14ac:dyDescent="0.3">
      <c r="A711" s="113" t="str">
        <f>'Actual species'!A711</f>
        <v>Stenus brunnipes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0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1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</row>
    <row r="712" spans="1:18" x14ac:dyDescent="0.3">
      <c r="A712" s="113" t="str">
        <f>'Actual species'!A712</f>
        <v>Stenus brunnipes brunnipes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0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</row>
    <row r="713" spans="1:18" x14ac:dyDescent="0.3">
      <c r="A713" s="113" t="str">
        <f>'Actual species'!A713</f>
        <v>Stenus brunnipes lepidus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1</v>
      </c>
      <c r="E713" s="2">
        <f>IF(SUM('Actual species'!H713)&gt;=1,1,IF(SUM('Actual species'!H713)="X",1,0))</f>
        <v>1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1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1</v>
      </c>
      <c r="L713" s="2">
        <f>IF(SUM('Actual species'!O713)&gt;=1,1,IF(SUM('Actual species'!O713)="X",1,0))</f>
        <v>1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</row>
    <row r="714" spans="1:18" x14ac:dyDescent="0.3">
      <c r="A714" s="113" t="str">
        <f>'Actual species'!A714</f>
        <v>Stenus butrintensis</v>
      </c>
      <c r="B714" s="66">
        <f>IF(SUM('Actual species'!B714:E714)&gt;=1,1,IF(SUM('Actual species'!B714:E714)="X",1,0))</f>
        <v>0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</row>
    <row r="715" spans="1:18" x14ac:dyDescent="0.3">
      <c r="A715" s="113" t="str">
        <f>'Actual species'!A715</f>
        <v>Stenus capitulatus</v>
      </c>
      <c r="B715" s="66">
        <f>IF(SUM('Actual species'!B715:E715)&gt;=1,1,IF(SUM('Actual species'!B715:E715)="X",1,0))</f>
        <v>0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1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0</v>
      </c>
      <c r="K715" s="2">
        <f>IF(SUM('Actual species'!N715)&gt;=1,1,IF(SUM('Actual species'!N715)="X",1,0))</f>
        <v>0</v>
      </c>
      <c r="L715" s="2">
        <f>IF(SUM('Actual species'!O715)&gt;=1,1,IF(SUM('Actual species'!O715)="X",1,0))</f>
        <v>0</v>
      </c>
      <c r="M715" s="2">
        <f>IF(SUM('Actual species'!P715)&gt;=1,1,IF(SUM('Actual species'!P715)="X",1,0))</f>
        <v>0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</row>
    <row r="716" spans="1:18" x14ac:dyDescent="0.3">
      <c r="A716" s="113" t="str">
        <f>'Actual species'!A716</f>
        <v>Stenus cephallenicus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</row>
    <row r="717" spans="1:18" x14ac:dyDescent="0.3">
      <c r="A717" s="113" t="str">
        <f>'Actual species'!A717</f>
        <v>Stenus cf. cordatoides</v>
      </c>
      <c r="B717" s="66">
        <f>IF(SUM('Actual species'!B717:E717)&gt;=1,1,IF(SUM('Actual species'!B717:E717)="X",1,0))</f>
        <v>0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0</v>
      </c>
      <c r="E717" s="2">
        <f>IF(SUM('Actual species'!H717)&gt;=1,1,IF(SUM('Actual species'!H717)="X",1,0))</f>
        <v>0</v>
      </c>
      <c r="F717" s="2">
        <f>IF(SUM('Actual species'!I717)&gt;=1,1,IF(SUM('Actual species'!I717)="X",1,0))</f>
        <v>0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0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0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0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</row>
    <row r="718" spans="1:18" x14ac:dyDescent="0.3">
      <c r="A718" s="113" t="str">
        <f>'Actual species'!A718</f>
        <v>Stenus cf. hospes</v>
      </c>
      <c r="B718" s="66">
        <f>IF(SUM('Actual species'!B718:E718)&gt;=1,1,IF(SUM('Actual species'!B718:E718)="X",1,0))</f>
        <v>0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1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</row>
    <row r="719" spans="1:18" x14ac:dyDescent="0.3">
      <c r="A719" s="113" t="str">
        <f>'Actual species'!A719</f>
        <v>Stenus cf. Turcicus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1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</row>
    <row r="720" spans="1:18" s="49" customFormat="1" x14ac:dyDescent="0.3">
      <c r="A720" s="113" t="str">
        <f>'Actual species'!A720</f>
        <v>Stenus circularis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</row>
    <row r="721" spans="1:18" x14ac:dyDescent="0.3">
      <c r="A721" s="113" t="str">
        <f>'Actual species'!A721</f>
        <v>Stenus coarticollis drepanensis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1</v>
      </c>
      <c r="R721" s="2">
        <f>IF(SUM('Actual species'!U721)&gt;=1,1,IF(SUM('Actual species'!U721)="X",1,0))</f>
        <v>1</v>
      </c>
    </row>
    <row r="722" spans="1:18" s="49" customFormat="1" x14ac:dyDescent="0.3">
      <c r="A722" s="113" t="str">
        <f>'Actual species'!A722</f>
        <v xml:space="preserve">Stenus cordatoides 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0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1</v>
      </c>
      <c r="R722" s="2">
        <f>IF(SUM('Actual species'!U722)&gt;=1,1,IF(SUM('Actual species'!U722)="X",1,0))</f>
        <v>0</v>
      </c>
    </row>
    <row r="723" spans="1:18" x14ac:dyDescent="0.3">
      <c r="A723" s="113" t="str">
        <f>'Actual species'!A723</f>
        <v>Stenus cribratus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</row>
    <row r="724" spans="1:18" x14ac:dyDescent="0.3">
      <c r="A724" s="113" t="str">
        <f>'Actual species'!A724</f>
        <v>Stenus erythrocnemus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1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</row>
    <row r="725" spans="1:18" x14ac:dyDescent="0.3">
      <c r="A725" s="113" t="str">
        <f>'Actual species'!A725</f>
        <v>Stenus excellens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0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</row>
    <row r="726" spans="1:18" x14ac:dyDescent="0.3">
      <c r="A726" s="113" t="str">
        <f>'Actual species'!A726</f>
        <v>Stenus flavipalpis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0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1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</row>
    <row r="727" spans="1:18" x14ac:dyDescent="0.3">
      <c r="A727" s="113" t="str">
        <f>'Actual species'!A727</f>
        <v>Stenus fornicatus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</row>
    <row r="728" spans="1:18" x14ac:dyDescent="0.3">
      <c r="A728" s="113" t="str">
        <f>'Actual species'!A728</f>
        <v>Stenus ganglbaueri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0</v>
      </c>
      <c r="E728" s="2">
        <f>IF(SUM('Actual species'!H728)&gt;=1,1,IF(SUM('Actual species'!H728)="X",1,0))</f>
        <v>0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0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0</v>
      </c>
      <c r="L728" s="2">
        <f>IF(SUM('Actual species'!O728)&gt;=1,1,IF(SUM('Actual species'!O728)="X",1,0))</f>
        <v>0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</row>
    <row r="729" spans="1:18" x14ac:dyDescent="0.3">
      <c r="A729" s="113" t="str">
        <f>'Actual species'!A729</f>
        <v>Stenus glacialis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1</v>
      </c>
      <c r="F729" s="2">
        <f>IF(SUM('Actual species'!I729)&gt;=1,1,IF(SUM('Actual species'!I729)="X",1,0))</f>
        <v>1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1</v>
      </c>
      <c r="I729" s="2">
        <f>IF(SUM('Actual species'!L729)&gt;=1,1,IF(SUM('Actual species'!L729)="X",1,0))</f>
        <v>1</v>
      </c>
      <c r="J729" s="2">
        <f>IF(SUM('Actual species'!M729)&gt;=1,1,IF(SUM('Actual species'!M729)="X",1,0))</f>
        <v>1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1</v>
      </c>
      <c r="P729" s="2">
        <f>IF(SUM('Actual species'!S729)&gt;=1,1,IF(SUM('Actual species'!S729)="X",1,0))</f>
        <v>1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1</v>
      </c>
    </row>
    <row r="730" spans="1:18" x14ac:dyDescent="0.3">
      <c r="A730" s="113" t="str">
        <f>'Actual species'!A730</f>
        <v>Stenus glacialis cyaneus</v>
      </c>
      <c r="B730" s="66">
        <f>IF(SUM('Actual species'!B730:E730)&gt;=1,1,IF(SUM('Actual species'!B730:E730)="X",1,0))</f>
        <v>1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0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</row>
    <row r="731" spans="1:18" s="49" customFormat="1" x14ac:dyDescent="0.3">
      <c r="A731" s="113" t="str">
        <f>'Actual species'!A731</f>
        <v>Stenus guttula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1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</row>
    <row r="732" spans="1:18" x14ac:dyDescent="0.3">
      <c r="A732" s="113" t="str">
        <f>'Actual species'!A732</f>
        <v>Stenus horioni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0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</row>
    <row r="733" spans="1:18" x14ac:dyDescent="0.3">
      <c r="A733" s="113" t="str">
        <f>'Actual species'!A733</f>
        <v>Stenus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1</v>
      </c>
      <c r="F733" s="2">
        <f>IF(SUM('Actual species'!I733)&gt;=1,1,IF(SUM('Actual species'!I733)="X",1,0))</f>
        <v>1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1</v>
      </c>
      <c r="I733" s="2">
        <f>IF(SUM('Actual species'!L733)&gt;=1,1,IF(SUM('Actual species'!L733)="X",1,0))</f>
        <v>1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</row>
    <row r="734" spans="1:18" x14ac:dyDescent="0.3">
      <c r="A734" s="113" t="str">
        <f>'Actual species'!A734</f>
        <v>Stenus ignotus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0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</row>
    <row r="735" spans="1:18" x14ac:dyDescent="0.3">
      <c r="A735" s="113" t="str">
        <f>'Actual species'!A735</f>
        <v>Stenus impressus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1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</row>
    <row r="736" spans="1:18" x14ac:dyDescent="0.3">
      <c r="A736" s="113" t="str">
        <f>'Actual species'!A736</f>
        <v>Stenus indifferens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1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0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</row>
    <row r="737" spans="1:18" x14ac:dyDescent="0.3">
      <c r="A737" s="113" t="str">
        <f>'Actual species'!A737</f>
        <v>Stenus indtermedius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0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0</v>
      </c>
    </row>
    <row r="738" spans="1:18" x14ac:dyDescent="0.3">
      <c r="A738" s="113" t="str">
        <f>'Actual species'!A738</f>
        <v>Stenus latifrons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0</v>
      </c>
    </row>
    <row r="739" spans="1:18" x14ac:dyDescent="0.3">
      <c r="A739" s="113" t="str">
        <f>'Actual species'!A739</f>
        <v>Stenus ludyi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1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</row>
    <row r="740" spans="1:18" x14ac:dyDescent="0.3">
      <c r="A740" s="113" t="str">
        <f>'Actual species'!A740</f>
        <v>Stenus maculiger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1</v>
      </c>
      <c r="D740" s="2">
        <f>IF(SUM('Actual species'!G740)&gt;=1,1,IF(SUM('Actual species'!G740)="X",1,0))</f>
        <v>1</v>
      </c>
      <c r="E740" s="2">
        <f>IF(SUM('Actual species'!H740)&gt;=1,1,IF(SUM('Actual species'!H740)="X",1,0))</f>
        <v>1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1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1</v>
      </c>
      <c r="L740" s="2">
        <f>IF(SUM('Actual species'!O740)&gt;=1,1,IF(SUM('Actual species'!O740)="X",1,0))</f>
        <v>1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</row>
    <row r="741" spans="1:18" x14ac:dyDescent="0.3">
      <c r="A741" s="113" t="str">
        <f>'Actual species'!A741</f>
        <v>Stenus melanopus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</row>
    <row r="742" spans="1:18" x14ac:dyDescent="0.3">
      <c r="A742" s="113" t="str">
        <f>'Actual species'!A742</f>
        <v>Stenus morio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1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1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0</v>
      </c>
      <c r="R742" s="2">
        <f>IF(SUM('Actual species'!U742)&gt;=1,1,IF(SUM('Actual species'!U742)="X",1,0))</f>
        <v>0</v>
      </c>
    </row>
    <row r="743" spans="1:18" x14ac:dyDescent="0.3">
      <c r="A743" s="113" t="str">
        <f>'Actual species'!A743</f>
        <v>Stenus ochropus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1</v>
      </c>
      <c r="D743" s="2">
        <f>IF(SUM('Actual species'!G743)&gt;=1,1,IF(SUM('Actual species'!G743)="X",1,0))</f>
        <v>1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1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1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1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1</v>
      </c>
      <c r="P743" s="2">
        <f>IF(SUM('Actual species'!S743)&gt;=1,1,IF(SUM('Actual species'!S743)="X",1,0))</f>
        <v>1</v>
      </c>
      <c r="Q743" s="2">
        <f>IF(SUM('Actual species'!T743)&gt;=1,1,IF(SUM('Actual species'!T743)="X",1,0))</f>
        <v>1</v>
      </c>
      <c r="R743" s="2">
        <f>IF(SUM('Actual species'!U743)&gt;=1,1,IF(SUM('Actual species'!U743)="X",1,0))</f>
        <v>0</v>
      </c>
    </row>
    <row r="744" spans="1:18" x14ac:dyDescent="0.3">
      <c r="A744" s="113" t="str">
        <f>'Actual species'!A744</f>
        <v>Stenus ossium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</row>
    <row r="745" spans="1:18" x14ac:dyDescent="0.3">
      <c r="A745" s="113" t="str">
        <f>'Actual species'!A745</f>
        <v>Stenus pallitarsis pallitarsis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0</v>
      </c>
      <c r="F745" s="2">
        <f>IF(SUM('Actual species'!I745)&gt;=1,1,IF(SUM('Actual species'!I745)="X",1,0))</f>
        <v>0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0</v>
      </c>
      <c r="I745" s="2">
        <f>IF(SUM('Actual species'!L745)&gt;=1,1,IF(SUM('Actual species'!L745)="X",1,0))</f>
        <v>0</v>
      </c>
      <c r="J745" s="2">
        <f>IF(SUM('Actual species'!M745)&gt;=1,1,IF(SUM('Actual species'!M745)="X",1,0))</f>
        <v>0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0</v>
      </c>
      <c r="Q745" s="2">
        <f>IF(SUM('Actual species'!T745)&gt;=1,1,IF(SUM('Actual species'!T745)="X",1,0))</f>
        <v>0</v>
      </c>
      <c r="R745" s="2">
        <f>IF(SUM('Actual species'!U745)&gt;=1,1,IF(SUM('Actual species'!U745)="X",1,0))</f>
        <v>0</v>
      </c>
    </row>
    <row r="746" spans="1:18" x14ac:dyDescent="0.3">
      <c r="A746" s="113" t="str">
        <f>'Actual species'!A746</f>
        <v>Stenus paludicola</v>
      </c>
      <c r="B746" s="66">
        <f>IF(SUM('Actual species'!B746:E746)&gt;=1,1,IF(SUM('Actual species'!B746:E746)="X",1,0))</f>
        <v>0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</row>
    <row r="747" spans="1:18" x14ac:dyDescent="0.3">
      <c r="A747" s="113" t="str">
        <f>'Actual species'!A747</f>
        <v>Stenus parcior</v>
      </c>
      <c r="B747" s="66">
        <f>IF(SUM('Actual species'!B747:E747)&gt;=1,1,IF(SUM('Actual species'!B747:E747)="X",1,0))</f>
        <v>1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1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1</v>
      </c>
      <c r="H747" s="2">
        <f>IF(SUM('Actual species'!K747)&gt;=1,1,IF(SUM('Actual species'!K747)="X",1,0))</f>
        <v>0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1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</row>
    <row r="748" spans="1:18" x14ac:dyDescent="0.3">
      <c r="A748" s="113" t="str">
        <f>'Actual species'!A748</f>
        <v>Stenus picipennis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</row>
    <row r="749" spans="1:18" x14ac:dyDescent="0.3">
      <c r="A749" s="113" t="str">
        <f>'Actual species'!A749</f>
        <v xml:space="preserve">Stenus picipes picipes 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0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0</v>
      </c>
      <c r="H749" s="2">
        <f>IF(SUM('Actual species'!K749)&gt;=1,1,IF(SUM('Actual species'!K749)="X",1,0))</f>
        <v>0</v>
      </c>
      <c r="I749" s="2">
        <f>IF(SUM('Actual species'!L749)&gt;=1,1,IF(SUM('Actual species'!L749)="X",1,0))</f>
        <v>0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</row>
    <row r="750" spans="1:18" x14ac:dyDescent="0.3">
      <c r="A750" s="113" t="str">
        <f>'Actual species'!A750</f>
        <v>Stenus planifrons</v>
      </c>
      <c r="B750" s="66">
        <f>IF(SUM('Actual species'!B750:E750)&gt;=1,1,IF(SUM('Actual species'!B750:E750)="X",1,0))</f>
        <v>1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</row>
    <row r="751" spans="1:18" x14ac:dyDescent="0.3">
      <c r="A751" s="113" t="str">
        <f>'Actual species'!A751</f>
        <v>Stenus planifrons planifrons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0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1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</row>
    <row r="752" spans="1:18" x14ac:dyDescent="0.3">
      <c r="A752" s="113" t="str">
        <f>'Actual species'!A752</f>
        <v>Stenus (Hypostenus) sp.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1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0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</row>
    <row r="753" spans="1:18" x14ac:dyDescent="0.3">
      <c r="A753" s="113" t="str">
        <f>'Actual species'!A753</f>
        <v>Stenus (s. str.) sp.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1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</row>
    <row r="754" spans="1:18" x14ac:dyDescent="0.3">
      <c r="A754" s="113" t="str">
        <f>'Actual species'!A754</f>
        <v>Stenus similis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1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</row>
    <row r="755" spans="1:18" x14ac:dyDescent="0.3">
      <c r="A755" s="113" t="str">
        <f>'Actual species'!A755</f>
        <v>Stenus subaeneus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0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1</v>
      </c>
      <c r="H755" s="2">
        <f>IF(SUM('Actual species'!K755)&gt;=1,1,IF(SUM('Actual species'!K755)="X",1,0))</f>
        <v>1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1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1</v>
      </c>
      <c r="R755" s="2">
        <f>IF(SUM('Actual species'!U755)&gt;=1,1,IF(SUM('Actual species'!U755)="X",1,0))</f>
        <v>1</v>
      </c>
    </row>
    <row r="756" spans="1:18" x14ac:dyDescent="0.3">
      <c r="A756" s="113" t="str">
        <f>'Actual species'!A756</f>
        <v>Stenus turbulentus</v>
      </c>
      <c r="B756" s="66">
        <f>IF(SUM('Actual species'!B756:E756)&gt;=1,1,IF(SUM('Actual species'!B756:E756)="X",1,0))</f>
        <v>1</v>
      </c>
      <c r="C756" s="2">
        <f>IF(SUM('Actual species'!F756)&gt;=1,1,IF(SUM('Actual species'!F756)="X",1,0))</f>
        <v>0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1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1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0</v>
      </c>
      <c r="N756" s="2">
        <f>IF(SUM('Actual species'!Q756)&gt;=1,1,IF(SUM('Actual species'!Q756)="X",1,0))</f>
        <v>1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</row>
    <row r="757" spans="1:18" x14ac:dyDescent="0.3">
      <c r="A757" s="113" t="str">
        <f>'Actual species'!A757</f>
        <v>Stenus turcicus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1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</row>
    <row r="758" spans="1:18" x14ac:dyDescent="0.3">
      <c r="A758" s="113" t="str">
        <f>'Actual species'!A758</f>
        <v>Euaesthetinae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0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0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</row>
    <row r="759" spans="1:18" x14ac:dyDescent="0.3">
      <c r="A759" s="113" t="str">
        <f>'Actual species'!A759</f>
        <v>Edaphus dissimilis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0</v>
      </c>
      <c r="D759" s="2">
        <f>IF(SUM('Actual species'!G759)&gt;=1,1,IF(SUM('Actual species'!G759)="X",1,0))</f>
        <v>0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0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0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0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0</v>
      </c>
      <c r="Q759" s="2">
        <f>IF(SUM('Actual species'!T759)&gt;=1,1,IF(SUM('Actual species'!T759)="X",1,0))</f>
        <v>0</v>
      </c>
      <c r="R759" s="2">
        <f>IF(SUM('Actual species'!U759)&gt;=1,1,IF(SUM('Actual species'!U759)="X",1,0))</f>
        <v>0</v>
      </c>
    </row>
    <row r="760" spans="1:18" x14ac:dyDescent="0.3">
      <c r="A760" s="113" t="str">
        <f>'Actual species'!A760</f>
        <v>Leptotyphlinae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</row>
    <row r="761" spans="1:18" x14ac:dyDescent="0.3">
      <c r="A761" s="113" t="str">
        <f>'Actual species'!A761</f>
        <v xml:space="preserve">**Allotyphlus achileus (E) 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</row>
    <row r="762" spans="1:18" x14ac:dyDescent="0.3">
      <c r="A762" s="113" t="str">
        <f>'Actual species'!A762</f>
        <v xml:space="preserve">**Allotyphlus corcyranus (E) 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</row>
    <row r="763" spans="1:18" x14ac:dyDescent="0.3">
      <c r="A763" s="113" t="str">
        <f>'Actual species'!A763</f>
        <v xml:space="preserve">**Allotyphlus corcyricus (E) </v>
      </c>
      <c r="B763" s="66">
        <f>IF(SUM('Actual species'!B763:E763)&gt;=1,1,IF(SUM('Actual species'!B763:E763)="X",1,0))</f>
        <v>0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0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0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0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0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</row>
    <row r="764" spans="1:18" x14ac:dyDescent="0.3">
      <c r="A764" s="113" t="str">
        <f>'Actual species'!A764</f>
        <v xml:space="preserve">**Allotyphlus dexter (E) 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</row>
    <row r="765" spans="1:18" x14ac:dyDescent="0.3">
      <c r="A765" s="113" t="str">
        <f>'Actual species'!A765</f>
        <v xml:space="preserve">**Allotyphlus sinester (E)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0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</row>
    <row r="766" spans="1:18" x14ac:dyDescent="0.3">
      <c r="A766" s="113" t="str">
        <f>'Actual species'!A766</f>
        <v xml:space="preserve">**Gynotyphlus corcyrensis (E) </v>
      </c>
      <c r="B766" s="66">
        <f>IF(SUM('Actual species'!B766:E766)&gt;=1,1,IF(SUM('Actual species'!B766:E766)="X",1,0))</f>
        <v>0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</row>
    <row r="767" spans="1:18" x14ac:dyDescent="0.3">
      <c r="A767" s="113" t="str">
        <f>'Actual species'!A767</f>
        <v>Gyntotyphlus perpusillus micros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0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</row>
    <row r="768" spans="1:18" x14ac:dyDescent="0.3">
      <c r="A768" s="113" t="str">
        <f>'Actual species'!A768</f>
        <v xml:space="preserve">Kenotyphlus rhodensis (E) 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0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1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</row>
    <row r="769" spans="1:18" x14ac:dyDescent="0.3">
      <c r="A769" s="113" t="str">
        <f>'Actual species'!A769</f>
        <v>Kenotyphlus sp. n.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0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1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</row>
    <row r="770" spans="1:18" x14ac:dyDescent="0.3">
      <c r="A770" s="113" t="str">
        <f>'Actual species'!A770</f>
        <v>Scydmaeninae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0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</row>
    <row r="771" spans="1:18" x14ac:dyDescent="0.3">
      <c r="A771" s="113" t="str">
        <f>'Actual species'!A771</f>
        <v>Cephennium granulum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0</v>
      </c>
      <c r="H771" s="2">
        <f>IF(SUM('Actual species'!K771)&gt;=1,1,IF(SUM('Actual species'!K771)="X",1,0))</f>
        <v>0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0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0</v>
      </c>
    </row>
    <row r="772" spans="1:18" x14ac:dyDescent="0.3">
      <c r="A772" s="113" t="str">
        <f>'Actual species'!A772</f>
        <v xml:space="preserve">**Cephennium jonicum jonicum (E) </v>
      </c>
      <c r="B772" s="66">
        <f>IF(SUM('Actual species'!B772:E772)&gt;=1,1,IF(SUM('Actual species'!B772:E772)="X",1,0))</f>
        <v>0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0</v>
      </c>
      <c r="E772" s="2">
        <f>IF(SUM('Actual species'!H772)&gt;=1,1,IF(SUM('Actual species'!H772)="X",1,0))</f>
        <v>0</v>
      </c>
      <c r="F772" s="2">
        <f>IF(SUM('Actual species'!I772)&gt;=1,1,IF(SUM('Actual species'!I772)="X",1,0))</f>
        <v>0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0</v>
      </c>
      <c r="I772" s="2">
        <f>IF(SUM('Actual species'!L772)&gt;=1,1,IF(SUM('Actual species'!L772)="X",1,0))</f>
        <v>0</v>
      </c>
      <c r="J772" s="2">
        <f>IF(SUM('Actual species'!M772)&gt;=1,1,IF(SUM('Actual species'!M772)="X",1,0))</f>
        <v>1</v>
      </c>
      <c r="K772" s="2">
        <f>IF(SUM('Actual species'!N772)&gt;=1,1,IF(SUM('Actual species'!N772)="X",1,0))</f>
        <v>0</v>
      </c>
      <c r="L772" s="2">
        <f>IF(SUM('Actual species'!O772)&gt;=1,1,IF(SUM('Actual species'!O772)="X",1,0))</f>
        <v>0</v>
      </c>
      <c r="M772" s="2">
        <f>IF(SUM('Actual species'!P772)&gt;=1,1,IF(SUM('Actual species'!P772)="X",1,0))</f>
        <v>0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0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</row>
    <row r="773" spans="1:18" x14ac:dyDescent="0.3">
      <c r="A773" s="113" t="str">
        <f>'Actual species'!A773</f>
        <v xml:space="preserve">Cephennium kerpense (E) 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0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1</v>
      </c>
      <c r="M773" s="2">
        <f>IF(SUM('Actual species'!P773)&gt;=1,1,IF(SUM('Actual species'!P773)="X",1,0))</f>
        <v>0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</row>
    <row r="774" spans="1:18" x14ac:dyDescent="0.3">
      <c r="A774" s="113" t="str">
        <f>'Actual species'!A774</f>
        <v xml:space="preserve">Cephennium nov.sp. 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1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</row>
    <row r="775" spans="1:18" x14ac:dyDescent="0.3">
      <c r="A775" s="113" t="str">
        <f>'Actual species'!A775</f>
        <v>Cephennium (Phennecium) sp.n.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1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</row>
    <row r="776" spans="1:18" x14ac:dyDescent="0.3">
      <c r="A776" s="113" t="str">
        <f>'Actual species'!A776</f>
        <v>Cephennium (Phennecium) sp.n. 1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</row>
    <row r="777" spans="1:18" x14ac:dyDescent="0.3">
      <c r="A777" s="113" t="str">
        <f>'Actual species'!A777</f>
        <v>Cephennium (Phennecium) sp.n. 2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</row>
    <row r="778" spans="1:18" x14ac:dyDescent="0.3">
      <c r="A778" s="113" t="str">
        <f>'Actual species'!A778</f>
        <v>Cephennium (Phennecium) sp.n. 3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</row>
    <row r="779" spans="1:18" x14ac:dyDescent="0.3">
      <c r="A779" s="113" t="str">
        <f>'Actual species'!A779</f>
        <v>Cephennodes sp.n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1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</row>
    <row r="780" spans="1:18" x14ac:dyDescent="0.3">
      <c r="A780" s="113" t="str">
        <f>'Actual species'!A780</f>
        <v>Chevrolatia egregia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1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</row>
    <row r="781" spans="1:18" x14ac:dyDescent="0.3">
      <c r="A781" s="113" t="str">
        <f>'Actual species'!A781</f>
        <v>Chevrolatia franzi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</row>
    <row r="782" spans="1:18" x14ac:dyDescent="0.3">
      <c r="A782" s="113" t="str">
        <f>'Actual species'!A782</f>
        <v>Chevrolatia sp. (female)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0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</row>
    <row r="783" spans="1:18" x14ac:dyDescent="0.3">
      <c r="A783" s="113" t="str">
        <f>'Actual species'!A783</f>
        <v>Euconnus brachati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</row>
    <row r="784" spans="1:18" x14ac:dyDescent="0.3">
      <c r="A784" s="113" t="str">
        <f>'Actual species'!A784</f>
        <v xml:space="preserve">Euconnus dodecanicus (E) 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1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</row>
    <row r="785" spans="1:18" x14ac:dyDescent="0.3">
      <c r="A785" s="113" t="str">
        <f>'Actual species'!A785</f>
        <v>Euconnus hirticollis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0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</row>
    <row r="786" spans="1:18" x14ac:dyDescent="0.3">
      <c r="A786" s="113" t="str">
        <f>'Actual species'!A786</f>
        <v>Euconnus (Psomophus) intrusus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0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</row>
    <row r="787" spans="1:18" x14ac:dyDescent="0.3">
      <c r="A787" s="113" t="str">
        <f>'Actual species'!A787</f>
        <v>Euconnus intrusus intrusus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1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0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</row>
    <row r="788" spans="1:18" x14ac:dyDescent="0.3">
      <c r="A788" s="113" t="str">
        <f>'Actual species'!A788</f>
        <v xml:space="preserve">Euconnus kerpensis (E) 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1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</row>
    <row r="789" spans="1:18" x14ac:dyDescent="0.3">
      <c r="A789" s="113" t="str">
        <f>'Actual species'!A789</f>
        <v>Euconnus leonhardi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</row>
    <row r="790" spans="1:18" x14ac:dyDescent="0.3">
      <c r="A790" s="113" t="str">
        <f>'Actual species'!A790</f>
        <v>Euconnus marthae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0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</row>
    <row r="791" spans="1:18" x14ac:dyDescent="0.3">
      <c r="A791" s="113" t="str">
        <f>'Actual species'!A791</f>
        <v>Euconnus moczarskii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1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0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</row>
    <row r="792" spans="1:18" s="49" customFormat="1" x14ac:dyDescent="0.3">
      <c r="A792" s="113" t="str">
        <f>'Actual species'!A792</f>
        <v xml:space="preserve">Euconnus oblitus (E)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</row>
    <row r="793" spans="1:18" x14ac:dyDescent="0.3">
      <c r="A793" s="113" t="str">
        <f>'Actual species'!A793</f>
        <v>Euconnus pulcher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0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</row>
    <row r="794" spans="1:18" x14ac:dyDescent="0.3">
      <c r="A794" s="113" t="str">
        <f>'Actual species'!A794</f>
        <v xml:space="preserve">Euconnus rhodensis (E) 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0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1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</row>
    <row r="795" spans="1:18" s="49" customFormat="1" x14ac:dyDescent="0.3">
      <c r="A795" s="113" t="str">
        <f>'Actual species'!A795</f>
        <v>Euconnus (Euconnus) sp.n.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1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1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</row>
    <row r="796" spans="1:18" x14ac:dyDescent="0.3">
      <c r="A796" s="113" t="str">
        <f>'Actual species'!A796</f>
        <v>Euconnus (Napochus) sp. (female)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1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</row>
    <row r="797" spans="1:18" x14ac:dyDescent="0.3">
      <c r="A797" s="113" t="str">
        <f>'Actual species'!A797</f>
        <v>Euconnus nov.sp.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1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</row>
    <row r="798" spans="1:18" x14ac:dyDescent="0.3">
      <c r="A798" s="113" t="str">
        <f>'Actual species'!A798</f>
        <v>Euconnus (Tetramelus) sp.n. 1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1</v>
      </c>
      <c r="F798" s="2">
        <f>IF(SUM('Actual species'!I798)&gt;=1,1,IF(SUM('Actual species'!I798)="X",1,0))</f>
        <v>0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</row>
    <row r="799" spans="1:18" x14ac:dyDescent="0.3">
      <c r="A799" s="113" t="str">
        <f>'Actual species'!A799</f>
        <v>Euconnus (Tetramelus) sp.n. 2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1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0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</row>
    <row r="800" spans="1:18" x14ac:dyDescent="0.3">
      <c r="A800" s="113" t="str">
        <f>'Actual species'!A800</f>
        <v>Euconnus (Tetramelus) sp.n. 3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</row>
    <row r="801" spans="1:18" x14ac:dyDescent="0.3">
      <c r="A801" s="113" t="str">
        <f>'Actual species'!A801</f>
        <v>Euconnus (Tetramelus) sp.n. 4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1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</row>
    <row r="802" spans="1:18" x14ac:dyDescent="0.3">
      <c r="A802" s="113" t="str">
        <f>'Actual species'!A802</f>
        <v>Euconnus wetterhallii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</row>
    <row r="803" spans="1:18" x14ac:dyDescent="0.3">
      <c r="A803" s="113" t="str">
        <f>'Actual species'!A803</f>
        <v>Eutheia formicetorum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0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</row>
    <row r="804" spans="1:18" x14ac:dyDescent="0.3">
      <c r="A804" s="113" t="str">
        <f>'Actual species'!A804</f>
        <v>Eutheia paganettii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</row>
    <row r="805" spans="1:18" x14ac:dyDescent="0.3">
      <c r="A805" s="113" t="str">
        <f>'Actual species'!A805</f>
        <v>Eutheia sp.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</row>
    <row r="806" spans="1:18" x14ac:dyDescent="0.3">
      <c r="A806" s="113" t="str">
        <f>'Actual species'!A806</f>
        <v xml:space="preserve">Eutheia spec. nov. 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</row>
    <row r="807" spans="1:18" x14ac:dyDescent="0.3">
      <c r="A807" s="113" t="str">
        <f>'Actual species'!A807</f>
        <v>Leptomastax bipunctata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1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0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</row>
    <row r="808" spans="1:18" x14ac:dyDescent="0.3">
      <c r="A808" s="113" t="str">
        <f>'Actual species'!A808</f>
        <v>Leptomastax bisetosa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1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</row>
    <row r="809" spans="1:18" x14ac:dyDescent="0.3">
      <c r="A809" s="113" t="str">
        <f>'Actual species'!A809</f>
        <v>Leptomastax coquereli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1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</row>
    <row r="810" spans="1:18" x14ac:dyDescent="0.3">
      <c r="A810" s="113" t="str">
        <f>'Actual species'!A810</f>
        <v>Leptomastax insularis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</row>
    <row r="811" spans="1:18" x14ac:dyDescent="0.3">
      <c r="A811" s="113" t="str">
        <f>'Actual species'!A811</f>
        <v>Leptomastax orousseti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0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1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</row>
    <row r="812" spans="1:18" x14ac:dyDescent="0.3">
      <c r="A812" s="113" t="str">
        <f>'Actual species'!A812</f>
        <v>Leptomastax simonis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1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</row>
    <row r="813" spans="1:18" x14ac:dyDescent="0.3">
      <c r="A813" s="113" t="str">
        <f>'Actual species'!A813</f>
        <v>Leptomastax sp.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1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0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</row>
    <row r="814" spans="1:18" x14ac:dyDescent="0.3">
      <c r="A814" s="113" t="str">
        <f>'Actual species'!A814</f>
        <v>Leptomastax sp. aff. bisetosa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0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1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0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</row>
    <row r="815" spans="1:18" x14ac:dyDescent="0.3">
      <c r="A815" s="113" t="str">
        <f>'Actual species'!A815</f>
        <v>Scydmaenus menozzii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0</v>
      </c>
      <c r="G815" s="2">
        <f>IF(SUM('Actual species'!J815)&gt;=1,1,IF(SUM('Actual species'!J815)="X",1,0))</f>
        <v>1</v>
      </c>
      <c r="H815" s="2">
        <f>IF(SUM('Actual species'!K815)&gt;=1,1,IF(SUM('Actual species'!K815)="X",1,0))</f>
        <v>1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</row>
    <row r="816" spans="1:18" x14ac:dyDescent="0.3">
      <c r="A816" s="113" t="str">
        <f>'Actual species'!A816</f>
        <v>Scydmoraphes sp.n 1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1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0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</row>
    <row r="817" spans="1:18" x14ac:dyDescent="0.3">
      <c r="A817" s="113" t="str">
        <f>'Actual species'!A817</f>
        <v>Scydmoraphes sp.n 2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1</v>
      </c>
      <c r="E817" s="2">
        <f>IF(SUM('Actual species'!H817)&gt;=1,1,IF(SUM('Actual species'!H817)="X",1,0))</f>
        <v>0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</row>
    <row r="818" spans="1:18" x14ac:dyDescent="0.3">
      <c r="A818" s="113" t="str">
        <f>'Actual species'!A818</f>
        <v xml:space="preserve">Scydmoraphes fuelscheri (E) 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0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</row>
    <row r="819" spans="1:18" x14ac:dyDescent="0.3">
      <c r="A819" s="113" t="str">
        <f>'Actual species'!A819</f>
        <v xml:space="preserve">Scydmoraphes kerpensis (E) 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1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</row>
    <row r="820" spans="1:18" x14ac:dyDescent="0.3">
      <c r="A820" s="113" t="str">
        <f>'Actual species'!A820</f>
        <v xml:space="preserve">Scydmoraphes minotauri (E) 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0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1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</row>
    <row r="821" spans="1:18" x14ac:dyDescent="0.3">
      <c r="A821" s="113" t="str">
        <f>'Actual species'!A821</f>
        <v>Scydmoraphes profanus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1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</row>
    <row r="822" spans="1:18" x14ac:dyDescent="0.3">
      <c r="A822" s="113" t="str">
        <f>'Actual species'!A822</f>
        <v xml:space="preserve">Scydmoraphes rhodensis (E) 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1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</row>
    <row r="823" spans="1:18" x14ac:dyDescent="0.3">
      <c r="A823" s="113" t="str">
        <f>'Actual species'!A823</f>
        <v>Scydmoraphes subtetratomus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</row>
    <row r="824" spans="1:18" x14ac:dyDescent="0.3">
      <c r="A824" s="113" t="str">
        <f>'Actual species'!A824</f>
        <v xml:space="preserve">Scydmoraphes ziegleri (E) 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</row>
    <row r="825" spans="1:18" x14ac:dyDescent="0.3">
      <c r="A825" s="113" t="str">
        <f>'Actual species'!A825</f>
        <v>Stenichnus angulimanus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0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</row>
    <row r="826" spans="1:18" x14ac:dyDescent="0.3">
      <c r="A826" s="113" t="str">
        <f>'Actual species'!A826</f>
        <v xml:space="preserve">Stenichus basimpressus (E) 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0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</row>
    <row r="827" spans="1:18" x14ac:dyDescent="0.3">
      <c r="A827" s="113" t="str">
        <f>'Actual species'!A827</f>
        <v>Stenichnus corcyreus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</row>
    <row r="828" spans="1:18" x14ac:dyDescent="0.3">
      <c r="A828" s="113" t="str">
        <f>'Actual species'!A828</f>
        <v xml:space="preserve">Stenichnus creticus (E) 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0</v>
      </c>
      <c r="G828" s="2">
        <f>IF(SUM('Actual species'!J828)&gt;=1,1,IF(SUM('Actual species'!J828)="X",1,0))</f>
        <v>1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</row>
    <row r="829" spans="1:18" x14ac:dyDescent="0.3">
      <c r="A829" s="113" t="str">
        <f>'Actual species'!A829</f>
        <v>Stenichnus helferi helferi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0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</row>
    <row r="830" spans="1:18" x14ac:dyDescent="0.3">
      <c r="A830" s="113" t="str">
        <f>'Actual species'!A830</f>
        <v xml:space="preserve">Stenichus hummleri (E) 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0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</row>
    <row r="831" spans="1:18" x14ac:dyDescent="0.3">
      <c r="A831" s="113" t="str">
        <f>'Actual species'!A831</f>
        <v xml:space="preserve">Stenichus kerpensis (E) 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0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1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</row>
    <row r="832" spans="1:18" x14ac:dyDescent="0.3">
      <c r="A832" s="113" t="str">
        <f>'Actual species'!A832</f>
        <v xml:space="preserve">*Stenichus lesbius (E) 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0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1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</row>
    <row r="833" spans="1:18" x14ac:dyDescent="0.3">
      <c r="A833" s="113" t="str">
        <f>'Actual species'!A833</f>
        <v>Stenichnus nov.sp.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1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</row>
    <row r="834" spans="1:18" x14ac:dyDescent="0.3">
      <c r="A834" s="113" t="str">
        <f>'Actual species'!A834</f>
        <v>Stenichnus pelliceus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1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1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0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</row>
    <row r="835" spans="1:18" x14ac:dyDescent="0.3">
      <c r="A835" s="113" t="str">
        <f>'Actual species'!A835</f>
        <v xml:space="preserve">**Stenichnus pusillus joicus (E) 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0</v>
      </c>
      <c r="H835" s="2">
        <f>IF(SUM('Actual species'!K835)&gt;=1,1,IF(SUM('Actual species'!K835)="X",1,0))</f>
        <v>0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</row>
    <row r="836" spans="1:18" x14ac:dyDescent="0.3">
      <c r="A836" s="113" t="str">
        <f>'Actual species'!A836</f>
        <v>Stenichnus sp 1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1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0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</row>
    <row r="837" spans="1:18" x14ac:dyDescent="0.3">
      <c r="A837" s="113" t="str">
        <f>'Actual species'!A837</f>
        <v>Stenichnus sp 2 (female)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0</v>
      </c>
      <c r="F837" s="2">
        <f>IF(SUM('Actual species'!I837)&gt;=1,1,IF(SUM('Actual species'!I837)="X",1,0))</f>
        <v>1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</row>
    <row r="838" spans="1:18" x14ac:dyDescent="0.3">
      <c r="A838" s="113" t="str">
        <f>'Actual species'!A838</f>
        <v>Stenichnus sp.n 1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0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</row>
    <row r="839" spans="1:18" x14ac:dyDescent="0.3">
      <c r="A839" s="113" t="str">
        <f>'Actual species'!A839</f>
        <v>Stenichnus sp.n 2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</row>
    <row r="840" spans="1:18" x14ac:dyDescent="0.3">
      <c r="A840" s="113" t="str">
        <f>'Actual species'!A840</f>
        <v>Stenichnus sp. 3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1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0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</row>
    <row r="841" spans="1:18" x14ac:dyDescent="0.3">
      <c r="A841" s="113" t="str">
        <f>'Actual species'!A841</f>
        <v>Pseudopsinae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0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</row>
    <row r="842" spans="1:18" x14ac:dyDescent="0.3">
      <c r="A842" s="113" t="str">
        <f>'Actual species'!A842</f>
        <v xml:space="preserve">*Pseudopsis cypria (E) </v>
      </c>
      <c r="B842" s="66">
        <f>IF(SUM('Actual species'!B842:E842)&gt;=1,1,IF(SUM('Actual species'!B842:E842)="X",1,0))</f>
        <v>1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0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</row>
    <row r="843" spans="1:18" x14ac:dyDescent="0.3">
      <c r="A843" s="113" t="str">
        <f>'Actual species'!A843</f>
        <v>Pseudopsis sulcata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1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0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</row>
    <row r="844" spans="1:18" x14ac:dyDescent="0.3">
      <c r="A844" s="113" t="str">
        <f>'Actual species'!A844</f>
        <v>Paedrinae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</row>
    <row r="845" spans="1:18" x14ac:dyDescent="0.3">
      <c r="A845" s="113" t="str">
        <f>'Actual species'!A845</f>
        <v>Achenium debile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1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</row>
    <row r="846" spans="1:18" x14ac:dyDescent="0.3">
      <c r="A846" s="113" t="str">
        <f>'Actual species'!A846</f>
        <v>Achenium depressum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1</v>
      </c>
      <c r="G846" s="2">
        <f>IF(SUM('Actual species'!J846)&gt;=1,1,IF(SUM('Actual species'!J846)="X",1,0))</f>
        <v>1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1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</row>
    <row r="847" spans="1:18" x14ac:dyDescent="0.3">
      <c r="A847" s="113" t="str">
        <f>'Actual species'!A847</f>
        <v>Achenium humile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1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0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</row>
    <row r="848" spans="1:18" x14ac:dyDescent="0.3">
      <c r="A848" s="113" t="str">
        <f>'Actual species'!A848</f>
        <v>Achenium picinum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1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</row>
    <row r="849" spans="1:18" x14ac:dyDescent="0.3">
      <c r="A849" s="113" t="str">
        <f>'Actual species'!A849</f>
        <v>Achenium scimbalioides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1</v>
      </c>
      <c r="J849" s="2">
        <f>IF(SUM('Actual species'!M849)&gt;=1,1,IF(SUM('Actual species'!M849)="X",1,0))</f>
        <v>0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</row>
    <row r="850" spans="1:18" x14ac:dyDescent="0.3">
      <c r="A850" s="113" t="str">
        <f>'Actual species'!A850</f>
        <v>Astenus bimaculatus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1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0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</row>
    <row r="851" spans="1:18" x14ac:dyDescent="0.3">
      <c r="A851" s="113" t="str">
        <f>'Actual species'!A851</f>
        <v>Astenus bimaculatus bimaculatus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1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</row>
    <row r="852" spans="1:18" x14ac:dyDescent="0.3">
      <c r="A852" s="113" t="str">
        <f>'Actual species'!A852</f>
        <v>Astenus cf. procerus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1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1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</row>
    <row r="853" spans="1:18" x14ac:dyDescent="0.3">
      <c r="A853" s="113" t="str">
        <f>'Actual species'!A853</f>
        <v>Astenus gracilis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0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1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</row>
    <row r="854" spans="1:18" x14ac:dyDescent="0.3">
      <c r="A854" s="113" t="str">
        <f>'Actual species'!A854</f>
        <v>Astenus immaculatus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0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1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</row>
    <row r="855" spans="1:18" x14ac:dyDescent="0.3">
      <c r="A855" s="113" t="str">
        <f>'Actual species'!A855</f>
        <v>Astenus lyonessius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1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0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</row>
    <row r="856" spans="1:18" x14ac:dyDescent="0.3">
      <c r="A856" s="113" t="str">
        <f>'Actual species'!A856</f>
        <v>Astenus melanurus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0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</row>
    <row r="857" spans="1:18" x14ac:dyDescent="0.3">
      <c r="A857" s="113" t="str">
        <f>'Actual species'!A857</f>
        <v xml:space="preserve">Astenus minos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1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</row>
    <row r="858" spans="1:18" x14ac:dyDescent="0.3">
      <c r="A858" s="113" t="str">
        <f>'Actual species'!A858</f>
        <v>Astenus pallidulus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0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</row>
    <row r="859" spans="1:18" x14ac:dyDescent="0.3">
      <c r="A859" s="113" t="str">
        <f>'Actual species'!A859</f>
        <v>Astenus procerus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1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1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1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</row>
    <row r="860" spans="1:18" x14ac:dyDescent="0.3">
      <c r="A860" s="113" t="str">
        <f>'Actual species'!A860</f>
        <v xml:space="preserve">Astenus rhodicus (E) 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1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1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</row>
    <row r="861" spans="1:18" x14ac:dyDescent="0.3">
      <c r="A861" s="113" t="str">
        <f>'Actual species'!A861</f>
        <v xml:space="preserve">Astenus sp. 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1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</row>
    <row r="862" spans="1:18" x14ac:dyDescent="0.3">
      <c r="A862" s="113" t="str">
        <f>'Actual species'!A862</f>
        <v>Astenus thoracicus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1</v>
      </c>
      <c r="G862" s="2">
        <f>IF(SUM('Actual species'!J862)&gt;=1,1,IF(SUM('Actual species'!J862)="X",1,0))</f>
        <v>1</v>
      </c>
      <c r="H862" s="2">
        <f>IF(SUM('Actual species'!K862)&gt;=1,1,IF(SUM('Actual species'!K862)="X",1,0))</f>
        <v>1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1</v>
      </c>
      <c r="K862" s="2">
        <f>IF(SUM('Actual species'!N862)&gt;=1,1,IF(SUM('Actual species'!N862)="X",1,0))</f>
        <v>1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</row>
    <row r="863" spans="1:18" x14ac:dyDescent="0.3">
      <c r="A863" s="113" t="str">
        <f>'Actual species'!A863</f>
        <v xml:space="preserve">Astenus thripticus (E) 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1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</row>
    <row r="864" spans="1:18" x14ac:dyDescent="0.3">
      <c r="A864" s="113" t="str">
        <f>'Actual species'!A864</f>
        <v>Cryptobium collare</v>
      </c>
      <c r="B864" s="66">
        <f>IF(SUM('Actual species'!B864:E864)&gt;=1,1,IF(SUM('Actual species'!B864:E864)="X",1,0))</f>
        <v>0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1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</row>
    <row r="865" spans="1:18" x14ac:dyDescent="0.3">
      <c r="A865" s="113" t="str">
        <f>'Actual species'!A865</f>
        <v>Cryptobium turkestanicum</v>
      </c>
      <c r="B865" s="66">
        <f>IF(SUM('Actual species'!B865:E865)&gt;=1,1,IF(SUM('Actual species'!B865:E865)="X",1,0))</f>
        <v>1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0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</row>
    <row r="866" spans="1:18" x14ac:dyDescent="0.3">
      <c r="A866" s="113" t="str">
        <f>'Actual species'!A866</f>
        <v xml:space="preserve">**Domene behnei (E) 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</row>
    <row r="867" spans="1:18" x14ac:dyDescent="0.3">
      <c r="A867" s="113" t="str">
        <f>'Actual species'!A867</f>
        <v>Domene stilicina</v>
      </c>
      <c r="B867" s="66">
        <f>IF(SUM('Actual species'!B867:E867)&gt;=1,1,IF(SUM('Actual species'!B867:E867)="X",1,0))</f>
        <v>1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1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1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1</v>
      </c>
      <c r="K867" s="2">
        <f>IF(SUM('Actual species'!N867)&gt;=1,1,IF(SUM('Actual species'!N867)="X",1,0))</f>
        <v>1</v>
      </c>
      <c r="L867" s="2">
        <f>IF(SUM('Actual species'!O867)&gt;=1,1,IF(SUM('Actual species'!O867)="X",1,0))</f>
        <v>1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</row>
    <row r="868" spans="1:18" x14ac:dyDescent="0.3">
      <c r="A868" s="113" t="str">
        <f>'Actual species'!A868</f>
        <v>Homaeotarsus chaudoirii</v>
      </c>
      <c r="B868" s="66">
        <f>IF(SUM('Actual species'!B868:E868)&gt;=1,1,IF(SUM('Actual species'!B868:E868)="X",1,0))</f>
        <v>1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0</v>
      </c>
      <c r="G868" s="2">
        <f>IF(SUM('Actual species'!J868)&gt;=1,1,IF(SUM('Actual species'!J868)="X",1,0))</f>
        <v>0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0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</row>
    <row r="869" spans="1:18" x14ac:dyDescent="0.3">
      <c r="A869" s="113" t="str">
        <f>'Actual species'!A869</f>
        <v>Lathrobium elegantulum</v>
      </c>
      <c r="B869" s="66">
        <f>IF(SUM('Actual species'!B869:E869)&gt;=1,1,IF(SUM('Actual species'!B869:E869)="X",1,0))</f>
        <v>0</v>
      </c>
      <c r="C869" s="2">
        <f>IF(SUM('Actual species'!F869)&gt;=1,1,IF(SUM('Actual species'!F869)="X",1,0))</f>
        <v>0</v>
      </c>
      <c r="D869" s="2">
        <f>IF(SUM('Actual species'!G869)&gt;=1,1,IF(SUM('Actual species'!G869)="X",1,0))</f>
        <v>0</v>
      </c>
      <c r="E869" s="2">
        <f>IF(SUM('Actual species'!H869)&gt;=1,1,IF(SUM('Actual species'!H869)="X",1,0))</f>
        <v>0</v>
      </c>
      <c r="F869" s="2">
        <f>IF(SUM('Actual species'!I869)&gt;=1,1,IF(SUM('Actual species'!I869)="X",1,0))</f>
        <v>0</v>
      </c>
      <c r="G869" s="2">
        <f>IF(SUM('Actual species'!J869)&gt;=1,1,IF(SUM('Actual species'!J869)="X",1,0))</f>
        <v>0</v>
      </c>
      <c r="H869" s="2">
        <f>IF(SUM('Actual species'!K869)&gt;=1,1,IF(SUM('Actual species'!K869)="X",1,0))</f>
        <v>0</v>
      </c>
      <c r="I869" s="2">
        <f>IF(SUM('Actual species'!L869)&gt;=1,1,IF(SUM('Actual species'!L869)="X",1,0))</f>
        <v>0</v>
      </c>
      <c r="J869" s="2">
        <f>IF(SUM('Actual species'!M869)&gt;=1,1,IF(SUM('Actual species'!M869)="X",1,0))</f>
        <v>0</v>
      </c>
      <c r="K869" s="2">
        <f>IF(SUM('Actual species'!N869)&gt;=1,1,IF(SUM('Actual species'!N869)="X",1,0))</f>
        <v>0</v>
      </c>
      <c r="L869" s="2">
        <f>IF(SUM('Actual species'!O869)&gt;=1,1,IF(SUM('Actual species'!O869)="X",1,0))</f>
        <v>0</v>
      </c>
      <c r="M869" s="2">
        <f>IF(SUM('Actual species'!P869)&gt;=1,1,IF(SUM('Actual species'!P869)="X",1,0))</f>
        <v>0</v>
      </c>
      <c r="N869" s="2">
        <f>IF(SUM('Actual species'!Q869)&gt;=1,1,IF(SUM('Actual species'!Q869)="X",1,0))</f>
        <v>0</v>
      </c>
      <c r="O869" s="2">
        <f>IF(SUM('Actual species'!R869)&gt;=1,1,IF(SUM('Actual species'!R869)="X",1,0))</f>
        <v>0</v>
      </c>
      <c r="P869" s="2">
        <f>IF(SUM('Actual species'!S869)&gt;=1,1,IF(SUM('Actual species'!S869)="X",1,0))</f>
        <v>0</v>
      </c>
      <c r="Q869" s="2">
        <f>IF(SUM('Actual species'!T869)&gt;=1,1,IF(SUM('Actual species'!T869)="X",1,0))</f>
        <v>0</v>
      </c>
      <c r="R869" s="2">
        <f>IF(SUM('Actual species'!U869)&gt;=1,1,IF(SUM('Actual species'!U869)="X",1,0))</f>
        <v>0</v>
      </c>
    </row>
    <row r="870" spans="1:18" x14ac:dyDescent="0.3">
      <c r="A870" s="113" t="str">
        <f>'Actual species'!A870</f>
        <v>Lathrobium elongatum</v>
      </c>
      <c r="B870" s="66">
        <f>IF(SUM('Actual species'!B870:E870)&gt;=1,1,IF(SUM('Actual species'!B870:E870)="X",1,0))</f>
        <v>0</v>
      </c>
      <c r="C870" s="2">
        <f>IF(SUM('Actual species'!F870)&gt;=1,1,IF(SUM('Actual species'!F870)="X",1,0))</f>
        <v>0</v>
      </c>
      <c r="D870" s="2">
        <f>IF(SUM('Actual species'!G870)&gt;=1,1,IF(SUM('Actual species'!G870)="X",1,0))</f>
        <v>0</v>
      </c>
      <c r="E870" s="2">
        <f>IF(SUM('Actual species'!H870)&gt;=1,1,IF(SUM('Actual species'!H870)="X",1,0))</f>
        <v>0</v>
      </c>
      <c r="F870" s="2">
        <f>IF(SUM('Actual species'!I870)&gt;=1,1,IF(SUM('Actual species'!I870)="X",1,0))</f>
        <v>0</v>
      </c>
      <c r="G870" s="2">
        <f>IF(SUM('Actual species'!J870)&gt;=1,1,IF(SUM('Actual species'!J870)="X",1,0))</f>
        <v>0</v>
      </c>
      <c r="H870" s="2">
        <f>IF(SUM('Actual species'!K870)&gt;=1,1,IF(SUM('Actual species'!K870)="X",1,0))</f>
        <v>0</v>
      </c>
      <c r="I870" s="2">
        <f>IF(SUM('Actual species'!L870)&gt;=1,1,IF(SUM('Actual species'!L870)="X",1,0))</f>
        <v>0</v>
      </c>
      <c r="J870" s="2">
        <f>IF(SUM('Actual species'!M870)&gt;=1,1,IF(SUM('Actual species'!M870)="X",1,0))</f>
        <v>0</v>
      </c>
      <c r="K870" s="2">
        <f>IF(SUM('Actual species'!N870)&gt;=1,1,IF(SUM('Actual species'!N870)="X",1,0))</f>
        <v>0</v>
      </c>
      <c r="L870" s="2">
        <f>IF(SUM('Actual species'!O870)&gt;=1,1,IF(SUM('Actual species'!O870)="X",1,0))</f>
        <v>0</v>
      </c>
      <c r="M870" s="2">
        <f>IF(SUM('Actual species'!P870)&gt;=1,1,IF(SUM('Actual species'!P870)="X",1,0))</f>
        <v>0</v>
      </c>
      <c r="N870" s="2">
        <f>IF(SUM('Actual species'!Q870)&gt;=1,1,IF(SUM('Actual species'!Q870)="X",1,0))</f>
        <v>0</v>
      </c>
      <c r="O870" s="2">
        <f>IF(SUM('Actual species'!R870)&gt;=1,1,IF(SUM('Actual species'!R870)="X",1,0))</f>
        <v>0</v>
      </c>
      <c r="P870" s="2">
        <f>IF(SUM('Actual species'!S870)&gt;=1,1,IF(SUM('Actual species'!S870)="X",1,0))</f>
        <v>0</v>
      </c>
      <c r="Q870" s="2">
        <f>IF(SUM('Actual species'!T870)&gt;=1,1,IF(SUM('Actual species'!T870)="X",1,0))</f>
        <v>0</v>
      </c>
      <c r="R870" s="2">
        <f>IF(SUM('Actual species'!U870)&gt;=1,1,IF(SUM('Actual species'!U870)="X",1,0))</f>
        <v>0</v>
      </c>
    </row>
    <row r="871" spans="1:18" x14ac:dyDescent="0.3">
      <c r="A871" s="113" t="str">
        <f>'Actual species'!A871</f>
        <v>Lathrobium spec. (female)</v>
      </c>
      <c r="B871" s="66">
        <f>IF(SUM('Actual species'!B871:E871)&gt;=1,1,IF(SUM('Actual species'!B871:E871)="X",1,0))</f>
        <v>0</v>
      </c>
      <c r="C871" s="2">
        <f>IF(SUM('Actual species'!F871)&gt;=1,1,IF(SUM('Actual species'!F871)="X",1,0))</f>
        <v>0</v>
      </c>
      <c r="D871" s="2">
        <f>IF(SUM('Actual species'!G871)&gt;=1,1,IF(SUM('Actual species'!G871)="X",1,0))</f>
        <v>0</v>
      </c>
      <c r="E871" s="2">
        <f>IF(SUM('Actual species'!H871)&gt;=1,1,IF(SUM('Actual species'!H871)="X",1,0))</f>
        <v>0</v>
      </c>
      <c r="F871" s="2">
        <f>IF(SUM('Actual species'!I871)&gt;=1,1,IF(SUM('Actual species'!I871)="X",1,0))</f>
        <v>0</v>
      </c>
      <c r="G871" s="2">
        <f>IF(SUM('Actual species'!J871)&gt;=1,1,IF(SUM('Actual species'!J871)="X",1,0))</f>
        <v>0</v>
      </c>
      <c r="H871" s="2">
        <f>IF(SUM('Actual species'!K871)&gt;=1,1,IF(SUM('Actual species'!K871)="X",1,0))</f>
        <v>0</v>
      </c>
      <c r="I871" s="2">
        <f>IF(SUM('Actual species'!L871)&gt;=1,1,IF(SUM('Actual species'!L871)="X",1,0))</f>
        <v>0</v>
      </c>
      <c r="J871" s="2">
        <f>IF(SUM('Actual species'!M871)&gt;=1,1,IF(SUM('Actual species'!M871)="X",1,0))</f>
        <v>1</v>
      </c>
      <c r="K871" s="2">
        <f>IF(SUM('Actual species'!N871)&gt;=1,1,IF(SUM('Actual species'!N871)="X",1,0))</f>
        <v>0</v>
      </c>
      <c r="L871" s="2">
        <f>IF(SUM('Actual species'!O871)&gt;=1,1,IF(SUM('Actual species'!O871)="X",1,0))</f>
        <v>0</v>
      </c>
      <c r="M871" s="2">
        <f>IF(SUM('Actual species'!P871)&gt;=1,1,IF(SUM('Actual species'!P871)="X",1,0))</f>
        <v>0</v>
      </c>
      <c r="N871" s="2">
        <f>IF(SUM('Actual species'!Q871)&gt;=1,1,IF(SUM('Actual species'!Q871)="X",1,0))</f>
        <v>0</v>
      </c>
      <c r="O871" s="2">
        <f>IF(SUM('Actual species'!R871)&gt;=1,1,IF(SUM('Actual species'!R871)="X",1,0))</f>
        <v>0</v>
      </c>
      <c r="P871" s="2">
        <f>IF(SUM('Actual species'!S871)&gt;=1,1,IF(SUM('Actual species'!S871)="X",1,0))</f>
        <v>0</v>
      </c>
      <c r="Q871" s="2">
        <f>IF(SUM('Actual species'!T871)&gt;=1,1,IF(SUM('Actual species'!T871)="X",1,0))</f>
        <v>0</v>
      </c>
      <c r="R871" s="2">
        <f>IF(SUM('Actual species'!U871)&gt;=1,1,IF(SUM('Actual species'!U871)="X",1,0))</f>
        <v>0</v>
      </c>
    </row>
    <row r="872" spans="1:18" x14ac:dyDescent="0.3">
      <c r="A872" s="113" t="str">
        <f>'Actual species'!A872</f>
        <v>Lathrobium sp. n.?</v>
      </c>
      <c r="B872" s="66">
        <f>IF(SUM('Actual species'!B872:E872)&gt;=1,1,IF(SUM('Actual species'!B872:E872)="X",1,0))</f>
        <v>0</v>
      </c>
      <c r="C872" s="2">
        <f>IF(SUM('Actual species'!F872)&gt;=1,1,IF(SUM('Actual species'!F872)="X",1,0))</f>
        <v>0</v>
      </c>
      <c r="D872" s="2">
        <f>IF(SUM('Actual species'!G872)&gt;=1,1,IF(SUM('Actual species'!G872)="X",1,0))</f>
        <v>0</v>
      </c>
      <c r="E872" s="2">
        <f>IF(SUM('Actual species'!H872)&gt;=1,1,IF(SUM('Actual species'!H872)="X",1,0))</f>
        <v>0</v>
      </c>
      <c r="F872" s="2">
        <f>IF(SUM('Actual species'!I872)&gt;=1,1,IF(SUM('Actual species'!I872)="X",1,0))</f>
        <v>0</v>
      </c>
      <c r="G872" s="2">
        <f>IF(SUM('Actual species'!J872)&gt;=1,1,IF(SUM('Actual species'!J872)="X",1,0))</f>
        <v>0</v>
      </c>
      <c r="H872" s="2">
        <f>IF(SUM('Actual species'!K872)&gt;=1,1,IF(SUM('Actual species'!K872)="X",1,0))</f>
        <v>0</v>
      </c>
      <c r="I872" s="2">
        <f>IF(SUM('Actual species'!L872)&gt;=1,1,IF(SUM('Actual species'!L872)="X",1,0))</f>
        <v>0</v>
      </c>
      <c r="J872" s="2">
        <f>IF(SUM('Actual species'!M872)&gt;=1,1,IF(SUM('Actual species'!M872)="X",1,0))</f>
        <v>0</v>
      </c>
      <c r="K872" s="2">
        <f>IF(SUM('Actual species'!N872)&gt;=1,1,IF(SUM('Actual species'!N872)="X",1,0))</f>
        <v>0</v>
      </c>
      <c r="L872" s="2">
        <f>IF(SUM('Actual species'!O872)&gt;=1,1,IF(SUM('Actual species'!O872)="X",1,0))</f>
        <v>0</v>
      </c>
      <c r="M872" s="2">
        <f>IF(SUM('Actual species'!P872)&gt;=1,1,IF(SUM('Actual species'!P872)="X",1,0))</f>
        <v>0</v>
      </c>
      <c r="N872" s="2">
        <f>IF(SUM('Actual species'!Q872)&gt;=1,1,IF(SUM('Actual species'!Q872)="X",1,0))</f>
        <v>0</v>
      </c>
      <c r="O872" s="2">
        <f>IF(SUM('Actual species'!R872)&gt;=1,1,IF(SUM('Actual species'!R872)="X",1,0))</f>
        <v>0</v>
      </c>
      <c r="P872" s="2">
        <f>IF(SUM('Actual species'!S872)&gt;=1,1,IF(SUM('Actual species'!S872)="X",1,0))</f>
        <v>1</v>
      </c>
      <c r="Q872" s="2">
        <f>IF(SUM('Actual species'!T872)&gt;=1,1,IF(SUM('Actual species'!T872)="X",1,0))</f>
        <v>0</v>
      </c>
      <c r="R872" s="2">
        <f>IF(SUM('Actual species'!U872)&gt;=1,1,IF(SUM('Actual species'!U872)="X",1,0))</f>
        <v>0</v>
      </c>
    </row>
    <row r="873" spans="1:18" x14ac:dyDescent="0.3">
      <c r="A873" s="113" t="str">
        <f>'Actual species'!A873</f>
        <v>Lathrobium vitsiense</v>
      </c>
      <c r="B873" s="66">
        <f>IF(SUM('Actual species'!B873:E873)&gt;=1,1,IF(SUM('Actual species'!B873:E873)="X",1,0))</f>
        <v>0</v>
      </c>
      <c r="C873" s="2">
        <f>IF(SUM('Actual species'!F873)&gt;=1,1,IF(SUM('Actual species'!F873)="X",1,0))</f>
        <v>0</v>
      </c>
      <c r="D873" s="2">
        <f>IF(SUM('Actual species'!G873)&gt;=1,1,IF(SUM('Actual species'!G873)="X",1,0))</f>
        <v>0</v>
      </c>
      <c r="E873" s="2">
        <f>IF(SUM('Actual species'!H873)&gt;=1,1,IF(SUM('Actual species'!H873)="X",1,0))</f>
        <v>0</v>
      </c>
      <c r="F873" s="2">
        <f>IF(SUM('Actual species'!I873)&gt;=1,1,IF(SUM('Actual species'!I873)="X",1,0))</f>
        <v>0</v>
      </c>
      <c r="G873" s="2">
        <f>IF(SUM('Actual species'!J873)&gt;=1,1,IF(SUM('Actual species'!J873)="X",1,0))</f>
        <v>0</v>
      </c>
      <c r="H873" s="2">
        <f>IF(SUM('Actual species'!K873)&gt;=1,1,IF(SUM('Actual species'!K873)="X",1,0))</f>
        <v>0</v>
      </c>
      <c r="I873" s="2">
        <f>IF(SUM('Actual species'!L873)&gt;=1,1,IF(SUM('Actual species'!L873)="X",1,0))</f>
        <v>0</v>
      </c>
      <c r="J873" s="2">
        <f>IF(SUM('Actual species'!M873)&gt;=1,1,IF(SUM('Actual species'!M873)="X",1,0))</f>
        <v>0</v>
      </c>
      <c r="K873" s="2">
        <f>IF(SUM('Actual species'!N873)&gt;=1,1,IF(SUM('Actual species'!N873)="X",1,0))</f>
        <v>0</v>
      </c>
      <c r="L873" s="2">
        <f>IF(SUM('Actual species'!O873)&gt;=1,1,IF(SUM('Actual species'!O873)="X",1,0))</f>
        <v>0</v>
      </c>
      <c r="M873" s="2">
        <f>IF(SUM('Actual species'!P873)&gt;=1,1,IF(SUM('Actual species'!P873)="X",1,0))</f>
        <v>0</v>
      </c>
      <c r="N873" s="2">
        <f>IF(SUM('Actual species'!Q873)&gt;=1,1,IF(SUM('Actual species'!Q873)="X",1,0))</f>
        <v>0</v>
      </c>
      <c r="O873" s="2">
        <f>IF(SUM('Actual species'!R873)&gt;=1,1,IF(SUM('Actual species'!R873)="X",1,0))</f>
        <v>0</v>
      </c>
      <c r="P873" s="2">
        <f>IF(SUM('Actual species'!S873)&gt;=1,1,IF(SUM('Actual species'!S873)="X",1,0))</f>
        <v>1</v>
      </c>
      <c r="Q873" s="2">
        <f>IF(SUM('Actual species'!T873)&gt;=1,1,IF(SUM('Actual species'!T873)="X",1,0))</f>
        <v>0</v>
      </c>
      <c r="R873" s="2">
        <f>IF(SUM('Actual species'!U873)&gt;=1,1,IF(SUM('Actual species'!U873)="X",1,0))</f>
        <v>0</v>
      </c>
    </row>
    <row r="874" spans="1:18" x14ac:dyDescent="0.3">
      <c r="A874" s="113" t="str">
        <f>'Actual species'!A874</f>
        <v>Lathrobium voraensis</v>
      </c>
      <c r="B874" s="66">
        <f>IF(SUM('Actual species'!B874:E874)&gt;=1,1,IF(SUM('Actual species'!B874:E874)="X",1,0))</f>
        <v>0</v>
      </c>
      <c r="C874" s="2">
        <f>IF(SUM('Actual species'!F874)&gt;=1,1,IF(SUM('Actual species'!F874)="X",1,0))</f>
        <v>0</v>
      </c>
      <c r="D874" s="2">
        <f>IF(SUM('Actual species'!G874)&gt;=1,1,IF(SUM('Actual species'!G874)="X",1,0))</f>
        <v>0</v>
      </c>
      <c r="E874" s="2">
        <f>IF(SUM('Actual species'!H874)&gt;=1,1,IF(SUM('Actual species'!H874)="X",1,0))</f>
        <v>0</v>
      </c>
      <c r="F874" s="2">
        <f>IF(SUM('Actual species'!I874)&gt;=1,1,IF(SUM('Actual species'!I874)="X",1,0))</f>
        <v>0</v>
      </c>
      <c r="G874" s="2">
        <f>IF(SUM('Actual species'!J874)&gt;=1,1,IF(SUM('Actual species'!J874)="X",1,0))</f>
        <v>0</v>
      </c>
      <c r="H874" s="2">
        <f>IF(SUM('Actual species'!K874)&gt;=1,1,IF(SUM('Actual species'!K874)="X",1,0))</f>
        <v>0</v>
      </c>
      <c r="I874" s="2">
        <f>IF(SUM('Actual species'!L874)&gt;=1,1,IF(SUM('Actual species'!L874)="X",1,0))</f>
        <v>0</v>
      </c>
      <c r="J874" s="2">
        <f>IF(SUM('Actual species'!M874)&gt;=1,1,IF(SUM('Actual species'!M874)="X",1,0))</f>
        <v>0</v>
      </c>
      <c r="K874" s="2">
        <f>IF(SUM('Actual species'!N874)&gt;=1,1,IF(SUM('Actual species'!N874)="X",1,0))</f>
        <v>0</v>
      </c>
      <c r="L874" s="2">
        <f>IF(SUM('Actual species'!O874)&gt;=1,1,IF(SUM('Actual species'!O874)="X",1,0))</f>
        <v>0</v>
      </c>
      <c r="M874" s="2">
        <f>IF(SUM('Actual species'!P874)&gt;=1,1,IF(SUM('Actual species'!P874)="X",1,0))</f>
        <v>0</v>
      </c>
      <c r="N874" s="2">
        <f>IF(SUM('Actual species'!Q874)&gt;=1,1,IF(SUM('Actual species'!Q874)="X",1,0))</f>
        <v>0</v>
      </c>
      <c r="O874" s="2">
        <f>IF(SUM('Actual species'!R874)&gt;=1,1,IF(SUM('Actual species'!R874)="X",1,0))</f>
        <v>0</v>
      </c>
      <c r="P874" s="2">
        <f>IF(SUM('Actual species'!S874)&gt;=1,1,IF(SUM('Actual species'!S874)="X",1,0))</f>
        <v>1</v>
      </c>
      <c r="Q874" s="2">
        <f>IF(SUM('Actual species'!T874)&gt;=1,1,IF(SUM('Actual species'!T874)="X",1,0))</f>
        <v>0</v>
      </c>
      <c r="R874" s="2">
        <f>IF(SUM('Actual species'!U874)&gt;=1,1,IF(SUM('Actual species'!U874)="X",1,0))</f>
        <v>0</v>
      </c>
    </row>
    <row r="875" spans="1:18" x14ac:dyDescent="0.3">
      <c r="A875" s="113" t="str">
        <f>'Actual species'!A875</f>
        <v xml:space="preserve">Leptobium creticum (E) </v>
      </c>
      <c r="B875" s="66">
        <f>IF(SUM('Actual species'!B875:E875)&gt;=1,1,IF(SUM('Actual species'!B875:E875)="X",1,0))</f>
        <v>0</v>
      </c>
      <c r="C875" s="2">
        <f>IF(SUM('Actual species'!F875)&gt;=1,1,IF(SUM('Actual species'!F875)="X",1,0))</f>
        <v>0</v>
      </c>
      <c r="D875" s="2">
        <f>IF(SUM('Actual species'!G875)&gt;=1,1,IF(SUM('Actual species'!G875)="X",1,0))</f>
        <v>0</v>
      </c>
      <c r="E875" s="2">
        <f>IF(SUM('Actual species'!H875)&gt;=1,1,IF(SUM('Actual species'!H875)="X",1,0))</f>
        <v>0</v>
      </c>
      <c r="F875" s="2">
        <f>IF(SUM('Actual species'!I875)&gt;=1,1,IF(SUM('Actual species'!I875)="X",1,0))</f>
        <v>0</v>
      </c>
      <c r="G875" s="2">
        <f>IF(SUM('Actual species'!J875)&gt;=1,1,IF(SUM('Actual species'!J875)="X",1,0))</f>
        <v>1</v>
      </c>
      <c r="H875" s="2">
        <f>IF(SUM('Actual species'!K875)&gt;=1,1,IF(SUM('Actual species'!K875)="X",1,0))</f>
        <v>0</v>
      </c>
      <c r="I875" s="2">
        <f>IF(SUM('Actual species'!L875)&gt;=1,1,IF(SUM('Actual species'!L875)="X",1,0))</f>
        <v>0</v>
      </c>
      <c r="J875" s="2">
        <f>IF(SUM('Actual species'!M875)&gt;=1,1,IF(SUM('Actual species'!M875)="X",1,0))</f>
        <v>0</v>
      </c>
      <c r="K875" s="2">
        <f>IF(SUM('Actual species'!N875)&gt;=1,1,IF(SUM('Actual species'!N875)="X",1,0))</f>
        <v>0</v>
      </c>
      <c r="L875" s="2">
        <f>IF(SUM('Actual species'!O875)&gt;=1,1,IF(SUM('Actual species'!O875)="X",1,0))</f>
        <v>0</v>
      </c>
      <c r="M875" s="2">
        <f>IF(SUM('Actual species'!P875)&gt;=1,1,IF(SUM('Actual species'!P875)="X",1,0))</f>
        <v>0</v>
      </c>
      <c r="N875" s="2">
        <f>IF(SUM('Actual species'!Q875)&gt;=1,1,IF(SUM('Actual species'!Q875)="X",1,0))</f>
        <v>0</v>
      </c>
      <c r="O875" s="2">
        <f>IF(SUM('Actual species'!R875)&gt;=1,1,IF(SUM('Actual species'!R875)="X",1,0))</f>
        <v>0</v>
      </c>
      <c r="P875" s="2">
        <f>IF(SUM('Actual species'!S875)&gt;=1,1,IF(SUM('Actual species'!S875)="X",1,0))</f>
        <v>0</v>
      </c>
      <c r="Q875" s="2">
        <f>IF(SUM('Actual species'!T875)&gt;=1,1,IF(SUM('Actual species'!T875)="X",1,0))</f>
        <v>0</v>
      </c>
      <c r="R875" s="2">
        <f>IF(SUM('Actual species'!U875)&gt;=1,1,IF(SUM('Actual species'!U875)="X",1,0))</f>
        <v>0</v>
      </c>
    </row>
    <row r="876" spans="1:18" x14ac:dyDescent="0.3">
      <c r="A876" s="113" t="str">
        <f>'Actual species'!A876</f>
        <v xml:space="preserve">*Leptobium fageli (E) </v>
      </c>
      <c r="B876" s="66">
        <f>IF(SUM('Actual species'!B876:E876)&gt;=1,1,IF(SUM('Actual species'!B876:E876)="X",1,0))</f>
        <v>1</v>
      </c>
      <c r="C876" s="2">
        <f>IF(SUM('Actual species'!F876)&gt;=1,1,IF(SUM('Actual species'!F876)="X",1,0))</f>
        <v>0</v>
      </c>
      <c r="D876" s="2">
        <f>IF(SUM('Actual species'!G876)&gt;=1,1,IF(SUM('Actual species'!G876)="X",1,0))</f>
        <v>0</v>
      </c>
      <c r="E876" s="2">
        <f>IF(SUM('Actual species'!H876)&gt;=1,1,IF(SUM('Actual species'!H876)="X",1,0))</f>
        <v>0</v>
      </c>
      <c r="F876" s="2">
        <f>IF(SUM('Actual species'!I876)&gt;=1,1,IF(SUM('Actual species'!I876)="X",1,0))</f>
        <v>0</v>
      </c>
      <c r="G876" s="2">
        <f>IF(SUM('Actual species'!J876)&gt;=1,1,IF(SUM('Actual species'!J876)="X",1,0))</f>
        <v>0</v>
      </c>
      <c r="H876" s="2">
        <f>IF(SUM('Actual species'!K876)&gt;=1,1,IF(SUM('Actual species'!K876)="X",1,0))</f>
        <v>0</v>
      </c>
      <c r="I876" s="2">
        <f>IF(SUM('Actual species'!L876)&gt;=1,1,IF(SUM('Actual species'!L876)="X",1,0))</f>
        <v>0</v>
      </c>
      <c r="J876" s="2">
        <f>IF(SUM('Actual species'!M876)&gt;=1,1,IF(SUM('Actual species'!M876)="X",1,0))</f>
        <v>0</v>
      </c>
      <c r="K876" s="2">
        <f>IF(SUM('Actual species'!N876)&gt;=1,1,IF(SUM('Actual species'!N876)="X",1,0))</f>
        <v>0</v>
      </c>
      <c r="L876" s="2">
        <f>IF(SUM('Actual species'!O876)&gt;=1,1,IF(SUM('Actual species'!O876)="X",1,0))</f>
        <v>0</v>
      </c>
      <c r="M876" s="2">
        <f>IF(SUM('Actual species'!P876)&gt;=1,1,IF(SUM('Actual species'!P876)="X",1,0))</f>
        <v>0</v>
      </c>
      <c r="N876" s="2">
        <f>IF(SUM('Actual species'!Q876)&gt;=1,1,IF(SUM('Actual species'!Q876)="X",1,0))</f>
        <v>0</v>
      </c>
      <c r="O876" s="2">
        <f>IF(SUM('Actual species'!R876)&gt;=1,1,IF(SUM('Actual species'!R876)="X",1,0))</f>
        <v>0</v>
      </c>
      <c r="P876" s="2">
        <f>IF(SUM('Actual species'!S876)&gt;=1,1,IF(SUM('Actual species'!S876)="X",1,0))</f>
        <v>0</v>
      </c>
      <c r="Q876" s="2">
        <f>IF(SUM('Actual species'!T876)&gt;=1,1,IF(SUM('Actual species'!T876)="X",1,0))</f>
        <v>0</v>
      </c>
      <c r="R876" s="2">
        <f>IF(SUM('Actual species'!U876)&gt;=1,1,IF(SUM('Actual species'!U876)="X",1,0))</f>
        <v>0</v>
      </c>
    </row>
    <row r="877" spans="1:18" x14ac:dyDescent="0.3">
      <c r="A877" s="113" t="str">
        <f>'Actual species'!A877</f>
        <v>Leptobium gracile</v>
      </c>
      <c r="B877" s="66">
        <f>IF(SUM('Actual species'!B877:E877)&gt;=1,1,IF(SUM('Actual species'!B877:E877)="X",1,0))</f>
        <v>0</v>
      </c>
      <c r="C877" s="2">
        <f>IF(SUM('Actual species'!F877)&gt;=1,1,IF(SUM('Actual species'!F877)="X",1,0))</f>
        <v>0</v>
      </c>
      <c r="D877" s="2">
        <f>IF(SUM('Actual species'!G877)&gt;=1,1,IF(SUM('Actual species'!G877)="X",1,0))</f>
        <v>0</v>
      </c>
      <c r="E877" s="2">
        <f>IF(SUM('Actual species'!H877)&gt;=1,1,IF(SUM('Actual species'!H877)="X",1,0))</f>
        <v>1</v>
      </c>
      <c r="F877" s="2">
        <f>IF(SUM('Actual species'!I877)&gt;=1,1,IF(SUM('Actual species'!I877)="X",1,0))</f>
        <v>1</v>
      </c>
      <c r="G877" s="2">
        <f>IF(SUM('Actual species'!J877)&gt;=1,1,IF(SUM('Actual species'!J877)="X",1,0))</f>
        <v>1</v>
      </c>
      <c r="H877" s="2">
        <f>IF(SUM('Actual species'!K877)&gt;=1,1,IF(SUM('Actual species'!K877)="X",1,0))</f>
        <v>1</v>
      </c>
      <c r="I877" s="2">
        <f>IF(SUM('Actual species'!L877)&gt;=1,1,IF(SUM('Actual species'!L877)="X",1,0))</f>
        <v>0</v>
      </c>
      <c r="J877" s="2">
        <f>IF(SUM('Actual species'!M877)&gt;=1,1,IF(SUM('Actual species'!M877)="X",1,0))</f>
        <v>1</v>
      </c>
      <c r="K877" s="2">
        <f>IF(SUM('Actual species'!N877)&gt;=1,1,IF(SUM('Actual species'!N877)="X",1,0))</f>
        <v>0</v>
      </c>
      <c r="L877" s="2">
        <f>IF(SUM('Actual species'!O877)&gt;=1,1,IF(SUM('Actual species'!O877)="X",1,0))</f>
        <v>0</v>
      </c>
      <c r="M877" s="2">
        <f>IF(SUM('Actual species'!P877)&gt;=1,1,IF(SUM('Actual species'!P877)="X",1,0))</f>
        <v>0</v>
      </c>
      <c r="N877" s="2">
        <f>IF(SUM('Actual species'!Q877)&gt;=1,1,IF(SUM('Actual species'!Q877)="X",1,0))</f>
        <v>0</v>
      </c>
      <c r="O877" s="2">
        <f>IF(SUM('Actual species'!R877)&gt;=1,1,IF(SUM('Actual species'!R877)="X",1,0))</f>
        <v>0</v>
      </c>
      <c r="P877" s="2">
        <f>IF(SUM('Actual species'!S877)&gt;=1,1,IF(SUM('Actual species'!S877)="X",1,0))</f>
        <v>0</v>
      </c>
      <c r="Q877" s="2">
        <f>IF(SUM('Actual species'!T877)&gt;=1,1,IF(SUM('Actual species'!T877)="X",1,0))</f>
        <v>0</v>
      </c>
      <c r="R877" s="2">
        <f>IF(SUM('Actual species'!U877)&gt;=1,1,IF(SUM('Actual species'!U877)="X",1,0))</f>
        <v>0</v>
      </c>
    </row>
    <row r="878" spans="1:18" x14ac:dyDescent="0.3">
      <c r="A878" s="113" t="str">
        <f>'Actual species'!A878</f>
        <v>Leptobium illyricum</v>
      </c>
      <c r="B878" s="66">
        <f>IF(SUM('Actual species'!B878:E878)&gt;=1,1,IF(SUM('Actual species'!B878:E878)="X",1,0))</f>
        <v>0</v>
      </c>
      <c r="C878" s="2">
        <f>IF(SUM('Actual species'!F878)&gt;=1,1,IF(SUM('Actual species'!F878)="X",1,0))</f>
        <v>1</v>
      </c>
      <c r="D878" s="2">
        <f>IF(SUM('Actual species'!G878)&gt;=1,1,IF(SUM('Actual species'!G878)="X",1,0))</f>
        <v>0</v>
      </c>
      <c r="E878" s="2">
        <f>IF(SUM('Actual species'!H878)&gt;=1,1,IF(SUM('Actual species'!H878)="X",1,0))</f>
        <v>0</v>
      </c>
      <c r="F878" s="2">
        <f>IF(SUM('Actual species'!I878)&gt;=1,1,IF(SUM('Actual species'!I878)="X",1,0))</f>
        <v>1</v>
      </c>
      <c r="G878" s="2">
        <f>IF(SUM('Actual species'!J878)&gt;=1,1,IF(SUM('Actual species'!J878)="X",1,0))</f>
        <v>0</v>
      </c>
      <c r="H878" s="2">
        <f>IF(SUM('Actual species'!K878)&gt;=1,1,IF(SUM('Actual species'!K878)="X",1,0))</f>
        <v>0</v>
      </c>
      <c r="I878" s="2">
        <f>IF(SUM('Actual species'!L878)&gt;=1,1,IF(SUM('Actual species'!L878)="X",1,0))</f>
        <v>0</v>
      </c>
      <c r="J878" s="2">
        <f>IF(SUM('Actual species'!M878)&gt;=1,1,IF(SUM('Actual species'!M878)="X",1,0))</f>
        <v>1</v>
      </c>
      <c r="K878" s="2">
        <f>IF(SUM('Actual species'!N878)&gt;=1,1,IF(SUM('Actual species'!N878)="X",1,0))</f>
        <v>0</v>
      </c>
      <c r="L878" s="2">
        <f>IF(SUM('Actual species'!O878)&gt;=1,1,IF(SUM('Actual species'!O878)="X",1,0))</f>
        <v>0</v>
      </c>
      <c r="M878" s="2">
        <f>IF(SUM('Actual species'!P878)&gt;=1,1,IF(SUM('Actual species'!P878)="X",1,0))</f>
        <v>0</v>
      </c>
      <c r="N878" s="2">
        <f>IF(SUM('Actual species'!Q878)&gt;=1,1,IF(SUM('Actual species'!Q878)="X",1,0))</f>
        <v>1</v>
      </c>
      <c r="O878" s="2">
        <f>IF(SUM('Actual species'!R878)&gt;=1,1,IF(SUM('Actual species'!R878)="X",1,0))</f>
        <v>0</v>
      </c>
      <c r="P878" s="2">
        <f>IF(SUM('Actual species'!S878)&gt;=1,1,IF(SUM('Actual species'!S878)="X",1,0))</f>
        <v>0</v>
      </c>
      <c r="Q878" s="2">
        <f>IF(SUM('Actual species'!T878)&gt;=1,1,IF(SUM('Actual species'!T878)="X",1,0))</f>
        <v>0</v>
      </c>
      <c r="R878" s="2">
        <f>IF(SUM('Actual species'!U878)&gt;=1,1,IF(SUM('Actual species'!U878)="X",1,0))</f>
        <v>0</v>
      </c>
    </row>
    <row r="879" spans="1:18" x14ac:dyDescent="0.3">
      <c r="A879" s="113" t="str">
        <f>'Actual species'!A879</f>
        <v xml:space="preserve">*Leptobium longitibiale (E) </v>
      </c>
      <c r="B879" s="66">
        <f>IF(SUM('Actual species'!B879:E879)&gt;=1,1,IF(SUM('Actual species'!B879:E879)="X",1,0))</f>
        <v>1</v>
      </c>
      <c r="C879" s="2">
        <f>IF(SUM('Actual species'!F879)&gt;=1,1,IF(SUM('Actual species'!F879)="X",1,0))</f>
        <v>0</v>
      </c>
      <c r="D879" s="2">
        <f>IF(SUM('Actual species'!G879)&gt;=1,1,IF(SUM('Actual species'!G879)="X",1,0))</f>
        <v>0</v>
      </c>
      <c r="E879" s="2">
        <f>IF(SUM('Actual species'!H879)&gt;=1,1,IF(SUM('Actual species'!H879)="X",1,0))</f>
        <v>0</v>
      </c>
      <c r="F879" s="2">
        <f>IF(SUM('Actual species'!I879)&gt;=1,1,IF(SUM('Actual species'!I879)="X",1,0))</f>
        <v>0</v>
      </c>
      <c r="G879" s="2">
        <f>IF(SUM('Actual species'!J879)&gt;=1,1,IF(SUM('Actual species'!J879)="X",1,0))</f>
        <v>0</v>
      </c>
      <c r="H879" s="2">
        <f>IF(SUM('Actual species'!K879)&gt;=1,1,IF(SUM('Actual species'!K879)="X",1,0))</f>
        <v>0</v>
      </c>
      <c r="I879" s="2">
        <f>IF(SUM('Actual species'!L879)&gt;=1,1,IF(SUM('Actual species'!L879)="X",1,0))</f>
        <v>0</v>
      </c>
      <c r="J879" s="2">
        <f>IF(SUM('Actual species'!M879)&gt;=1,1,IF(SUM('Actual species'!M879)="X",1,0))</f>
        <v>0</v>
      </c>
      <c r="K879" s="2">
        <f>IF(SUM('Actual species'!N879)&gt;=1,1,IF(SUM('Actual species'!N879)="X",1,0))</f>
        <v>0</v>
      </c>
      <c r="L879" s="2">
        <f>IF(SUM('Actual species'!O879)&gt;=1,1,IF(SUM('Actual species'!O879)="X",1,0))</f>
        <v>0</v>
      </c>
      <c r="M879" s="2">
        <f>IF(SUM('Actual species'!P879)&gt;=1,1,IF(SUM('Actual species'!P879)="X",1,0))</f>
        <v>0</v>
      </c>
      <c r="N879" s="2">
        <f>IF(SUM('Actual species'!Q879)&gt;=1,1,IF(SUM('Actual species'!Q879)="X",1,0))</f>
        <v>0</v>
      </c>
      <c r="O879" s="2">
        <f>IF(SUM('Actual species'!R879)&gt;=1,1,IF(SUM('Actual species'!R879)="X",1,0))</f>
        <v>0</v>
      </c>
      <c r="P879" s="2">
        <f>IF(SUM('Actual species'!S879)&gt;=1,1,IF(SUM('Actual species'!S879)="X",1,0))</f>
        <v>0</v>
      </c>
      <c r="Q879" s="2">
        <f>IF(SUM('Actual species'!T879)&gt;=1,1,IF(SUM('Actual species'!T879)="X",1,0))</f>
        <v>0</v>
      </c>
      <c r="R879" s="2">
        <f>IF(SUM('Actual species'!U879)&gt;=1,1,IF(SUM('Actual species'!U879)="X",1,0))</f>
        <v>0</v>
      </c>
    </row>
    <row r="880" spans="1:18" x14ac:dyDescent="0.3">
      <c r="A880" s="113" t="str">
        <f>'Actual species'!A880</f>
        <v xml:space="preserve">*Leptobium samium (E) </v>
      </c>
      <c r="B880" s="66">
        <f>IF(SUM('Actual species'!B880:E880)&gt;=1,1,IF(SUM('Actual species'!B880:E880)="X",1,0))</f>
        <v>0</v>
      </c>
      <c r="C880" s="2">
        <f>IF(SUM('Actual species'!F880)&gt;=1,1,IF(SUM('Actual species'!F880)="X",1,0))</f>
        <v>0</v>
      </c>
      <c r="D880" s="2">
        <f>IF(SUM('Actual species'!G880)&gt;=1,1,IF(SUM('Actual species'!G880)="X",1,0))</f>
        <v>0</v>
      </c>
      <c r="E880" s="2">
        <f>IF(SUM('Actual species'!H880)&gt;=1,1,IF(SUM('Actual species'!H880)="X",1,0))</f>
        <v>1</v>
      </c>
      <c r="F880" s="2">
        <f>IF(SUM('Actual species'!I880)&gt;=1,1,IF(SUM('Actual species'!I880)="X",1,0))</f>
        <v>0</v>
      </c>
      <c r="G880" s="2">
        <f>IF(SUM('Actual species'!J880)&gt;=1,1,IF(SUM('Actual species'!J880)="X",1,0))</f>
        <v>0</v>
      </c>
      <c r="H880" s="2">
        <f>IF(SUM('Actual species'!K880)&gt;=1,1,IF(SUM('Actual species'!K880)="X",1,0))</f>
        <v>0</v>
      </c>
      <c r="I880" s="2">
        <f>IF(SUM('Actual species'!L880)&gt;=1,1,IF(SUM('Actual species'!L880)="X",1,0))</f>
        <v>0</v>
      </c>
      <c r="J880" s="2">
        <f>IF(SUM('Actual species'!M880)&gt;=1,1,IF(SUM('Actual species'!M880)="X",1,0))</f>
        <v>0</v>
      </c>
      <c r="K880" s="2">
        <f>IF(SUM('Actual species'!N880)&gt;=1,1,IF(SUM('Actual species'!N880)="X",1,0))</f>
        <v>0</v>
      </c>
      <c r="L880" s="2">
        <f>IF(SUM('Actual species'!O880)&gt;=1,1,IF(SUM('Actual species'!O880)="X",1,0))</f>
        <v>0</v>
      </c>
      <c r="M880" s="2">
        <f>IF(SUM('Actual species'!P880)&gt;=1,1,IF(SUM('Actual species'!P880)="X",1,0))</f>
        <v>0</v>
      </c>
      <c r="N880" s="2">
        <f>IF(SUM('Actual species'!Q880)&gt;=1,1,IF(SUM('Actual species'!Q880)="X",1,0))</f>
        <v>0</v>
      </c>
      <c r="O880" s="2">
        <f>IF(SUM('Actual species'!R880)&gt;=1,1,IF(SUM('Actual species'!R880)="X",1,0))</f>
        <v>0</v>
      </c>
      <c r="P880" s="2">
        <f>IF(SUM('Actual species'!S880)&gt;=1,1,IF(SUM('Actual species'!S880)="X",1,0))</f>
        <v>0</v>
      </c>
      <c r="Q880" s="2">
        <f>IF(SUM('Actual species'!T880)&gt;=1,1,IF(SUM('Actual species'!T880)="X",1,0))</f>
        <v>0</v>
      </c>
      <c r="R880" s="2">
        <f>IF(SUM('Actual species'!U880)&gt;=1,1,IF(SUM('Actual species'!U880)="X",1,0))</f>
        <v>0</v>
      </c>
    </row>
    <row r="881" spans="1:18" x14ac:dyDescent="0.3">
      <c r="A881" s="113" t="str">
        <f>'Actual species'!A881</f>
        <v>Leptobium sp. Cf. graecum/creticum</v>
      </c>
      <c r="B881" s="66">
        <f>IF(SUM('Actual species'!B881:E881)&gt;=1,1,IF(SUM('Actual species'!B881:E881)="X",1,0))</f>
        <v>0</v>
      </c>
      <c r="C881" s="2">
        <f>IF(SUM('Actual species'!F881)&gt;=1,1,IF(SUM('Actual species'!F881)="X",1,0))</f>
        <v>1</v>
      </c>
      <c r="D881" s="2">
        <f>IF(SUM('Actual species'!G881)&gt;=1,1,IF(SUM('Actual species'!G881)="X",1,0))</f>
        <v>0</v>
      </c>
      <c r="E881" s="2">
        <f>IF(SUM('Actual species'!H881)&gt;=1,1,IF(SUM('Actual species'!H881)="X",1,0))</f>
        <v>0</v>
      </c>
      <c r="F881" s="2">
        <f>IF(SUM('Actual species'!I881)&gt;=1,1,IF(SUM('Actual species'!I881)="X",1,0))</f>
        <v>0</v>
      </c>
      <c r="G881" s="2">
        <f>IF(SUM('Actual species'!J881)&gt;=1,1,IF(SUM('Actual species'!J881)="X",1,0))</f>
        <v>0</v>
      </c>
      <c r="H881" s="2">
        <f>IF(SUM('Actual species'!K881)&gt;=1,1,IF(SUM('Actual species'!K881)="X",1,0))</f>
        <v>0</v>
      </c>
      <c r="I881" s="2">
        <f>IF(SUM('Actual species'!L881)&gt;=1,1,IF(SUM('Actual species'!L881)="X",1,0))</f>
        <v>0</v>
      </c>
      <c r="J881" s="2">
        <f>IF(SUM('Actual species'!M881)&gt;=1,1,IF(SUM('Actual species'!M881)="X",1,0))</f>
        <v>0</v>
      </c>
      <c r="K881" s="2">
        <f>IF(SUM('Actual species'!N881)&gt;=1,1,IF(SUM('Actual species'!N881)="X",1,0))</f>
        <v>0</v>
      </c>
      <c r="L881" s="2">
        <f>IF(SUM('Actual species'!O881)&gt;=1,1,IF(SUM('Actual species'!O881)="X",1,0))</f>
        <v>0</v>
      </c>
      <c r="M881" s="2">
        <f>IF(SUM('Actual species'!P881)&gt;=1,1,IF(SUM('Actual species'!P881)="X",1,0))</f>
        <v>0</v>
      </c>
      <c r="N881" s="2">
        <f>IF(SUM('Actual species'!Q881)&gt;=1,1,IF(SUM('Actual species'!Q881)="X",1,0))</f>
        <v>0</v>
      </c>
      <c r="O881" s="2">
        <f>IF(SUM('Actual species'!R881)&gt;=1,1,IF(SUM('Actual species'!R881)="X",1,0))</f>
        <v>0</v>
      </c>
      <c r="P881" s="2">
        <f>IF(SUM('Actual species'!S881)&gt;=1,1,IF(SUM('Actual species'!S881)="X",1,0))</f>
        <v>0</v>
      </c>
      <c r="Q881" s="2">
        <f>IF(SUM('Actual species'!T881)&gt;=1,1,IF(SUM('Actual species'!T881)="X",1,0))</f>
        <v>0</v>
      </c>
      <c r="R881" s="2">
        <f>IF(SUM('Actual species'!U881)&gt;=1,1,IF(SUM('Actual species'!U881)="X",1,0))</f>
        <v>0</v>
      </c>
    </row>
    <row r="882" spans="1:18" x14ac:dyDescent="0.3">
      <c r="A882" s="113" t="str">
        <f>'Actual species'!A882</f>
        <v xml:space="preserve">Leptobium thryptisense (E) </v>
      </c>
      <c r="B882" s="66">
        <f>IF(SUM('Actual species'!B882:E882)&gt;=1,1,IF(SUM('Actual species'!B882:E882)="X",1,0))</f>
        <v>0</v>
      </c>
      <c r="C882" s="2">
        <f>IF(SUM('Actual species'!F882)&gt;=1,1,IF(SUM('Actual species'!F882)="X",1,0))</f>
        <v>0</v>
      </c>
      <c r="D882" s="2">
        <f>IF(SUM('Actual species'!G882)&gt;=1,1,IF(SUM('Actual species'!G882)="X",1,0))</f>
        <v>0</v>
      </c>
      <c r="E882" s="2">
        <f>IF(SUM('Actual species'!H882)&gt;=1,1,IF(SUM('Actual species'!H882)="X",1,0))</f>
        <v>0</v>
      </c>
      <c r="F882" s="2">
        <f>IF(SUM('Actual species'!I882)&gt;=1,1,IF(SUM('Actual species'!I882)="X",1,0))</f>
        <v>0</v>
      </c>
      <c r="G882" s="2">
        <f>IF(SUM('Actual species'!J882)&gt;=1,1,IF(SUM('Actual species'!J882)="X",1,0))</f>
        <v>1</v>
      </c>
      <c r="H882" s="2">
        <f>IF(SUM('Actual species'!K882)&gt;=1,1,IF(SUM('Actual species'!K882)="X",1,0))</f>
        <v>0</v>
      </c>
      <c r="I882" s="2">
        <f>IF(SUM('Actual species'!L882)&gt;=1,1,IF(SUM('Actual species'!L882)="X",1,0))</f>
        <v>0</v>
      </c>
      <c r="J882" s="2">
        <f>IF(SUM('Actual species'!M882)&gt;=1,1,IF(SUM('Actual species'!M882)="X",1,0))</f>
        <v>0</v>
      </c>
      <c r="K882" s="2">
        <f>IF(SUM('Actual species'!N882)&gt;=1,1,IF(SUM('Actual species'!N882)="X",1,0))</f>
        <v>0</v>
      </c>
      <c r="L882" s="2">
        <f>IF(SUM('Actual species'!O882)&gt;=1,1,IF(SUM('Actual species'!O882)="X",1,0))</f>
        <v>0</v>
      </c>
      <c r="M882" s="2">
        <f>IF(SUM('Actual species'!P882)&gt;=1,1,IF(SUM('Actual species'!P882)="X",1,0))</f>
        <v>0</v>
      </c>
      <c r="N882" s="2">
        <f>IF(SUM('Actual species'!Q882)&gt;=1,1,IF(SUM('Actual species'!Q882)="X",1,0))</f>
        <v>0</v>
      </c>
      <c r="O882" s="2">
        <f>IF(SUM('Actual species'!R882)&gt;=1,1,IF(SUM('Actual species'!R882)="X",1,0))</f>
        <v>0</v>
      </c>
      <c r="P882" s="2">
        <f>IF(SUM('Actual species'!S882)&gt;=1,1,IF(SUM('Actual species'!S882)="X",1,0))</f>
        <v>0</v>
      </c>
      <c r="Q882" s="2">
        <f>IF(SUM('Actual species'!T882)&gt;=1,1,IF(SUM('Actual species'!T882)="X",1,0))</f>
        <v>0</v>
      </c>
      <c r="R882" s="2">
        <f>IF(SUM('Actual species'!U882)&gt;=1,1,IF(SUM('Actual species'!U882)="X",1,0))</f>
        <v>0</v>
      </c>
    </row>
    <row r="883" spans="1:18" x14ac:dyDescent="0.3">
      <c r="A883" s="113" t="str">
        <f>'Actual species'!A883</f>
        <v>Lithocharis nigriceps</v>
      </c>
      <c r="B883" s="66">
        <f>IF(SUM('Actual species'!B883:E883)&gt;=1,1,IF(SUM('Actual species'!B883:E883)="X",1,0))</f>
        <v>0</v>
      </c>
      <c r="C883" s="2">
        <f>IF(SUM('Actual species'!F883)&gt;=1,1,IF(SUM('Actual species'!F883)="X",1,0))</f>
        <v>0</v>
      </c>
      <c r="D883" s="2">
        <f>IF(SUM('Actual species'!G883)&gt;=1,1,IF(SUM('Actual species'!G883)="X",1,0))</f>
        <v>0</v>
      </c>
      <c r="E883" s="2">
        <f>IF(SUM('Actual species'!H883)&gt;=1,1,IF(SUM('Actual species'!H883)="X",1,0))</f>
        <v>0</v>
      </c>
      <c r="F883" s="2">
        <f>IF(SUM('Actual species'!I883)&gt;=1,1,IF(SUM('Actual species'!I883)="X",1,0))</f>
        <v>0</v>
      </c>
      <c r="G883" s="2">
        <f>IF(SUM('Actual species'!J883)&gt;=1,1,IF(SUM('Actual species'!J883)="X",1,0))</f>
        <v>0</v>
      </c>
      <c r="H883" s="2">
        <f>IF(SUM('Actual species'!K883)&gt;=1,1,IF(SUM('Actual species'!K883)="X",1,0))</f>
        <v>0</v>
      </c>
      <c r="I883" s="2">
        <f>IF(SUM('Actual species'!L883)&gt;=1,1,IF(SUM('Actual species'!L883)="X",1,0))</f>
        <v>0</v>
      </c>
      <c r="J883" s="2">
        <f>IF(SUM('Actual species'!M883)&gt;=1,1,IF(SUM('Actual species'!M883)="X",1,0))</f>
        <v>1</v>
      </c>
      <c r="K883" s="2">
        <f>IF(SUM('Actual species'!N883)&gt;=1,1,IF(SUM('Actual species'!N883)="X",1,0))</f>
        <v>0</v>
      </c>
      <c r="L883" s="2">
        <f>IF(SUM('Actual species'!O883)&gt;=1,1,IF(SUM('Actual species'!O883)="X",1,0))</f>
        <v>0</v>
      </c>
      <c r="M883" s="2">
        <f>IF(SUM('Actual species'!P883)&gt;=1,1,IF(SUM('Actual species'!P883)="X",1,0))</f>
        <v>0</v>
      </c>
      <c r="N883" s="2">
        <f>IF(SUM('Actual species'!Q883)&gt;=1,1,IF(SUM('Actual species'!Q883)="X",1,0))</f>
        <v>0</v>
      </c>
      <c r="O883" s="2">
        <f>IF(SUM('Actual species'!R883)&gt;=1,1,IF(SUM('Actual species'!R883)="X",1,0))</f>
        <v>0</v>
      </c>
      <c r="P883" s="2">
        <f>IF(SUM('Actual species'!S883)&gt;=1,1,IF(SUM('Actual species'!S883)="X",1,0))</f>
        <v>0</v>
      </c>
      <c r="Q883" s="2">
        <f>IF(SUM('Actual species'!T883)&gt;=1,1,IF(SUM('Actual species'!T883)="X",1,0))</f>
        <v>0</v>
      </c>
      <c r="R883" s="2">
        <f>IF(SUM('Actual species'!U883)&gt;=1,1,IF(SUM('Actual species'!U883)="X",1,0))</f>
        <v>0</v>
      </c>
    </row>
    <row r="884" spans="1:18" x14ac:dyDescent="0.3">
      <c r="A884" s="113" t="str">
        <f>'Actual species'!A884</f>
        <v>Lithocharis ochracea</v>
      </c>
      <c r="B884" s="66">
        <f>IF(SUM('Actual species'!B884:E884)&gt;=1,1,IF(SUM('Actual species'!B884:E884)="X",1,0))</f>
        <v>0</v>
      </c>
      <c r="C884" s="2">
        <f>IF(SUM('Actual species'!F884)&gt;=1,1,IF(SUM('Actual species'!F884)="X",1,0))</f>
        <v>0</v>
      </c>
      <c r="D884" s="2">
        <f>IF(SUM('Actual species'!G884)&gt;=1,1,IF(SUM('Actual species'!G884)="X",1,0))</f>
        <v>0</v>
      </c>
      <c r="E884" s="2">
        <f>IF(SUM('Actual species'!H884)&gt;=1,1,IF(SUM('Actual species'!H884)="X",1,0))</f>
        <v>0</v>
      </c>
      <c r="F884" s="2">
        <f>IF(SUM('Actual species'!I884)&gt;=1,1,IF(SUM('Actual species'!I884)="X",1,0))</f>
        <v>0</v>
      </c>
      <c r="G884" s="2">
        <f>IF(SUM('Actual species'!J884)&gt;=1,1,IF(SUM('Actual species'!J884)="X",1,0))</f>
        <v>0</v>
      </c>
      <c r="H884" s="2">
        <f>IF(SUM('Actual species'!K884)&gt;=1,1,IF(SUM('Actual species'!K884)="X",1,0))</f>
        <v>0</v>
      </c>
      <c r="I884" s="2">
        <f>IF(SUM('Actual species'!L884)&gt;=1,1,IF(SUM('Actual species'!L884)="X",1,0))</f>
        <v>0</v>
      </c>
      <c r="J884" s="2">
        <f>IF(SUM('Actual species'!M884)&gt;=1,1,IF(SUM('Actual species'!M884)="X",1,0))</f>
        <v>1</v>
      </c>
      <c r="K884" s="2">
        <f>IF(SUM('Actual species'!N884)&gt;=1,1,IF(SUM('Actual species'!N884)="X",1,0))</f>
        <v>0</v>
      </c>
      <c r="L884" s="2">
        <f>IF(SUM('Actual species'!O884)&gt;=1,1,IF(SUM('Actual species'!O884)="X",1,0))</f>
        <v>0</v>
      </c>
      <c r="M884" s="2">
        <f>IF(SUM('Actual species'!P884)&gt;=1,1,IF(SUM('Actual species'!P884)="X",1,0))</f>
        <v>0</v>
      </c>
      <c r="N884" s="2">
        <f>IF(SUM('Actual species'!Q884)&gt;=1,1,IF(SUM('Actual species'!Q884)="X",1,0))</f>
        <v>0</v>
      </c>
      <c r="O884" s="2">
        <f>IF(SUM('Actual species'!R884)&gt;=1,1,IF(SUM('Actual species'!R884)="X",1,0))</f>
        <v>0</v>
      </c>
      <c r="P884" s="2">
        <f>IF(SUM('Actual species'!S884)&gt;=1,1,IF(SUM('Actual species'!S884)="X",1,0))</f>
        <v>0</v>
      </c>
      <c r="Q884" s="2">
        <f>IF(SUM('Actual species'!T884)&gt;=1,1,IF(SUM('Actual species'!T884)="X",1,0))</f>
        <v>0</v>
      </c>
      <c r="R884" s="2">
        <f>IF(SUM('Actual species'!U884)&gt;=1,1,IF(SUM('Actual species'!U884)="X",1,0))</f>
        <v>0</v>
      </c>
    </row>
    <row r="885" spans="1:18" x14ac:dyDescent="0.3">
      <c r="A885" s="113" t="str">
        <f>'Actual species'!A885</f>
        <v xml:space="preserve">*Lobrathium apicale (E) </v>
      </c>
      <c r="B885" s="66">
        <f>IF(SUM('Actual species'!B885:E885)&gt;=1,1,IF(SUM('Actual species'!B885:E885)="X",1,0))</f>
        <v>1</v>
      </c>
      <c r="C885" s="2">
        <f>IF(SUM('Actual species'!F885)&gt;=1,1,IF(SUM('Actual species'!F885)="X",1,0))</f>
        <v>0</v>
      </c>
      <c r="D885" s="2">
        <f>IF(SUM('Actual species'!G885)&gt;=1,1,IF(SUM('Actual species'!G885)="X",1,0))</f>
        <v>0</v>
      </c>
      <c r="E885" s="2">
        <f>IF(SUM('Actual species'!H885)&gt;=1,1,IF(SUM('Actual species'!H885)="X",1,0))</f>
        <v>0</v>
      </c>
      <c r="F885" s="2">
        <f>IF(SUM('Actual species'!I885)&gt;=1,1,IF(SUM('Actual species'!I885)="X",1,0))</f>
        <v>0</v>
      </c>
      <c r="G885" s="2">
        <f>IF(SUM('Actual species'!J885)&gt;=1,1,IF(SUM('Actual species'!J885)="X",1,0))</f>
        <v>0</v>
      </c>
      <c r="H885" s="2">
        <f>IF(SUM('Actual species'!K885)&gt;=1,1,IF(SUM('Actual species'!K885)="X",1,0))</f>
        <v>0</v>
      </c>
      <c r="I885" s="2">
        <f>IF(SUM('Actual species'!L885)&gt;=1,1,IF(SUM('Actual species'!L885)="X",1,0))</f>
        <v>0</v>
      </c>
      <c r="J885" s="2">
        <f>IF(SUM('Actual species'!M885)&gt;=1,1,IF(SUM('Actual species'!M885)="X",1,0))</f>
        <v>0</v>
      </c>
      <c r="K885" s="2">
        <f>IF(SUM('Actual species'!N885)&gt;=1,1,IF(SUM('Actual species'!N885)="X",1,0))</f>
        <v>0</v>
      </c>
      <c r="L885" s="2">
        <f>IF(SUM('Actual species'!O885)&gt;=1,1,IF(SUM('Actual species'!O885)="X",1,0))</f>
        <v>0</v>
      </c>
      <c r="M885" s="2">
        <f>IF(SUM('Actual species'!P885)&gt;=1,1,IF(SUM('Actual species'!P885)="X",1,0))</f>
        <v>0</v>
      </c>
      <c r="N885" s="2">
        <f>IF(SUM('Actual species'!Q885)&gt;=1,1,IF(SUM('Actual species'!Q885)="X",1,0))</f>
        <v>0</v>
      </c>
      <c r="O885" s="2">
        <f>IF(SUM('Actual species'!R885)&gt;=1,1,IF(SUM('Actual species'!R885)="X",1,0))</f>
        <v>0</v>
      </c>
      <c r="P885" s="2">
        <f>IF(SUM('Actual species'!S885)&gt;=1,1,IF(SUM('Actual species'!S885)="X",1,0))</f>
        <v>0</v>
      </c>
      <c r="Q885" s="2">
        <f>IF(SUM('Actual species'!T885)&gt;=1,1,IF(SUM('Actual species'!T885)="X",1,0))</f>
        <v>0</v>
      </c>
      <c r="R885" s="2">
        <f>IF(SUM('Actual species'!U885)&gt;=1,1,IF(SUM('Actual species'!U885)="X",1,0))</f>
        <v>0</v>
      </c>
    </row>
    <row r="886" spans="1:18" x14ac:dyDescent="0.3">
      <c r="A886" s="113" t="str">
        <f>'Actual species'!A886</f>
        <v xml:space="preserve">Lobrathium candicum (E) </v>
      </c>
      <c r="B886" s="66">
        <f>IF(SUM('Actual species'!B886:E886)&gt;=1,1,IF(SUM('Actual species'!B886:E886)="X",1,0))</f>
        <v>0</v>
      </c>
      <c r="C886" s="2">
        <f>IF(SUM('Actual species'!F886)&gt;=1,1,IF(SUM('Actual species'!F886)="X",1,0))</f>
        <v>0</v>
      </c>
      <c r="D886" s="2">
        <f>IF(SUM('Actual species'!G886)&gt;=1,1,IF(SUM('Actual species'!G886)="X",1,0))</f>
        <v>0</v>
      </c>
      <c r="E886" s="2">
        <f>IF(SUM('Actual species'!H886)&gt;=1,1,IF(SUM('Actual species'!H886)="X",1,0))</f>
        <v>0</v>
      </c>
      <c r="F886" s="2">
        <f>IF(SUM('Actual species'!I886)&gt;=1,1,IF(SUM('Actual species'!I886)="X",1,0))</f>
        <v>0</v>
      </c>
      <c r="G886" s="2">
        <f>IF(SUM('Actual species'!J886)&gt;=1,1,IF(SUM('Actual species'!J886)="X",1,0))</f>
        <v>1</v>
      </c>
      <c r="H886" s="2">
        <f>IF(SUM('Actual species'!K886)&gt;=1,1,IF(SUM('Actual species'!K886)="X",1,0))</f>
        <v>0</v>
      </c>
      <c r="I886" s="2">
        <f>IF(SUM('Actual species'!L886)&gt;=1,1,IF(SUM('Actual species'!L886)="X",1,0))</f>
        <v>0</v>
      </c>
      <c r="J886" s="2">
        <f>IF(SUM('Actual species'!M886)&gt;=1,1,IF(SUM('Actual species'!M886)="X",1,0))</f>
        <v>0</v>
      </c>
      <c r="K886" s="2">
        <f>IF(SUM('Actual species'!N886)&gt;=1,1,IF(SUM('Actual species'!N886)="X",1,0))</f>
        <v>0</v>
      </c>
      <c r="L886" s="2">
        <f>IF(SUM('Actual species'!O886)&gt;=1,1,IF(SUM('Actual species'!O886)="X",1,0))</f>
        <v>0</v>
      </c>
      <c r="M886" s="2">
        <f>IF(SUM('Actual species'!P886)&gt;=1,1,IF(SUM('Actual species'!P886)="X",1,0))</f>
        <v>0</v>
      </c>
      <c r="N886" s="2">
        <f>IF(SUM('Actual species'!Q886)&gt;=1,1,IF(SUM('Actual species'!Q886)="X",1,0))</f>
        <v>0</v>
      </c>
      <c r="O886" s="2">
        <f>IF(SUM('Actual species'!R886)&gt;=1,1,IF(SUM('Actual species'!R886)="X",1,0))</f>
        <v>0</v>
      </c>
      <c r="P886" s="2">
        <f>IF(SUM('Actual species'!S886)&gt;=1,1,IF(SUM('Actual species'!S886)="X",1,0))</f>
        <v>0</v>
      </c>
      <c r="Q886" s="2">
        <f>IF(SUM('Actual species'!T886)&gt;=1,1,IF(SUM('Actual species'!T886)="X",1,0))</f>
        <v>0</v>
      </c>
      <c r="R886" s="2">
        <f>IF(SUM('Actual species'!U886)&gt;=1,1,IF(SUM('Actual species'!U886)="X",1,0))</f>
        <v>0</v>
      </c>
    </row>
    <row r="887" spans="1:18" x14ac:dyDescent="0.3">
      <c r="A887" s="113" t="str">
        <f>'Actual species'!A887</f>
        <v>Lobrathium multipunctum</v>
      </c>
      <c r="B887" s="66">
        <f>IF(SUM('Actual species'!B887:E887)&gt;=1,1,IF(SUM('Actual species'!B887:E887)="X",1,0))</f>
        <v>0</v>
      </c>
      <c r="C887" s="2">
        <f>IF(SUM('Actual species'!F887)&gt;=1,1,IF(SUM('Actual species'!F887)="X",1,0))</f>
        <v>0</v>
      </c>
      <c r="D887" s="2">
        <f>IF(SUM('Actual species'!G887)&gt;=1,1,IF(SUM('Actual species'!G887)="X",1,0))</f>
        <v>0</v>
      </c>
      <c r="E887" s="2">
        <f>IF(SUM('Actual species'!H887)&gt;=1,1,IF(SUM('Actual species'!H887)="X",1,0))</f>
        <v>0</v>
      </c>
      <c r="F887" s="2">
        <f>IF(SUM('Actual species'!I887)&gt;=1,1,IF(SUM('Actual species'!I887)="X",1,0))</f>
        <v>0</v>
      </c>
      <c r="G887" s="2">
        <f>IF(SUM('Actual species'!J887)&gt;=1,1,IF(SUM('Actual species'!J887)="X",1,0))</f>
        <v>0</v>
      </c>
      <c r="H887" s="2">
        <f>IF(SUM('Actual species'!K887)&gt;=1,1,IF(SUM('Actual species'!K887)="X",1,0))</f>
        <v>0</v>
      </c>
      <c r="I887" s="2">
        <f>IF(SUM('Actual species'!L887)&gt;=1,1,IF(SUM('Actual species'!L887)="X",1,0))</f>
        <v>0</v>
      </c>
      <c r="J887" s="2">
        <f>IF(SUM('Actual species'!M887)&gt;=1,1,IF(SUM('Actual species'!M887)="X",1,0))</f>
        <v>0</v>
      </c>
      <c r="K887" s="2">
        <f>IF(SUM('Actual species'!N887)&gt;=1,1,IF(SUM('Actual species'!N887)="X",1,0))</f>
        <v>0</v>
      </c>
      <c r="L887" s="2">
        <f>IF(SUM('Actual species'!O887)&gt;=1,1,IF(SUM('Actual species'!O887)="X",1,0))</f>
        <v>0</v>
      </c>
      <c r="M887" s="2">
        <f>IF(SUM('Actual species'!P887)&gt;=1,1,IF(SUM('Actual species'!P887)="X",1,0))</f>
        <v>0</v>
      </c>
      <c r="N887" s="2">
        <f>IF(SUM('Actual species'!Q887)&gt;=1,1,IF(SUM('Actual species'!Q887)="X",1,0))</f>
        <v>0</v>
      </c>
      <c r="O887" s="2">
        <f>IF(SUM('Actual species'!R887)&gt;=1,1,IF(SUM('Actual species'!R887)="X",1,0))</f>
        <v>0</v>
      </c>
      <c r="P887" s="2">
        <f>IF(SUM('Actual species'!S887)&gt;=1,1,IF(SUM('Actual species'!S887)="X",1,0))</f>
        <v>0</v>
      </c>
      <c r="Q887" s="2">
        <f>IF(SUM('Actual species'!T887)&gt;=1,1,IF(SUM('Actual species'!T887)="X",1,0))</f>
        <v>0</v>
      </c>
      <c r="R887" s="2">
        <f>IF(SUM('Actual species'!U887)&gt;=1,1,IF(SUM('Actual species'!U887)="X",1,0))</f>
        <v>0</v>
      </c>
    </row>
    <row r="888" spans="1:18" x14ac:dyDescent="0.3">
      <c r="A888" s="113" t="str">
        <f>'Actual species'!A888</f>
        <v>Lobrathium rugipenne</v>
      </c>
      <c r="B888" s="66">
        <f>IF(SUM('Actual species'!B888:E888)&gt;=1,1,IF(SUM('Actual species'!B888:E888)="X",1,0))</f>
        <v>0</v>
      </c>
      <c r="C888" s="2">
        <f>IF(SUM('Actual species'!F888)&gt;=1,1,IF(SUM('Actual species'!F888)="X",1,0))</f>
        <v>0</v>
      </c>
      <c r="D888" s="2">
        <f>IF(SUM('Actual species'!G888)&gt;=1,1,IF(SUM('Actual species'!G888)="X",1,0))</f>
        <v>0</v>
      </c>
      <c r="E888" s="2">
        <f>IF(SUM('Actual species'!H888)&gt;=1,1,IF(SUM('Actual species'!H888)="X",1,0))</f>
        <v>1</v>
      </c>
      <c r="F888" s="2">
        <f>IF(SUM('Actual species'!I888)&gt;=1,1,IF(SUM('Actual species'!I888)="X",1,0))</f>
        <v>1</v>
      </c>
      <c r="G888" s="2">
        <f>IF(SUM('Actual species'!J888)&gt;=1,1,IF(SUM('Actual species'!J888)="X",1,0))</f>
        <v>0</v>
      </c>
      <c r="H888" s="2">
        <f>IF(SUM('Actual species'!K888)&gt;=1,1,IF(SUM('Actual species'!K888)="X",1,0))</f>
        <v>1</v>
      </c>
      <c r="I888" s="2">
        <f>IF(SUM('Actual species'!L888)&gt;=1,1,IF(SUM('Actual species'!L888)="X",1,0))</f>
        <v>0</v>
      </c>
      <c r="J888" s="2">
        <f>IF(SUM('Actual species'!M888)&gt;=1,1,IF(SUM('Actual species'!M888)="X",1,0))</f>
        <v>1</v>
      </c>
      <c r="K888" s="2">
        <f>IF(SUM('Actual species'!N888)&gt;=1,1,IF(SUM('Actual species'!N888)="X",1,0))</f>
        <v>0</v>
      </c>
      <c r="L888" s="2">
        <f>IF(SUM('Actual species'!O888)&gt;=1,1,IF(SUM('Actual species'!O888)="X",1,0))</f>
        <v>0</v>
      </c>
      <c r="M888" s="2">
        <f>IF(SUM('Actual species'!P888)&gt;=1,1,IF(SUM('Actual species'!P888)="X",1,0))</f>
        <v>0</v>
      </c>
      <c r="N888" s="2">
        <f>IF(SUM('Actual species'!Q888)&gt;=1,1,IF(SUM('Actual species'!Q888)="X",1,0))</f>
        <v>1</v>
      </c>
      <c r="O888" s="2">
        <f>IF(SUM('Actual species'!R888)&gt;=1,1,IF(SUM('Actual species'!R888)="X",1,0))</f>
        <v>1</v>
      </c>
      <c r="P888" s="2">
        <f>IF(SUM('Actual species'!S888)&gt;=1,1,IF(SUM('Actual species'!S888)="X",1,0))</f>
        <v>0</v>
      </c>
      <c r="Q888" s="2">
        <f>IF(SUM('Actual species'!T888)&gt;=1,1,IF(SUM('Actual species'!T888)="X",1,0))</f>
        <v>1</v>
      </c>
      <c r="R888" s="2">
        <f>IF(SUM('Actual species'!U888)&gt;=1,1,IF(SUM('Actual species'!U888)="X",1,0))</f>
        <v>0</v>
      </c>
    </row>
    <row r="889" spans="1:18" x14ac:dyDescent="0.3">
      <c r="A889" s="113" t="str">
        <f>'Actual species'!A889</f>
        <v>Luzea graeca</v>
      </c>
      <c r="B889" s="66">
        <f>IF(SUM('Actual species'!B889:E889)&gt;=1,1,IF(SUM('Actual species'!B889:E889)="X",1,0))</f>
        <v>0</v>
      </c>
      <c r="C889" s="2">
        <f>IF(SUM('Actual species'!F889)&gt;=1,1,IF(SUM('Actual species'!F889)="X",1,0))</f>
        <v>0</v>
      </c>
      <c r="D889" s="2">
        <f>IF(SUM('Actual species'!G889)&gt;=1,1,IF(SUM('Actual species'!G889)="X",1,0))</f>
        <v>0</v>
      </c>
      <c r="E889" s="2">
        <f>IF(SUM('Actual species'!H889)&gt;=1,1,IF(SUM('Actual species'!H889)="X",1,0))</f>
        <v>0</v>
      </c>
      <c r="F889" s="2">
        <f>IF(SUM('Actual species'!I889)&gt;=1,1,IF(SUM('Actual species'!I889)="X",1,0))</f>
        <v>0</v>
      </c>
      <c r="G889" s="2">
        <f>IF(SUM('Actual species'!J889)&gt;=1,1,IF(SUM('Actual species'!J889)="X",1,0))</f>
        <v>0</v>
      </c>
      <c r="H889" s="2">
        <f>IF(SUM('Actual species'!K889)&gt;=1,1,IF(SUM('Actual species'!K889)="X",1,0))</f>
        <v>0</v>
      </c>
      <c r="I889" s="2">
        <f>IF(SUM('Actual species'!L889)&gt;=1,1,IF(SUM('Actual species'!L889)="X",1,0))</f>
        <v>0</v>
      </c>
      <c r="J889" s="2">
        <f>IF(SUM('Actual species'!M889)&gt;=1,1,IF(SUM('Actual species'!M889)="X",1,0))</f>
        <v>1</v>
      </c>
      <c r="K889" s="2">
        <f>IF(SUM('Actual species'!N889)&gt;=1,1,IF(SUM('Actual species'!N889)="X",1,0))</f>
        <v>0</v>
      </c>
      <c r="L889" s="2">
        <f>IF(SUM('Actual species'!O889)&gt;=1,1,IF(SUM('Actual species'!O889)="X",1,0))</f>
        <v>0</v>
      </c>
      <c r="M889" s="2">
        <f>IF(SUM('Actual species'!P889)&gt;=1,1,IF(SUM('Actual species'!P889)="X",1,0))</f>
        <v>0</v>
      </c>
      <c r="N889" s="2">
        <f>IF(SUM('Actual species'!Q889)&gt;=1,1,IF(SUM('Actual species'!Q889)="X",1,0))</f>
        <v>0</v>
      </c>
      <c r="O889" s="2">
        <f>IF(SUM('Actual species'!R889)&gt;=1,1,IF(SUM('Actual species'!R889)="X",1,0))</f>
        <v>0</v>
      </c>
      <c r="P889" s="2">
        <f>IF(SUM('Actual species'!S889)&gt;=1,1,IF(SUM('Actual species'!S889)="X",1,0))</f>
        <v>0</v>
      </c>
      <c r="Q889" s="2">
        <f>IF(SUM('Actual species'!T889)&gt;=1,1,IF(SUM('Actual species'!T889)="X",1,0))</f>
        <v>0</v>
      </c>
      <c r="R889" s="2">
        <f>IF(SUM('Actual species'!U889)&gt;=1,1,IF(SUM('Actual species'!U889)="X",1,0))</f>
        <v>0</v>
      </c>
    </row>
    <row r="890" spans="1:18" x14ac:dyDescent="0.3">
      <c r="A890" s="113" t="str">
        <f>'Actual species'!A890</f>
        <v>Medon apicalis</v>
      </c>
      <c r="B890" s="66">
        <f>IF(SUM('Actual species'!B890:E890)&gt;=1,1,IF(SUM('Actual species'!B890:E890)="X",1,0))</f>
        <v>0</v>
      </c>
      <c r="C890" s="2">
        <f>IF(SUM('Actual species'!F890)&gt;=1,1,IF(SUM('Actual species'!F890)="X",1,0))</f>
        <v>1</v>
      </c>
      <c r="D890" s="2">
        <f>IF(SUM('Actual species'!G890)&gt;=1,1,IF(SUM('Actual species'!G890)="X",1,0))</f>
        <v>0</v>
      </c>
      <c r="E890" s="2">
        <f>IF(SUM('Actual species'!H890)&gt;=1,1,IF(SUM('Actual species'!H890)="X",1,0))</f>
        <v>0</v>
      </c>
      <c r="F890" s="2">
        <f>IF(SUM('Actual species'!I890)&gt;=1,1,IF(SUM('Actual species'!I890)="X",1,0))</f>
        <v>0</v>
      </c>
      <c r="G890" s="2">
        <f>IF(SUM('Actual species'!J890)&gt;=1,1,IF(SUM('Actual species'!J890)="X",1,0))</f>
        <v>0</v>
      </c>
      <c r="H890" s="2">
        <f>IF(SUM('Actual species'!K890)&gt;=1,1,IF(SUM('Actual species'!K890)="X",1,0))</f>
        <v>0</v>
      </c>
      <c r="I890" s="2">
        <f>IF(SUM('Actual species'!L890)&gt;=1,1,IF(SUM('Actual species'!L890)="X",1,0))</f>
        <v>0</v>
      </c>
      <c r="J890" s="2">
        <f>IF(SUM('Actual species'!M890)&gt;=1,1,IF(SUM('Actual species'!M890)="X",1,0))</f>
        <v>1</v>
      </c>
      <c r="K890" s="2">
        <f>IF(SUM('Actual species'!N890)&gt;=1,1,IF(SUM('Actual species'!N890)="X",1,0))</f>
        <v>0</v>
      </c>
      <c r="L890" s="2">
        <f>IF(SUM('Actual species'!O890)&gt;=1,1,IF(SUM('Actual species'!O890)="X",1,0))</f>
        <v>0</v>
      </c>
      <c r="M890" s="2">
        <f>IF(SUM('Actual species'!P890)&gt;=1,1,IF(SUM('Actual species'!P890)="X",1,0))</f>
        <v>0</v>
      </c>
      <c r="N890" s="2">
        <f>IF(SUM('Actual species'!Q890)&gt;=1,1,IF(SUM('Actual species'!Q890)="X",1,0))</f>
        <v>0</v>
      </c>
      <c r="O890" s="2">
        <f>IF(SUM('Actual species'!R890)&gt;=1,1,IF(SUM('Actual species'!R890)="X",1,0))</f>
        <v>0</v>
      </c>
      <c r="P890" s="2">
        <f>IF(SUM('Actual species'!S890)&gt;=1,1,IF(SUM('Actual species'!S890)="X",1,0))</f>
        <v>0</v>
      </c>
      <c r="Q890" s="2">
        <f>IF(SUM('Actual species'!T890)&gt;=1,1,IF(SUM('Actual species'!T890)="X",1,0))</f>
        <v>0</v>
      </c>
      <c r="R890" s="2">
        <f>IF(SUM('Actual species'!U890)&gt;=1,1,IF(SUM('Actual species'!U890)="X",1,0))</f>
        <v>0</v>
      </c>
    </row>
    <row r="891" spans="1:18" x14ac:dyDescent="0.3">
      <c r="A891" s="113" t="str">
        <f>'Actual species'!A891</f>
        <v xml:space="preserve">Medon beroni (E) </v>
      </c>
      <c r="B891" s="66">
        <f>IF(SUM('Actual species'!B891:E891)&gt;=1,1,IF(SUM('Actual species'!B891:E891)="X",1,0))</f>
        <v>0</v>
      </c>
      <c r="C891" s="2">
        <f>IF(SUM('Actual species'!F891)&gt;=1,1,IF(SUM('Actual species'!F891)="X",1,0))</f>
        <v>0</v>
      </c>
      <c r="D891" s="2">
        <f>IF(SUM('Actual species'!G891)&gt;=1,1,IF(SUM('Actual species'!G891)="X",1,0))</f>
        <v>0</v>
      </c>
      <c r="E891" s="2">
        <f>IF(SUM('Actual species'!H891)&gt;=1,1,IF(SUM('Actual species'!H891)="X",1,0))</f>
        <v>0</v>
      </c>
      <c r="F891" s="2">
        <f>IF(SUM('Actual species'!I891)&gt;=1,1,IF(SUM('Actual species'!I891)="X",1,0))</f>
        <v>0</v>
      </c>
      <c r="G891" s="2">
        <f>IF(SUM('Actual species'!J891)&gt;=1,1,IF(SUM('Actual species'!J891)="X",1,0))</f>
        <v>0</v>
      </c>
      <c r="H891" s="2">
        <f>IF(SUM('Actual species'!K891)&gt;=1,1,IF(SUM('Actual species'!K891)="X",1,0))</f>
        <v>0</v>
      </c>
      <c r="I891" s="2">
        <f>IF(SUM('Actual species'!L891)&gt;=1,1,IF(SUM('Actual species'!L891)="X",1,0))</f>
        <v>0</v>
      </c>
      <c r="J891" s="2">
        <f>IF(SUM('Actual species'!M891)&gt;=1,1,IF(SUM('Actual species'!M891)="X",1,0))</f>
        <v>0</v>
      </c>
      <c r="K891" s="2">
        <f>IF(SUM('Actual species'!N891)&gt;=1,1,IF(SUM('Actual species'!N891)="X",1,0))</f>
        <v>0</v>
      </c>
      <c r="L891" s="2">
        <f>IF(SUM('Actual species'!O891)&gt;=1,1,IF(SUM('Actual species'!O891)="X",1,0))</f>
        <v>0</v>
      </c>
      <c r="M891" s="2">
        <f>IF(SUM('Actual species'!P891)&gt;=1,1,IF(SUM('Actual species'!P891)="X",1,0))</f>
        <v>0</v>
      </c>
      <c r="N891" s="2">
        <f>IF(SUM('Actual species'!Q891)&gt;=1,1,IF(SUM('Actual species'!Q891)="X",1,0))</f>
        <v>0</v>
      </c>
      <c r="O891" s="2">
        <f>IF(SUM('Actual species'!R891)&gt;=1,1,IF(SUM('Actual species'!R891)="X",1,0))</f>
        <v>0</v>
      </c>
      <c r="P891" s="2">
        <f>IF(SUM('Actual species'!S891)&gt;=1,1,IF(SUM('Actual species'!S891)="X",1,0))</f>
        <v>0</v>
      </c>
      <c r="Q891" s="2">
        <f>IF(SUM('Actual species'!T891)&gt;=1,1,IF(SUM('Actual species'!T891)="X",1,0))</f>
        <v>0</v>
      </c>
      <c r="R891" s="2">
        <f>IF(SUM('Actual species'!U891)&gt;=1,1,IF(SUM('Actual species'!U891)="X",1,0))</f>
        <v>0</v>
      </c>
    </row>
    <row r="892" spans="1:18" x14ac:dyDescent="0.3">
      <c r="A892" s="113" t="str">
        <f>'Actual species'!A892</f>
        <v>Medon brunneus</v>
      </c>
      <c r="B892" s="66">
        <f>IF(SUM('Actual species'!B892:E892)&gt;=1,1,IF(SUM('Actual species'!B892:E892)="X",1,0))</f>
        <v>0</v>
      </c>
      <c r="C892" s="2">
        <f>IF(SUM('Actual species'!F892)&gt;=1,1,IF(SUM('Actual species'!F892)="X",1,0))</f>
        <v>0</v>
      </c>
      <c r="D892" s="2">
        <f>IF(SUM('Actual species'!G892)&gt;=1,1,IF(SUM('Actual species'!G892)="X",1,0))</f>
        <v>0</v>
      </c>
      <c r="E892" s="2">
        <f>IF(SUM('Actual species'!H892)&gt;=1,1,IF(SUM('Actual species'!H892)="X",1,0))</f>
        <v>0</v>
      </c>
      <c r="F892" s="2">
        <f>IF(SUM('Actual species'!I892)&gt;=1,1,IF(SUM('Actual species'!I892)="X",1,0))</f>
        <v>0</v>
      </c>
      <c r="G892" s="2">
        <f>IF(SUM('Actual species'!J892)&gt;=1,1,IF(SUM('Actual species'!J892)="X",1,0))</f>
        <v>0</v>
      </c>
      <c r="H892" s="2">
        <f>IF(SUM('Actual species'!K892)&gt;=1,1,IF(SUM('Actual species'!K892)="X",1,0))</f>
        <v>0</v>
      </c>
      <c r="I892" s="2">
        <f>IF(SUM('Actual species'!L892)&gt;=1,1,IF(SUM('Actual species'!L892)="X",1,0))</f>
        <v>0</v>
      </c>
      <c r="J892" s="2">
        <f>IF(SUM('Actual species'!M892)&gt;=1,1,IF(SUM('Actual species'!M892)="X",1,0))</f>
        <v>1</v>
      </c>
      <c r="K892" s="2">
        <f>IF(SUM('Actual species'!N892)&gt;=1,1,IF(SUM('Actual species'!N892)="X",1,0))</f>
        <v>0</v>
      </c>
      <c r="L892" s="2">
        <f>IF(SUM('Actual species'!O892)&gt;=1,1,IF(SUM('Actual species'!O892)="X",1,0))</f>
        <v>0</v>
      </c>
      <c r="M892" s="2">
        <f>IF(SUM('Actual species'!P892)&gt;=1,1,IF(SUM('Actual species'!P892)="X",1,0))</f>
        <v>1</v>
      </c>
      <c r="N892" s="2">
        <f>IF(SUM('Actual species'!Q892)&gt;=1,1,IF(SUM('Actual species'!Q892)="X",1,0))</f>
        <v>1</v>
      </c>
      <c r="O892" s="2">
        <f>IF(SUM('Actual species'!R892)&gt;=1,1,IF(SUM('Actual species'!R892)="X",1,0))</f>
        <v>1</v>
      </c>
      <c r="P892" s="2">
        <f>IF(SUM('Actual species'!S892)&gt;=1,1,IF(SUM('Actual species'!S892)="X",1,0))</f>
        <v>1</v>
      </c>
      <c r="Q892" s="2">
        <f>IF(SUM('Actual species'!T892)&gt;=1,1,IF(SUM('Actual species'!T892)="X",1,0))</f>
        <v>0</v>
      </c>
      <c r="R892" s="2">
        <f>IF(SUM('Actual species'!U892)&gt;=1,1,IF(SUM('Actual species'!U892)="X",1,0))</f>
        <v>1</v>
      </c>
    </row>
    <row r="893" spans="1:18" x14ac:dyDescent="0.3">
      <c r="A893" s="113" t="str">
        <f>'Actual species'!A893</f>
        <v>Medon caricus</v>
      </c>
      <c r="B893" s="66">
        <f>IF(SUM('Actual species'!B893:E893)&gt;=1,1,IF(SUM('Actual species'!B893:E893)="X",1,0))</f>
        <v>0</v>
      </c>
      <c r="C893" s="2">
        <f>IF(SUM('Actual species'!F893)&gt;=1,1,IF(SUM('Actual species'!F893)="X",1,0))</f>
        <v>0</v>
      </c>
      <c r="D893" s="2">
        <f>IF(SUM('Actual species'!G893)&gt;=1,1,IF(SUM('Actual species'!G893)="X",1,0))</f>
        <v>1</v>
      </c>
      <c r="E893" s="2">
        <f>IF(SUM('Actual species'!H893)&gt;=1,1,IF(SUM('Actual species'!H893)="X",1,0))</f>
        <v>0</v>
      </c>
      <c r="F893" s="2">
        <f>IF(SUM('Actual species'!I893)&gt;=1,1,IF(SUM('Actual species'!I893)="X",1,0))</f>
        <v>0</v>
      </c>
      <c r="G893" s="2">
        <f>IF(SUM('Actual species'!J893)&gt;=1,1,IF(SUM('Actual species'!J893)="X",1,0))</f>
        <v>0</v>
      </c>
      <c r="H893" s="2">
        <f>IF(SUM('Actual species'!K893)&gt;=1,1,IF(SUM('Actual species'!K893)="X",1,0))</f>
        <v>0</v>
      </c>
      <c r="I893" s="2">
        <f>IF(SUM('Actual species'!L893)&gt;=1,1,IF(SUM('Actual species'!L893)="X",1,0))</f>
        <v>0</v>
      </c>
      <c r="J893" s="2">
        <f>IF(SUM('Actual species'!M893)&gt;=1,1,IF(SUM('Actual species'!M893)="X",1,0))</f>
        <v>0</v>
      </c>
      <c r="K893" s="2">
        <f>IF(SUM('Actual species'!N893)&gt;=1,1,IF(SUM('Actual species'!N893)="X",1,0))</f>
        <v>0</v>
      </c>
      <c r="L893" s="2">
        <f>IF(SUM('Actual species'!O893)&gt;=1,1,IF(SUM('Actual species'!O893)="X",1,0))</f>
        <v>0</v>
      </c>
      <c r="M893" s="2">
        <f>IF(SUM('Actual species'!P893)&gt;=1,1,IF(SUM('Actual species'!P893)="X",1,0))</f>
        <v>0</v>
      </c>
      <c r="N893" s="2">
        <f>IF(SUM('Actual species'!Q893)&gt;=1,1,IF(SUM('Actual species'!Q893)="X",1,0))</f>
        <v>0</v>
      </c>
      <c r="O893" s="2">
        <f>IF(SUM('Actual species'!R893)&gt;=1,1,IF(SUM('Actual species'!R893)="X",1,0))</f>
        <v>0</v>
      </c>
      <c r="P893" s="2">
        <f>IF(SUM('Actual species'!S893)&gt;=1,1,IF(SUM('Actual species'!S893)="X",1,0))</f>
        <v>0</v>
      </c>
      <c r="Q893" s="2">
        <f>IF(SUM('Actual species'!T893)&gt;=1,1,IF(SUM('Actual species'!T893)="X",1,0))</f>
        <v>0</v>
      </c>
      <c r="R893" s="2">
        <f>IF(SUM('Actual species'!U893)&gt;=1,1,IF(SUM('Actual species'!U893)="X",1,0))</f>
        <v>0</v>
      </c>
    </row>
    <row r="894" spans="1:18" x14ac:dyDescent="0.3">
      <c r="A894" s="113" t="str">
        <f>'Actual species'!A894</f>
        <v xml:space="preserve">Medon carpathius (E) </v>
      </c>
      <c r="B894" s="66">
        <f>IF(SUM('Actual species'!B894:E894)&gt;=1,1,IF(SUM('Actual species'!B894:E894)="X",1,0))</f>
        <v>0</v>
      </c>
      <c r="C894" s="2">
        <f>IF(SUM('Actual species'!F894)&gt;=1,1,IF(SUM('Actual species'!F894)="X",1,0))</f>
        <v>0</v>
      </c>
      <c r="D894" s="2">
        <f>IF(SUM('Actual species'!G894)&gt;=1,1,IF(SUM('Actual species'!G894)="X",1,0))</f>
        <v>0</v>
      </c>
      <c r="E894" s="2">
        <f>IF(SUM('Actual species'!H894)&gt;=1,1,IF(SUM('Actual species'!H894)="X",1,0))</f>
        <v>0</v>
      </c>
      <c r="F894" s="2">
        <f>IF(SUM('Actual species'!I894)&gt;=1,1,IF(SUM('Actual species'!I894)="X",1,0))</f>
        <v>0</v>
      </c>
      <c r="G894" s="2">
        <f>IF(SUM('Actual species'!J894)&gt;=1,1,IF(SUM('Actual species'!J894)="X",1,0))</f>
        <v>0</v>
      </c>
      <c r="H894" s="2">
        <f>IF(SUM('Actual species'!K894)&gt;=1,1,IF(SUM('Actual species'!K894)="X",1,0))</f>
        <v>0</v>
      </c>
      <c r="I894" s="2">
        <f>IF(SUM('Actual species'!L894)&gt;=1,1,IF(SUM('Actual species'!L894)="X",1,0))</f>
        <v>0</v>
      </c>
      <c r="J894" s="2">
        <f>IF(SUM('Actual species'!M894)&gt;=1,1,IF(SUM('Actual species'!M894)="X",1,0))</f>
        <v>0</v>
      </c>
      <c r="K894" s="2">
        <f>IF(SUM('Actual species'!N894)&gt;=1,1,IF(SUM('Actual species'!N894)="X",1,0))</f>
        <v>0</v>
      </c>
      <c r="L894" s="2">
        <f>IF(SUM('Actual species'!O894)&gt;=1,1,IF(SUM('Actual species'!O894)="X",1,0))</f>
        <v>1</v>
      </c>
      <c r="M894" s="2">
        <f>IF(SUM('Actual species'!P894)&gt;=1,1,IF(SUM('Actual species'!P894)="X",1,0))</f>
        <v>0</v>
      </c>
      <c r="N894" s="2">
        <f>IF(SUM('Actual species'!Q894)&gt;=1,1,IF(SUM('Actual species'!Q894)="X",1,0))</f>
        <v>0</v>
      </c>
      <c r="O894" s="2">
        <f>IF(SUM('Actual species'!R894)&gt;=1,1,IF(SUM('Actual species'!R894)="X",1,0))</f>
        <v>0</v>
      </c>
      <c r="P894" s="2">
        <f>IF(SUM('Actual species'!S894)&gt;=1,1,IF(SUM('Actual species'!S894)="X",1,0))</f>
        <v>0</v>
      </c>
      <c r="Q894" s="2">
        <f>IF(SUM('Actual species'!T894)&gt;=1,1,IF(SUM('Actual species'!T894)="X",1,0))</f>
        <v>0</v>
      </c>
      <c r="R894" s="2">
        <f>IF(SUM('Actual species'!U894)&gt;=1,1,IF(SUM('Actual species'!U894)="X",1,0))</f>
        <v>0</v>
      </c>
    </row>
    <row r="895" spans="1:18" x14ac:dyDescent="0.3">
      <c r="A895" s="113" t="str">
        <f>'Actual species'!A895</f>
        <v xml:space="preserve">Medon cerrutii (E) </v>
      </c>
      <c r="B895" s="66">
        <f>IF(SUM('Actual species'!B895:E895)&gt;=1,1,IF(SUM('Actual species'!B895:E895)="X",1,0))</f>
        <v>0</v>
      </c>
      <c r="C895" s="2">
        <f>IF(SUM('Actual species'!F895)&gt;=1,1,IF(SUM('Actual species'!F895)="X",1,0))</f>
        <v>0</v>
      </c>
      <c r="D895" s="2">
        <f>IF(SUM('Actual species'!G895)&gt;=1,1,IF(SUM('Actual species'!G895)="X",1,0))</f>
        <v>0</v>
      </c>
      <c r="E895" s="2">
        <f>IF(SUM('Actual species'!H895)&gt;=1,1,IF(SUM('Actual species'!H895)="X",1,0))</f>
        <v>0</v>
      </c>
      <c r="F895" s="2">
        <f>IF(SUM('Actual species'!I895)&gt;=1,1,IF(SUM('Actual species'!I895)="X",1,0))</f>
        <v>0</v>
      </c>
      <c r="G895" s="2">
        <f>IF(SUM('Actual species'!J895)&gt;=1,1,IF(SUM('Actual species'!J895)="X",1,0))</f>
        <v>0</v>
      </c>
      <c r="H895" s="2">
        <f>IF(SUM('Actual species'!K895)&gt;=1,1,IF(SUM('Actual species'!K895)="X",1,0))</f>
        <v>0</v>
      </c>
      <c r="I895" s="2">
        <f>IF(SUM('Actual species'!L895)&gt;=1,1,IF(SUM('Actual species'!L895)="X",1,0))</f>
        <v>0</v>
      </c>
      <c r="J895" s="2">
        <f>IF(SUM('Actual species'!M895)&gt;=1,1,IF(SUM('Actual species'!M895)="X",1,0))</f>
        <v>0</v>
      </c>
      <c r="K895" s="2">
        <f>IF(SUM('Actual species'!N895)&gt;=1,1,IF(SUM('Actual species'!N895)="X",1,0))</f>
        <v>0</v>
      </c>
      <c r="L895" s="2">
        <f>IF(SUM('Actual species'!O895)&gt;=1,1,IF(SUM('Actual species'!O895)="X",1,0))</f>
        <v>0</v>
      </c>
      <c r="M895" s="2">
        <f>IF(SUM('Actual species'!P895)&gt;=1,1,IF(SUM('Actual species'!P895)="X",1,0))</f>
        <v>0</v>
      </c>
      <c r="N895" s="2">
        <f>IF(SUM('Actual species'!Q895)&gt;=1,1,IF(SUM('Actual species'!Q895)="X",1,0))</f>
        <v>0</v>
      </c>
      <c r="O895" s="2">
        <f>IF(SUM('Actual species'!R895)&gt;=1,1,IF(SUM('Actual species'!R895)="X",1,0))</f>
        <v>0</v>
      </c>
      <c r="P895" s="2">
        <f>IF(SUM('Actual species'!S895)&gt;=1,1,IF(SUM('Actual species'!S895)="X",1,0))</f>
        <v>0</v>
      </c>
      <c r="Q895" s="2">
        <f>IF(SUM('Actual species'!T895)&gt;=1,1,IF(SUM('Actual species'!T895)="X",1,0))</f>
        <v>0</v>
      </c>
      <c r="R895" s="2">
        <f>IF(SUM('Actual species'!U895)&gt;=1,1,IF(SUM('Actual species'!U895)="X",1,0))</f>
        <v>0</v>
      </c>
    </row>
    <row r="896" spans="1:18" x14ac:dyDescent="0.3">
      <c r="A896" s="113" t="str">
        <f>'Actual species'!A896</f>
        <v xml:space="preserve">*Medon cyprensis (E) </v>
      </c>
      <c r="B896" s="66">
        <f>IF(SUM('Actual species'!B896:E896)&gt;=1,1,IF(SUM('Actual species'!B896:E896)="X",1,0))</f>
        <v>1</v>
      </c>
      <c r="C896" s="2">
        <f>IF(SUM('Actual species'!F896)&gt;=1,1,IF(SUM('Actual species'!F896)="X",1,0))</f>
        <v>0</v>
      </c>
      <c r="D896" s="2">
        <f>IF(SUM('Actual species'!G896)&gt;=1,1,IF(SUM('Actual species'!G896)="X",1,0))</f>
        <v>0</v>
      </c>
      <c r="E896" s="2">
        <f>IF(SUM('Actual species'!H896)&gt;=1,1,IF(SUM('Actual species'!H896)="X",1,0))</f>
        <v>0</v>
      </c>
      <c r="F896" s="2">
        <f>IF(SUM('Actual species'!I896)&gt;=1,1,IF(SUM('Actual species'!I896)="X",1,0))</f>
        <v>0</v>
      </c>
      <c r="G896" s="2">
        <f>IF(SUM('Actual species'!J896)&gt;=1,1,IF(SUM('Actual species'!J896)="X",1,0))</f>
        <v>0</v>
      </c>
      <c r="H896" s="2">
        <f>IF(SUM('Actual species'!K896)&gt;=1,1,IF(SUM('Actual species'!K896)="X",1,0))</f>
        <v>0</v>
      </c>
      <c r="I896" s="2">
        <f>IF(SUM('Actual species'!L896)&gt;=1,1,IF(SUM('Actual species'!L896)="X",1,0))</f>
        <v>0</v>
      </c>
      <c r="J896" s="2">
        <f>IF(SUM('Actual species'!M896)&gt;=1,1,IF(SUM('Actual species'!M896)="X",1,0))</f>
        <v>0</v>
      </c>
      <c r="K896" s="2">
        <f>IF(SUM('Actual species'!N896)&gt;=1,1,IF(SUM('Actual species'!N896)="X",1,0))</f>
        <v>0</v>
      </c>
      <c r="L896" s="2">
        <f>IF(SUM('Actual species'!O896)&gt;=1,1,IF(SUM('Actual species'!O896)="X",1,0))</f>
        <v>0</v>
      </c>
      <c r="M896" s="2">
        <f>IF(SUM('Actual species'!P896)&gt;=1,1,IF(SUM('Actual species'!P896)="X",1,0))</f>
        <v>0</v>
      </c>
      <c r="N896" s="2">
        <f>IF(SUM('Actual species'!Q896)&gt;=1,1,IF(SUM('Actual species'!Q896)="X",1,0))</f>
        <v>0</v>
      </c>
      <c r="O896" s="2">
        <f>IF(SUM('Actual species'!R896)&gt;=1,1,IF(SUM('Actual species'!R896)="X",1,0))</f>
        <v>0</v>
      </c>
      <c r="P896" s="2">
        <f>IF(SUM('Actual species'!S896)&gt;=1,1,IF(SUM('Actual species'!S896)="X",1,0))</f>
        <v>0</v>
      </c>
      <c r="Q896" s="2">
        <f>IF(SUM('Actual species'!T896)&gt;=1,1,IF(SUM('Actual species'!T896)="X",1,0))</f>
        <v>0</v>
      </c>
      <c r="R896" s="2">
        <f>IF(SUM('Actual species'!U896)&gt;=1,1,IF(SUM('Actual species'!U896)="X",1,0))</f>
        <v>0</v>
      </c>
    </row>
    <row r="897" spans="1:18" x14ac:dyDescent="0.3">
      <c r="A897" s="113" t="str">
        <f>'Actual species'!A897</f>
        <v>Medon dilutus pythonissa</v>
      </c>
      <c r="B897" s="66">
        <f>IF(SUM('Actual species'!B897:E897)&gt;=1,1,IF(SUM('Actual species'!B897:E897)="X",1,0))</f>
        <v>0</v>
      </c>
      <c r="C897" s="2">
        <f>IF(SUM('Actual species'!F897)&gt;=1,1,IF(SUM('Actual species'!F897)="X",1,0))</f>
        <v>1</v>
      </c>
      <c r="D897" s="2">
        <f>IF(SUM('Actual species'!G897)&gt;=1,1,IF(SUM('Actual species'!G897)="X",1,0))</f>
        <v>1</v>
      </c>
      <c r="E897" s="2">
        <f>IF(SUM('Actual species'!H897)&gt;=1,1,IF(SUM('Actual species'!H897)="X",1,0))</f>
        <v>1</v>
      </c>
      <c r="F897" s="2">
        <f>IF(SUM('Actual species'!I897)&gt;=1,1,IF(SUM('Actual species'!I897)="X",1,0))</f>
        <v>1</v>
      </c>
      <c r="G897" s="2">
        <f>IF(SUM('Actual species'!J897)&gt;=1,1,IF(SUM('Actual species'!J897)="X",1,0))</f>
        <v>1</v>
      </c>
      <c r="H897" s="2">
        <f>IF(SUM('Actual species'!K897)&gt;=1,1,IF(SUM('Actual species'!K897)="X",1,0))</f>
        <v>1</v>
      </c>
      <c r="I897" s="2">
        <f>IF(SUM('Actual species'!L897)&gt;=1,1,IF(SUM('Actual species'!L897)="X",1,0))</f>
        <v>1</v>
      </c>
      <c r="J897" s="2">
        <f>IF(SUM('Actual species'!M897)&gt;=1,1,IF(SUM('Actual species'!M897)="X",1,0))</f>
        <v>0</v>
      </c>
      <c r="K897" s="2">
        <f>IF(SUM('Actual species'!N897)&gt;=1,1,IF(SUM('Actual species'!N897)="X",1,0))</f>
        <v>1</v>
      </c>
      <c r="L897" s="2">
        <f>IF(SUM('Actual species'!O897)&gt;=1,1,IF(SUM('Actual species'!O897)="X",1,0))</f>
        <v>1</v>
      </c>
      <c r="M897" s="2">
        <f>IF(SUM('Actual species'!P897)&gt;=1,1,IF(SUM('Actual species'!P897)="X",1,0))</f>
        <v>0</v>
      </c>
      <c r="N897" s="2">
        <f>IF(SUM('Actual species'!Q897)&gt;=1,1,IF(SUM('Actual species'!Q897)="X",1,0))</f>
        <v>0</v>
      </c>
      <c r="O897" s="2">
        <f>IF(SUM('Actual species'!R897)&gt;=1,1,IF(SUM('Actual species'!R897)="X",1,0))</f>
        <v>0</v>
      </c>
      <c r="P897" s="2">
        <f>IF(SUM('Actual species'!S897)&gt;=1,1,IF(SUM('Actual species'!S897)="X",1,0))</f>
        <v>0</v>
      </c>
      <c r="Q897" s="2">
        <f>IF(SUM('Actual species'!T897)&gt;=1,1,IF(SUM('Actual species'!T897)="X",1,0))</f>
        <v>0</v>
      </c>
      <c r="R897" s="2">
        <f>IF(SUM('Actual species'!U897)&gt;=1,1,IF(SUM('Actual species'!U897)="X",1,0))</f>
        <v>0</v>
      </c>
    </row>
    <row r="898" spans="1:18" x14ac:dyDescent="0.3">
      <c r="A898" s="113" t="str">
        <f>'Actual species'!A898</f>
        <v>Medon ferrugineus</v>
      </c>
      <c r="B898" s="66">
        <f>IF(SUM('Actual species'!B898:E898)&gt;=1,1,IF(SUM('Actual species'!B898:E898)="X",1,0))</f>
        <v>0</v>
      </c>
      <c r="C898" s="2">
        <f>IF(SUM('Actual species'!F898)&gt;=1,1,IF(SUM('Actual species'!F898)="X",1,0))</f>
        <v>0</v>
      </c>
      <c r="D898" s="2">
        <f>IF(SUM('Actual species'!G898)&gt;=1,1,IF(SUM('Actual species'!G898)="X",1,0))</f>
        <v>0</v>
      </c>
      <c r="E898" s="2">
        <f>IF(SUM('Actual species'!H898)&gt;=1,1,IF(SUM('Actual species'!H898)="X",1,0))</f>
        <v>0</v>
      </c>
      <c r="F898" s="2">
        <f>IF(SUM('Actual species'!I898)&gt;=1,1,IF(SUM('Actual species'!I898)="X",1,0))</f>
        <v>0</v>
      </c>
      <c r="G898" s="2">
        <f>IF(SUM('Actual species'!J898)&gt;=1,1,IF(SUM('Actual species'!J898)="X",1,0))</f>
        <v>0</v>
      </c>
      <c r="H898" s="2">
        <f>IF(SUM('Actual species'!K898)&gt;=1,1,IF(SUM('Actual species'!K898)="X",1,0))</f>
        <v>0</v>
      </c>
      <c r="I898" s="2">
        <f>IF(SUM('Actual species'!L898)&gt;=1,1,IF(SUM('Actual species'!L898)="X",1,0))</f>
        <v>0</v>
      </c>
      <c r="J898" s="2">
        <f>IF(SUM('Actual species'!M898)&gt;=1,1,IF(SUM('Actual species'!M898)="X",1,0))</f>
        <v>1</v>
      </c>
      <c r="K898" s="2">
        <f>IF(SUM('Actual species'!N898)&gt;=1,1,IF(SUM('Actual species'!N898)="X",1,0))</f>
        <v>0</v>
      </c>
      <c r="L898" s="2">
        <f>IF(SUM('Actual species'!O898)&gt;=1,1,IF(SUM('Actual species'!O898)="X",1,0))</f>
        <v>0</v>
      </c>
      <c r="M898" s="2">
        <f>IF(SUM('Actual species'!P898)&gt;=1,1,IF(SUM('Actual species'!P898)="X",1,0))</f>
        <v>0</v>
      </c>
      <c r="N898" s="2">
        <f>IF(SUM('Actual species'!Q898)&gt;=1,1,IF(SUM('Actual species'!Q898)="X",1,0))</f>
        <v>0</v>
      </c>
      <c r="O898" s="2">
        <f>IF(SUM('Actual species'!R898)&gt;=1,1,IF(SUM('Actual species'!R898)="X",1,0))</f>
        <v>0</v>
      </c>
      <c r="P898" s="2">
        <f>IF(SUM('Actual species'!S898)&gt;=1,1,IF(SUM('Actual species'!S898)="X",1,0))</f>
        <v>0</v>
      </c>
      <c r="Q898" s="2">
        <f>IF(SUM('Actual species'!T898)&gt;=1,1,IF(SUM('Actual species'!T898)="X",1,0))</f>
        <v>0</v>
      </c>
      <c r="R898" s="2">
        <f>IF(SUM('Actual species'!U898)&gt;=1,1,IF(SUM('Actual species'!U898)="X",1,0))</f>
        <v>0</v>
      </c>
    </row>
    <row r="899" spans="1:18" s="49" customFormat="1" x14ac:dyDescent="0.3">
      <c r="A899" s="113" t="str">
        <f>'Actual species'!A899</f>
        <v>Medon fusculus</v>
      </c>
      <c r="B899" s="66">
        <f>IF(SUM('Actual species'!B899:E899)&gt;=1,1,IF(SUM('Actual species'!B899:E899)="X",1,0))</f>
        <v>0</v>
      </c>
      <c r="C899" s="2">
        <f>IF(SUM('Actual species'!F899)&gt;=1,1,IF(SUM('Actual species'!F899)="X",1,0))</f>
        <v>1</v>
      </c>
      <c r="D899" s="2">
        <f>IF(SUM('Actual species'!G899)&gt;=1,1,IF(SUM('Actual species'!G899)="X",1,0))</f>
        <v>0</v>
      </c>
      <c r="E899" s="2">
        <f>IF(SUM('Actual species'!H899)&gt;=1,1,IF(SUM('Actual species'!H899)="X",1,0))</f>
        <v>1</v>
      </c>
      <c r="F899" s="2">
        <f>IF(SUM('Actual species'!I899)&gt;=1,1,IF(SUM('Actual species'!I899)="X",1,0))</f>
        <v>1</v>
      </c>
      <c r="G899" s="2">
        <f>IF(SUM('Actual species'!J899)&gt;=1,1,IF(SUM('Actual species'!J899)="X",1,0))</f>
        <v>0</v>
      </c>
      <c r="H899" s="2">
        <f>IF(SUM('Actual species'!K899)&gt;=1,1,IF(SUM('Actual species'!K899)="X",1,0))</f>
        <v>0</v>
      </c>
      <c r="I899" s="2">
        <f>IF(SUM('Actual species'!L899)&gt;=1,1,IF(SUM('Actual species'!L899)="X",1,0))</f>
        <v>0</v>
      </c>
      <c r="J899" s="2">
        <f>IF(SUM('Actual species'!M899)&gt;=1,1,IF(SUM('Actual species'!M899)="X",1,0))</f>
        <v>1</v>
      </c>
      <c r="K899" s="2">
        <f>IF(SUM('Actual species'!N899)&gt;=1,1,IF(SUM('Actual species'!N899)="X",1,0))</f>
        <v>0</v>
      </c>
      <c r="L899" s="2">
        <f>IF(SUM('Actual species'!O899)&gt;=1,1,IF(SUM('Actual species'!O899)="X",1,0))</f>
        <v>0</v>
      </c>
      <c r="M899" s="2">
        <f>IF(SUM('Actual species'!P899)&gt;=1,1,IF(SUM('Actual species'!P899)="X",1,0))</f>
        <v>0</v>
      </c>
      <c r="N899" s="2">
        <f>IF(SUM('Actual species'!Q899)&gt;=1,1,IF(SUM('Actual species'!Q899)="X",1,0))</f>
        <v>1</v>
      </c>
      <c r="O899" s="2">
        <f>IF(SUM('Actual species'!R899)&gt;=1,1,IF(SUM('Actual species'!R899)="X",1,0))</f>
        <v>0</v>
      </c>
      <c r="P899" s="2">
        <f>IF(SUM('Actual species'!S899)&gt;=1,1,IF(SUM('Actual species'!S899)="X",1,0))</f>
        <v>0</v>
      </c>
      <c r="Q899" s="2">
        <f>IF(SUM('Actual species'!T899)&gt;=1,1,IF(SUM('Actual species'!T899)="X",1,0))</f>
        <v>0</v>
      </c>
      <c r="R899" s="2">
        <f>IF(SUM('Actual species'!U899)&gt;=1,1,IF(SUM('Actual species'!U899)="X",1,0))</f>
        <v>0</v>
      </c>
    </row>
    <row r="900" spans="1:18" x14ac:dyDescent="0.3">
      <c r="A900" s="113" t="str">
        <f>'Actual species'!A900</f>
        <v>Medon haafi</v>
      </c>
      <c r="B900" s="66">
        <f>IF(SUM('Actual species'!B900:E900)&gt;=1,1,IF(SUM('Actual species'!B900:E900)="X",1,0))</f>
        <v>1</v>
      </c>
      <c r="C900" s="2">
        <f>IF(SUM('Actual species'!F900)&gt;=1,1,IF(SUM('Actual species'!F900)="X",1,0))</f>
        <v>0</v>
      </c>
      <c r="D900" s="2">
        <f>IF(SUM('Actual species'!G900)&gt;=1,1,IF(SUM('Actual species'!G900)="X",1,0))</f>
        <v>0</v>
      </c>
      <c r="E900" s="2">
        <f>IF(SUM('Actual species'!H900)&gt;=1,1,IF(SUM('Actual species'!H900)="X",1,0))</f>
        <v>0</v>
      </c>
      <c r="F900" s="2">
        <f>IF(SUM('Actual species'!I900)&gt;=1,1,IF(SUM('Actual species'!I900)="X",1,0))</f>
        <v>0</v>
      </c>
      <c r="G900" s="2">
        <f>IF(SUM('Actual species'!J900)&gt;=1,1,IF(SUM('Actual species'!J900)="X",1,0))</f>
        <v>0</v>
      </c>
      <c r="H900" s="2">
        <f>IF(SUM('Actual species'!K900)&gt;=1,1,IF(SUM('Actual species'!K900)="X",1,0))</f>
        <v>0</v>
      </c>
      <c r="I900" s="2">
        <f>IF(SUM('Actual species'!L900)&gt;=1,1,IF(SUM('Actual species'!L900)="X",1,0))</f>
        <v>0</v>
      </c>
      <c r="J900" s="2">
        <f>IF(SUM('Actual species'!M900)&gt;=1,1,IF(SUM('Actual species'!M900)="X",1,0))</f>
        <v>0</v>
      </c>
      <c r="K900" s="2">
        <f>IF(SUM('Actual species'!N900)&gt;=1,1,IF(SUM('Actual species'!N900)="X",1,0))</f>
        <v>0</v>
      </c>
      <c r="L900" s="2">
        <f>IF(SUM('Actual species'!O900)&gt;=1,1,IF(SUM('Actual species'!O900)="X",1,0))</f>
        <v>0</v>
      </c>
      <c r="M900" s="2">
        <f>IF(SUM('Actual species'!P900)&gt;=1,1,IF(SUM('Actual species'!P900)="X",1,0))</f>
        <v>0</v>
      </c>
      <c r="N900" s="2">
        <f>IF(SUM('Actual species'!Q900)&gt;=1,1,IF(SUM('Actual species'!Q900)="X",1,0))</f>
        <v>0</v>
      </c>
      <c r="O900" s="2">
        <f>IF(SUM('Actual species'!R900)&gt;=1,1,IF(SUM('Actual species'!R900)="X",1,0))</f>
        <v>0</v>
      </c>
      <c r="P900" s="2">
        <f>IF(SUM('Actual species'!S900)&gt;=1,1,IF(SUM('Actual species'!S900)="X",1,0))</f>
        <v>0</v>
      </c>
      <c r="Q900" s="2">
        <f>IF(SUM('Actual species'!T900)&gt;=1,1,IF(SUM('Actual species'!T900)="X",1,0))</f>
        <v>0</v>
      </c>
      <c r="R900" s="2">
        <f>IF(SUM('Actual species'!U900)&gt;=1,1,IF(SUM('Actual species'!U900)="X",1,0))</f>
        <v>0</v>
      </c>
    </row>
    <row r="901" spans="1:18" x14ac:dyDescent="0.3">
      <c r="A901" s="113" t="str">
        <f>'Actual species'!A901</f>
        <v>Medon impar</v>
      </c>
      <c r="B901" s="66">
        <f>IF(SUM('Actual species'!B901:E901)&gt;=1,1,IF(SUM('Actual species'!B901:E901)="X",1,0))</f>
        <v>0</v>
      </c>
      <c r="C901" s="2">
        <f>IF(SUM('Actual species'!F901)&gt;=1,1,IF(SUM('Actual species'!F901)="X",1,0))</f>
        <v>0</v>
      </c>
      <c r="D901" s="2">
        <f>IF(SUM('Actual species'!G901)&gt;=1,1,IF(SUM('Actual species'!G901)="X",1,0))</f>
        <v>0</v>
      </c>
      <c r="E901" s="2">
        <f>IF(SUM('Actual species'!H901)&gt;=1,1,IF(SUM('Actual species'!H901)="X",1,0))</f>
        <v>0</v>
      </c>
      <c r="F901" s="2">
        <f>IF(SUM('Actual species'!I901)&gt;=1,1,IF(SUM('Actual species'!I901)="X",1,0))</f>
        <v>0</v>
      </c>
      <c r="G901" s="2">
        <f>IF(SUM('Actual species'!J901)&gt;=1,1,IF(SUM('Actual species'!J901)="X",1,0))</f>
        <v>0</v>
      </c>
      <c r="H901" s="2">
        <f>IF(SUM('Actual species'!K901)&gt;=1,1,IF(SUM('Actual species'!K901)="X",1,0))</f>
        <v>1</v>
      </c>
      <c r="I901" s="2">
        <f>IF(SUM('Actual species'!L901)&gt;=1,1,IF(SUM('Actual species'!L901)="X",1,0))</f>
        <v>0</v>
      </c>
      <c r="J901" s="2">
        <f>IF(SUM('Actual species'!M901)&gt;=1,1,IF(SUM('Actual species'!M901)="X",1,0))</f>
        <v>0</v>
      </c>
      <c r="K901" s="2">
        <f>IF(SUM('Actual species'!N901)&gt;=1,1,IF(SUM('Actual species'!N901)="X",1,0))</f>
        <v>0</v>
      </c>
      <c r="L901" s="2">
        <f>IF(SUM('Actual species'!O901)&gt;=1,1,IF(SUM('Actual species'!O901)="X",1,0))</f>
        <v>0</v>
      </c>
      <c r="M901" s="2">
        <f>IF(SUM('Actual species'!P901)&gt;=1,1,IF(SUM('Actual species'!P901)="X",1,0))</f>
        <v>0</v>
      </c>
      <c r="N901" s="2">
        <f>IF(SUM('Actual species'!Q901)&gt;=1,1,IF(SUM('Actual species'!Q901)="X",1,0))</f>
        <v>0</v>
      </c>
      <c r="O901" s="2">
        <f>IF(SUM('Actual species'!R901)&gt;=1,1,IF(SUM('Actual species'!R901)="X",1,0))</f>
        <v>0</v>
      </c>
      <c r="P901" s="2">
        <f>IF(SUM('Actual species'!S901)&gt;=1,1,IF(SUM('Actual species'!S901)="X",1,0))</f>
        <v>0</v>
      </c>
      <c r="Q901" s="2">
        <f>IF(SUM('Actual species'!T901)&gt;=1,1,IF(SUM('Actual species'!T901)="X",1,0))</f>
        <v>0</v>
      </c>
      <c r="R901" s="2">
        <f>IF(SUM('Actual species'!U901)&gt;=1,1,IF(SUM('Actual species'!U901)="X",1,0))</f>
        <v>0</v>
      </c>
    </row>
    <row r="902" spans="1:18" x14ac:dyDescent="0.3">
      <c r="A902" s="113" t="str">
        <f>'Actual species'!A902</f>
        <v>Medon lydicus</v>
      </c>
      <c r="B902" s="66">
        <f>IF(SUM('Actual species'!B902:E902)&gt;=1,1,IF(SUM('Actual species'!B902:E902)="X",1,0))</f>
        <v>0</v>
      </c>
      <c r="C902" s="2">
        <f>IF(SUM('Actual species'!F902)&gt;=1,1,IF(SUM('Actual species'!F902)="X",1,0))</f>
        <v>0</v>
      </c>
      <c r="D902" s="2">
        <f>IF(SUM('Actual species'!G902)&gt;=1,1,IF(SUM('Actual species'!G902)="X",1,0))</f>
        <v>1</v>
      </c>
      <c r="E902" s="2">
        <f>IF(SUM('Actual species'!H902)&gt;=1,1,IF(SUM('Actual species'!H902)="X",1,0))</f>
        <v>1</v>
      </c>
      <c r="F902" s="2">
        <f>IF(SUM('Actual species'!I902)&gt;=1,1,IF(SUM('Actual species'!I902)="X",1,0))</f>
        <v>1</v>
      </c>
      <c r="G902" s="2">
        <f>IF(SUM('Actual species'!J902)&gt;=1,1,IF(SUM('Actual species'!J902)="X",1,0))</f>
        <v>0</v>
      </c>
      <c r="H902" s="2">
        <f>IF(SUM('Actual species'!K902)&gt;=1,1,IF(SUM('Actual species'!K902)="X",1,0))</f>
        <v>1</v>
      </c>
      <c r="I902" s="2">
        <f>IF(SUM('Actual species'!L902)&gt;=1,1,IF(SUM('Actual species'!L902)="X",1,0))</f>
        <v>0</v>
      </c>
      <c r="J902" s="2">
        <f>IF(SUM('Actual species'!M902)&gt;=1,1,IF(SUM('Actual species'!M902)="X",1,0))</f>
        <v>0</v>
      </c>
      <c r="K902" s="2">
        <f>IF(SUM('Actual species'!N902)&gt;=1,1,IF(SUM('Actual species'!N902)="X",1,0))</f>
        <v>0</v>
      </c>
      <c r="L902" s="2">
        <f>IF(SUM('Actual species'!O902)&gt;=1,1,IF(SUM('Actual species'!O902)="X",1,0))</f>
        <v>0</v>
      </c>
      <c r="M902" s="2">
        <f>IF(SUM('Actual species'!P902)&gt;=1,1,IF(SUM('Actual species'!P902)="X",1,0))</f>
        <v>0</v>
      </c>
      <c r="N902" s="2">
        <f>IF(SUM('Actual species'!Q902)&gt;=1,1,IF(SUM('Actual species'!Q902)="X",1,0))</f>
        <v>0</v>
      </c>
      <c r="O902" s="2">
        <f>IF(SUM('Actual species'!R902)&gt;=1,1,IF(SUM('Actual species'!R902)="X",1,0))</f>
        <v>0</v>
      </c>
      <c r="P902" s="2">
        <f>IF(SUM('Actual species'!S902)&gt;=1,1,IF(SUM('Actual species'!S902)="X",1,0))</f>
        <v>0</v>
      </c>
      <c r="Q902" s="2">
        <f>IF(SUM('Actual species'!T902)&gt;=1,1,IF(SUM('Actual species'!T902)="X",1,0))</f>
        <v>0</v>
      </c>
      <c r="R902" s="2">
        <f>IF(SUM('Actual species'!U902)&gt;=1,1,IF(SUM('Actual species'!U902)="X",1,0))</f>
        <v>0</v>
      </c>
    </row>
    <row r="903" spans="1:18" x14ac:dyDescent="0.3">
      <c r="A903" s="113" t="str">
        <f>'Actual species'!A903</f>
        <v>Medon marmarisensis</v>
      </c>
      <c r="B903" s="66">
        <f>IF(SUM('Actual species'!B903:E903)&gt;=1,1,IF(SUM('Actual species'!B903:E903)="X",1,0))</f>
        <v>1</v>
      </c>
      <c r="C903" s="2">
        <f>IF(SUM('Actual species'!F903)&gt;=1,1,IF(SUM('Actual species'!F903)="X",1,0))</f>
        <v>0</v>
      </c>
      <c r="D903" s="2">
        <f>IF(SUM('Actual species'!G903)&gt;=1,1,IF(SUM('Actual species'!G903)="X",1,0))</f>
        <v>0</v>
      </c>
      <c r="E903" s="2">
        <f>IF(SUM('Actual species'!H903)&gt;=1,1,IF(SUM('Actual species'!H903)="X",1,0))</f>
        <v>0</v>
      </c>
      <c r="F903" s="2">
        <f>IF(SUM('Actual species'!I903)&gt;=1,1,IF(SUM('Actual species'!I903)="X",1,0))</f>
        <v>0</v>
      </c>
      <c r="G903" s="2">
        <f>IF(SUM('Actual species'!J903)&gt;=1,1,IF(SUM('Actual species'!J903)="X",1,0))</f>
        <v>0</v>
      </c>
      <c r="H903" s="2">
        <f>IF(SUM('Actual species'!K903)&gt;=1,1,IF(SUM('Actual species'!K903)="X",1,0))</f>
        <v>0</v>
      </c>
      <c r="I903" s="2">
        <f>IF(SUM('Actual species'!L903)&gt;=1,1,IF(SUM('Actual species'!L903)="X",1,0))</f>
        <v>0</v>
      </c>
      <c r="J903" s="2">
        <f>IF(SUM('Actual species'!M903)&gt;=1,1,IF(SUM('Actual species'!M903)="X",1,0))</f>
        <v>0</v>
      </c>
      <c r="K903" s="2">
        <f>IF(SUM('Actual species'!N903)&gt;=1,1,IF(SUM('Actual species'!N903)="X",1,0))</f>
        <v>0</v>
      </c>
      <c r="L903" s="2">
        <f>IF(SUM('Actual species'!O903)&gt;=1,1,IF(SUM('Actual species'!O903)="X",1,0))</f>
        <v>0</v>
      </c>
      <c r="M903" s="2">
        <f>IF(SUM('Actual species'!P903)&gt;=1,1,IF(SUM('Actual species'!P903)="X",1,0))</f>
        <v>0</v>
      </c>
      <c r="N903" s="2">
        <f>IF(SUM('Actual species'!Q903)&gt;=1,1,IF(SUM('Actual species'!Q903)="X",1,0))</f>
        <v>0</v>
      </c>
      <c r="O903" s="2">
        <f>IF(SUM('Actual species'!R903)&gt;=1,1,IF(SUM('Actual species'!R903)="X",1,0))</f>
        <v>0</v>
      </c>
      <c r="P903" s="2">
        <f>IF(SUM('Actual species'!S903)&gt;=1,1,IF(SUM('Actual species'!S903)="X",1,0))</f>
        <v>0</v>
      </c>
      <c r="Q903" s="2">
        <f>IF(SUM('Actual species'!T903)&gt;=1,1,IF(SUM('Actual species'!T903)="X",1,0))</f>
        <v>0</v>
      </c>
      <c r="R903" s="2">
        <f>IF(SUM('Actual species'!U903)&gt;=1,1,IF(SUM('Actual species'!U903)="X",1,0))</f>
        <v>0</v>
      </c>
    </row>
    <row r="904" spans="1:18" x14ac:dyDescent="0.3">
      <c r="A904" s="113" t="str">
        <f>'Actual species'!A904</f>
        <v>Medon maronitus</v>
      </c>
      <c r="B904" s="66">
        <f>IF(SUM('Actual species'!B904:E904)&gt;=1,1,IF(SUM('Actual species'!B904:E904)="X",1,0))</f>
        <v>0</v>
      </c>
      <c r="C904" s="2">
        <f>IF(SUM('Actual species'!F904)&gt;=1,1,IF(SUM('Actual species'!F904)="X",1,0))</f>
        <v>0</v>
      </c>
      <c r="D904" s="2">
        <f>IF(SUM('Actual species'!G904)&gt;=1,1,IF(SUM('Actual species'!G904)="X",1,0))</f>
        <v>0</v>
      </c>
      <c r="E904" s="2">
        <f>IF(SUM('Actual species'!H904)&gt;=1,1,IF(SUM('Actual species'!H904)="X",1,0))</f>
        <v>1</v>
      </c>
      <c r="F904" s="2">
        <f>IF(SUM('Actual species'!I904)&gt;=1,1,IF(SUM('Actual species'!I904)="X",1,0))</f>
        <v>1</v>
      </c>
      <c r="G904" s="2">
        <f>IF(SUM('Actual species'!J904)&gt;=1,1,IF(SUM('Actual species'!J904)="X",1,0))</f>
        <v>0</v>
      </c>
      <c r="H904" s="2">
        <f>IF(SUM('Actual species'!K904)&gt;=1,1,IF(SUM('Actual species'!K904)="X",1,0))</f>
        <v>1</v>
      </c>
      <c r="I904" s="2">
        <f>IF(SUM('Actual species'!L904)&gt;=1,1,IF(SUM('Actual species'!L904)="X",1,0))</f>
        <v>0</v>
      </c>
      <c r="J904" s="2">
        <f>IF(SUM('Actual species'!M904)&gt;=1,1,IF(SUM('Actual species'!M904)="X",1,0))</f>
        <v>0</v>
      </c>
      <c r="K904" s="2">
        <f>IF(SUM('Actual species'!N904)&gt;=1,1,IF(SUM('Actual species'!N904)="X",1,0))</f>
        <v>0</v>
      </c>
      <c r="L904" s="2">
        <f>IF(SUM('Actual species'!O904)&gt;=1,1,IF(SUM('Actual species'!O904)="X",1,0))</f>
        <v>0</v>
      </c>
      <c r="M904" s="2">
        <f>IF(SUM('Actual species'!P904)&gt;=1,1,IF(SUM('Actual species'!P904)="X",1,0))</f>
        <v>0</v>
      </c>
      <c r="N904" s="2">
        <f>IF(SUM('Actual species'!Q904)&gt;=1,1,IF(SUM('Actual species'!Q904)="X",1,0))</f>
        <v>0</v>
      </c>
      <c r="O904" s="2">
        <f>IF(SUM('Actual species'!R904)&gt;=1,1,IF(SUM('Actual species'!R904)="X",1,0))</f>
        <v>0</v>
      </c>
      <c r="P904" s="2">
        <f>IF(SUM('Actual species'!S904)&gt;=1,1,IF(SUM('Actual species'!S904)="X",1,0))</f>
        <v>0</v>
      </c>
      <c r="Q904" s="2">
        <f>IF(SUM('Actual species'!T904)&gt;=1,1,IF(SUM('Actual species'!T904)="X",1,0))</f>
        <v>0</v>
      </c>
      <c r="R904" s="2">
        <f>IF(SUM('Actual species'!U904)&gt;=1,1,IF(SUM('Actual species'!U904)="X",1,0))</f>
        <v>0</v>
      </c>
    </row>
    <row r="905" spans="1:18" x14ac:dyDescent="0.3">
      <c r="A905" s="113" t="str">
        <f>'Actual species'!A905</f>
        <v>Medon rufiventris</v>
      </c>
      <c r="B905" s="66">
        <f>IF(SUM('Actual species'!B905:E905)&gt;=1,1,IF(SUM('Actual species'!B905:E905)="X",1,0))</f>
        <v>0</v>
      </c>
      <c r="C905" s="2">
        <f>IF(SUM('Actual species'!F905)&gt;=1,1,IF(SUM('Actual species'!F905)="X",1,0))</f>
        <v>0</v>
      </c>
      <c r="D905" s="2">
        <f>IF(SUM('Actual species'!G905)&gt;=1,1,IF(SUM('Actual species'!G905)="X",1,0))</f>
        <v>0</v>
      </c>
      <c r="E905" s="2">
        <f>IF(SUM('Actual species'!H905)&gt;=1,1,IF(SUM('Actual species'!H905)="X",1,0))</f>
        <v>0</v>
      </c>
      <c r="F905" s="2">
        <f>IF(SUM('Actual species'!I905)&gt;=1,1,IF(SUM('Actual species'!I905)="X",1,0))</f>
        <v>1</v>
      </c>
      <c r="G905" s="2">
        <f>IF(SUM('Actual species'!J905)&gt;=1,1,IF(SUM('Actual species'!J905)="X",1,0))</f>
        <v>0</v>
      </c>
      <c r="H905" s="2">
        <f>IF(SUM('Actual species'!K905)&gt;=1,1,IF(SUM('Actual species'!K905)="X",1,0))</f>
        <v>0</v>
      </c>
      <c r="I905" s="2">
        <f>IF(SUM('Actual species'!L905)&gt;=1,1,IF(SUM('Actual species'!L905)="X",1,0))</f>
        <v>0</v>
      </c>
      <c r="J905" s="2">
        <f>IF(SUM('Actual species'!M905)&gt;=1,1,IF(SUM('Actual species'!M905)="X",1,0))</f>
        <v>0</v>
      </c>
      <c r="K905" s="2">
        <f>IF(SUM('Actual species'!N905)&gt;=1,1,IF(SUM('Actual species'!N905)="X",1,0))</f>
        <v>0</v>
      </c>
      <c r="L905" s="2">
        <f>IF(SUM('Actual species'!O905)&gt;=1,1,IF(SUM('Actual species'!O905)="X",1,0))</f>
        <v>0</v>
      </c>
      <c r="M905" s="2">
        <f>IF(SUM('Actual species'!P905)&gt;=1,1,IF(SUM('Actual species'!P905)="X",1,0))</f>
        <v>0</v>
      </c>
      <c r="N905" s="2">
        <f>IF(SUM('Actual species'!Q905)&gt;=1,1,IF(SUM('Actual species'!Q905)="X",1,0))</f>
        <v>0</v>
      </c>
      <c r="O905" s="2">
        <f>IF(SUM('Actual species'!R905)&gt;=1,1,IF(SUM('Actual species'!R905)="X",1,0))</f>
        <v>0</v>
      </c>
      <c r="P905" s="2">
        <f>IF(SUM('Actual species'!S905)&gt;=1,1,IF(SUM('Actual species'!S905)="X",1,0))</f>
        <v>0</v>
      </c>
      <c r="Q905" s="2">
        <f>IF(SUM('Actual species'!T905)&gt;=1,1,IF(SUM('Actual species'!T905)="X",1,0))</f>
        <v>0</v>
      </c>
      <c r="R905" s="2">
        <f>IF(SUM('Actual species'!U905)&gt;=1,1,IF(SUM('Actual species'!U905)="X",1,0))</f>
        <v>0</v>
      </c>
    </row>
    <row r="906" spans="1:18" x14ac:dyDescent="0.3">
      <c r="A906" s="113" t="str">
        <f>'Actual species'!A906</f>
        <v>Medon semiobscurus</v>
      </c>
      <c r="B906" s="66">
        <f>IF(SUM('Actual species'!B906:E906)&gt;=1,1,IF(SUM('Actual species'!B906:E906)="X",1,0))</f>
        <v>0</v>
      </c>
      <c r="C906" s="2">
        <f>IF(SUM('Actual species'!F906)&gt;=1,1,IF(SUM('Actual species'!F906)="X",1,0))</f>
        <v>0</v>
      </c>
      <c r="D906" s="2">
        <f>IF(SUM('Actual species'!G906)&gt;=1,1,IF(SUM('Actual species'!G906)="X",1,0))</f>
        <v>0</v>
      </c>
      <c r="E906" s="2">
        <f>IF(SUM('Actual species'!H906)&gt;=1,1,IF(SUM('Actual species'!H906)="X",1,0))</f>
        <v>1</v>
      </c>
      <c r="F906" s="2">
        <f>IF(SUM('Actual species'!I906)&gt;=1,1,IF(SUM('Actual species'!I906)="X",1,0))</f>
        <v>1</v>
      </c>
      <c r="G906" s="2">
        <f>IF(SUM('Actual species'!J906)&gt;=1,1,IF(SUM('Actual species'!J906)="X",1,0))</f>
        <v>0</v>
      </c>
      <c r="H906" s="2">
        <f>IF(SUM('Actual species'!K906)&gt;=1,1,IF(SUM('Actual species'!K906)="X",1,0))</f>
        <v>1</v>
      </c>
      <c r="I906" s="2">
        <f>IF(SUM('Actual species'!L906)&gt;=1,1,IF(SUM('Actual species'!L906)="X",1,0))</f>
        <v>1</v>
      </c>
      <c r="J906" s="2">
        <f>IF(SUM('Actual species'!M906)&gt;=1,1,IF(SUM('Actual species'!M906)="X",1,0))</f>
        <v>0</v>
      </c>
      <c r="K906" s="2">
        <f>IF(SUM('Actual species'!N906)&gt;=1,1,IF(SUM('Actual species'!N906)="X",1,0))</f>
        <v>1</v>
      </c>
      <c r="L906" s="2">
        <f>IF(SUM('Actual species'!O906)&gt;=1,1,IF(SUM('Actual species'!O906)="X",1,0))</f>
        <v>0</v>
      </c>
      <c r="M906" s="2">
        <f>IF(SUM('Actual species'!P906)&gt;=1,1,IF(SUM('Actual species'!P906)="X",1,0))</f>
        <v>0</v>
      </c>
      <c r="N906" s="2">
        <f>IF(SUM('Actual species'!Q906)&gt;=1,1,IF(SUM('Actual species'!Q906)="X",1,0))</f>
        <v>0</v>
      </c>
      <c r="O906" s="2">
        <f>IF(SUM('Actual species'!R906)&gt;=1,1,IF(SUM('Actual species'!R906)="X",1,0))</f>
        <v>0</v>
      </c>
      <c r="P906" s="2">
        <f>IF(SUM('Actual species'!S906)&gt;=1,1,IF(SUM('Actual species'!S906)="X",1,0))</f>
        <v>0</v>
      </c>
      <c r="Q906" s="2">
        <f>IF(SUM('Actual species'!T906)&gt;=1,1,IF(SUM('Actual species'!T906)="X",1,0))</f>
        <v>0</v>
      </c>
      <c r="R906" s="2">
        <f>IF(SUM('Actual species'!U906)&gt;=1,1,IF(SUM('Actual species'!U906)="X",1,0))</f>
        <v>0</v>
      </c>
    </row>
    <row r="907" spans="1:18" x14ac:dyDescent="0.3">
      <c r="A907" s="113" t="str">
        <f>'Actual species'!A907</f>
        <v>Medon sp.</v>
      </c>
      <c r="B907" s="66">
        <f>IF(SUM('Actual species'!B907:E907)&gt;=1,1,IF(SUM('Actual species'!B907:E907)="X",1,0))</f>
        <v>0</v>
      </c>
      <c r="C907" s="2">
        <f>IF(SUM('Actual species'!F907)&gt;=1,1,IF(SUM('Actual species'!F907)="X",1,0))</f>
        <v>1</v>
      </c>
      <c r="D907" s="2">
        <f>IF(SUM('Actual species'!G907)&gt;=1,1,IF(SUM('Actual species'!G907)="X",1,0))</f>
        <v>0</v>
      </c>
      <c r="E907" s="2">
        <f>IF(SUM('Actual species'!H907)&gt;=1,1,IF(SUM('Actual species'!H907)="X",1,0))</f>
        <v>0</v>
      </c>
      <c r="F907" s="2">
        <f>IF(SUM('Actual species'!I907)&gt;=1,1,IF(SUM('Actual species'!I907)="X",1,0))</f>
        <v>0</v>
      </c>
      <c r="G907" s="2">
        <f>IF(SUM('Actual species'!J907)&gt;=1,1,IF(SUM('Actual species'!J907)="X",1,0))</f>
        <v>0</v>
      </c>
      <c r="H907" s="2">
        <f>IF(SUM('Actual species'!K907)&gt;=1,1,IF(SUM('Actual species'!K907)="X",1,0))</f>
        <v>0</v>
      </c>
      <c r="I907" s="2">
        <f>IF(SUM('Actual species'!L907)&gt;=1,1,IF(SUM('Actual species'!L907)="X",1,0))</f>
        <v>0</v>
      </c>
      <c r="J907" s="2">
        <f>IF(SUM('Actual species'!M907)&gt;=1,1,IF(SUM('Actual species'!M907)="X",1,0))</f>
        <v>0</v>
      </c>
      <c r="K907" s="2">
        <f>IF(SUM('Actual species'!N907)&gt;=1,1,IF(SUM('Actual species'!N907)="X",1,0))</f>
        <v>0</v>
      </c>
      <c r="L907" s="2">
        <f>IF(SUM('Actual species'!O907)&gt;=1,1,IF(SUM('Actual species'!O907)="X",1,0))</f>
        <v>0</v>
      </c>
      <c r="M907" s="2">
        <f>IF(SUM('Actual species'!P907)&gt;=1,1,IF(SUM('Actual species'!P907)="X",1,0))</f>
        <v>0</v>
      </c>
      <c r="N907" s="2">
        <f>IF(SUM('Actual species'!Q907)&gt;=1,1,IF(SUM('Actual species'!Q907)="X",1,0))</f>
        <v>0</v>
      </c>
      <c r="O907" s="2">
        <f>IF(SUM('Actual species'!R907)&gt;=1,1,IF(SUM('Actual species'!R907)="X",1,0))</f>
        <v>0</v>
      </c>
      <c r="P907" s="2">
        <f>IF(SUM('Actual species'!S907)&gt;=1,1,IF(SUM('Actual species'!S907)="X",1,0))</f>
        <v>0</v>
      </c>
      <c r="Q907" s="2">
        <f>IF(SUM('Actual species'!T907)&gt;=1,1,IF(SUM('Actual species'!T907)="X",1,0))</f>
        <v>0</v>
      </c>
      <c r="R907" s="2">
        <f>IF(SUM('Actual species'!U907)&gt;=1,1,IF(SUM('Actual species'!U907)="X",1,0))</f>
        <v>0</v>
      </c>
    </row>
    <row r="908" spans="1:18" x14ac:dyDescent="0.3">
      <c r="A908" s="113" t="str">
        <f>'Actual species'!A908</f>
        <v>Medon subfusculus</v>
      </c>
      <c r="B908" s="66">
        <f>IF(SUM('Actual species'!B908:E908)&gt;=1,1,IF(SUM('Actual species'!B908:E908)="X",1,0))</f>
        <v>0</v>
      </c>
      <c r="C908" s="2">
        <f>IF(SUM('Actual species'!F908)&gt;=1,1,IF(SUM('Actual species'!F908)="X",1,0))</f>
        <v>0</v>
      </c>
      <c r="D908" s="2">
        <f>IF(SUM('Actual species'!G908)&gt;=1,1,IF(SUM('Actual species'!G908)="X",1,0))</f>
        <v>0</v>
      </c>
      <c r="E908" s="2">
        <f>IF(SUM('Actual species'!H908)&gt;=1,1,IF(SUM('Actual species'!H908)="X",1,0))</f>
        <v>1</v>
      </c>
      <c r="F908" s="2">
        <f>IF(SUM('Actual species'!I908)&gt;=1,1,IF(SUM('Actual species'!I908)="X",1,0))</f>
        <v>0</v>
      </c>
      <c r="G908" s="2">
        <f>IF(SUM('Actual species'!J908)&gt;=1,1,IF(SUM('Actual species'!J908)="X",1,0))</f>
        <v>0</v>
      </c>
      <c r="H908" s="2">
        <f>IF(SUM('Actual species'!K908)&gt;=1,1,IF(SUM('Actual species'!K908)="X",1,0))</f>
        <v>0</v>
      </c>
      <c r="I908" s="2">
        <f>IF(SUM('Actual species'!L908)&gt;=1,1,IF(SUM('Actual species'!L908)="X",1,0))</f>
        <v>0</v>
      </c>
      <c r="J908" s="2">
        <f>IF(SUM('Actual species'!M908)&gt;=1,1,IF(SUM('Actual species'!M908)="X",1,0))</f>
        <v>0</v>
      </c>
      <c r="K908" s="2">
        <f>IF(SUM('Actual species'!N908)&gt;=1,1,IF(SUM('Actual species'!N908)="X",1,0))</f>
        <v>1</v>
      </c>
      <c r="L908" s="2">
        <f>IF(SUM('Actual species'!O908)&gt;=1,1,IF(SUM('Actual species'!O908)="X",1,0))</f>
        <v>0</v>
      </c>
      <c r="M908" s="2">
        <f>IF(SUM('Actual species'!P908)&gt;=1,1,IF(SUM('Actual species'!P908)="X",1,0))</f>
        <v>0</v>
      </c>
      <c r="N908" s="2">
        <f>IF(SUM('Actual species'!Q908)&gt;=1,1,IF(SUM('Actual species'!Q908)="X",1,0))</f>
        <v>0</v>
      </c>
      <c r="O908" s="2">
        <f>IF(SUM('Actual species'!R908)&gt;=1,1,IF(SUM('Actual species'!R908)="X",1,0))</f>
        <v>0</v>
      </c>
      <c r="P908" s="2">
        <f>IF(SUM('Actual species'!S908)&gt;=1,1,IF(SUM('Actual species'!S908)="X",1,0))</f>
        <v>0</v>
      </c>
      <c r="Q908" s="2">
        <f>IF(SUM('Actual species'!T908)&gt;=1,1,IF(SUM('Actual species'!T908)="X",1,0))</f>
        <v>0</v>
      </c>
      <c r="R908" s="2">
        <f>IF(SUM('Actual species'!U908)&gt;=1,1,IF(SUM('Actual species'!U908)="X",1,0))</f>
        <v>0</v>
      </c>
    </row>
    <row r="909" spans="1:18" x14ac:dyDescent="0.3">
      <c r="A909" s="113" t="str">
        <f>'Actual species'!A909</f>
        <v>Mircanops pilicornis</v>
      </c>
      <c r="B909" s="66">
        <f>IF(SUM('Actual species'!B909:E909)&gt;=1,1,IF(SUM('Actual species'!B909:E909)="X",1,0))</f>
        <v>0</v>
      </c>
      <c r="C909" s="2">
        <f>IF(SUM('Actual species'!F909)&gt;=1,1,IF(SUM('Actual species'!F909)="X",1,0))</f>
        <v>0</v>
      </c>
      <c r="D909" s="2">
        <f>IF(SUM('Actual species'!G909)&gt;=1,1,IF(SUM('Actual species'!G909)="X",1,0))</f>
        <v>0</v>
      </c>
      <c r="E909" s="2">
        <f>IF(SUM('Actual species'!H909)&gt;=1,1,IF(SUM('Actual species'!H909)="X",1,0))</f>
        <v>0</v>
      </c>
      <c r="F909" s="2">
        <f>IF(SUM('Actual species'!I909)&gt;=1,1,IF(SUM('Actual species'!I909)="X",1,0))</f>
        <v>1</v>
      </c>
      <c r="G909" s="2">
        <f>IF(SUM('Actual species'!J909)&gt;=1,1,IF(SUM('Actual species'!J909)="X",1,0))</f>
        <v>0</v>
      </c>
      <c r="H909" s="2">
        <f>IF(SUM('Actual species'!K909)&gt;=1,1,IF(SUM('Actual species'!K909)="X",1,0))</f>
        <v>1</v>
      </c>
      <c r="I909" s="2">
        <f>IF(SUM('Actual species'!L909)&gt;=1,1,IF(SUM('Actual species'!L909)="X",1,0))</f>
        <v>0</v>
      </c>
      <c r="J909" s="2">
        <f>IF(SUM('Actual species'!M909)&gt;=1,1,IF(SUM('Actual species'!M909)="X",1,0))</f>
        <v>0</v>
      </c>
      <c r="K909" s="2">
        <f>IF(SUM('Actual species'!N909)&gt;=1,1,IF(SUM('Actual species'!N909)="X",1,0))</f>
        <v>0</v>
      </c>
      <c r="L909" s="2">
        <f>IF(SUM('Actual species'!O909)&gt;=1,1,IF(SUM('Actual species'!O909)="X",1,0))</f>
        <v>0</v>
      </c>
      <c r="M909" s="2">
        <f>IF(SUM('Actual species'!P909)&gt;=1,1,IF(SUM('Actual species'!P909)="X",1,0))</f>
        <v>0</v>
      </c>
      <c r="N909" s="2">
        <f>IF(SUM('Actual species'!Q909)&gt;=1,1,IF(SUM('Actual species'!Q909)="X",1,0))</f>
        <v>0</v>
      </c>
      <c r="O909" s="2">
        <f>IF(SUM('Actual species'!R909)&gt;=1,1,IF(SUM('Actual species'!R909)="X",1,0))</f>
        <v>0</v>
      </c>
      <c r="P909" s="2">
        <f>IF(SUM('Actual species'!S909)&gt;=1,1,IF(SUM('Actual species'!S909)="X",1,0))</f>
        <v>0</v>
      </c>
      <c r="Q909" s="2">
        <f>IF(SUM('Actual species'!T909)&gt;=1,1,IF(SUM('Actual species'!T909)="X",1,0))</f>
        <v>0</v>
      </c>
      <c r="R909" s="2">
        <f>IF(SUM('Actual species'!U909)&gt;=1,1,IF(SUM('Actual species'!U909)="X",1,0))</f>
        <v>0</v>
      </c>
    </row>
    <row r="910" spans="1:18" x14ac:dyDescent="0.3">
      <c r="A910" s="113" t="str">
        <f>'Actual species'!A910</f>
        <v>Micrillus testaceus</v>
      </c>
      <c r="B910" s="66">
        <f>IF(SUM('Actual species'!B910:E910)&gt;=1,1,IF(SUM('Actual species'!B910:E910)="X",1,0))</f>
        <v>0</v>
      </c>
      <c r="C910" s="2">
        <f>IF(SUM('Actual species'!F910)&gt;=1,1,IF(SUM('Actual species'!F910)="X",1,0))</f>
        <v>0</v>
      </c>
      <c r="D910" s="2">
        <f>IF(SUM('Actual species'!G910)&gt;=1,1,IF(SUM('Actual species'!G910)="X",1,0))</f>
        <v>0</v>
      </c>
      <c r="E910" s="2">
        <f>IF(SUM('Actual species'!H910)&gt;=1,1,IF(SUM('Actual species'!H910)="X",1,0))</f>
        <v>0</v>
      </c>
      <c r="F910" s="2">
        <f>IF(SUM('Actual species'!I910)&gt;=1,1,IF(SUM('Actual species'!I910)="X",1,0))</f>
        <v>1</v>
      </c>
      <c r="G910" s="2">
        <f>IF(SUM('Actual species'!J910)&gt;=1,1,IF(SUM('Actual species'!J910)="X",1,0))</f>
        <v>0</v>
      </c>
      <c r="H910" s="2">
        <f>IF(SUM('Actual species'!K910)&gt;=1,1,IF(SUM('Actual species'!K910)="X",1,0))</f>
        <v>1</v>
      </c>
      <c r="I910" s="2">
        <f>IF(SUM('Actual species'!L910)&gt;=1,1,IF(SUM('Actual species'!L910)="X",1,0))</f>
        <v>1</v>
      </c>
      <c r="J910" s="2">
        <f>IF(SUM('Actual species'!M910)&gt;=1,1,IF(SUM('Actual species'!M910)="X",1,0))</f>
        <v>0</v>
      </c>
      <c r="K910" s="2">
        <f>IF(SUM('Actual species'!N910)&gt;=1,1,IF(SUM('Actual species'!N910)="X",1,0))</f>
        <v>0</v>
      </c>
      <c r="L910" s="2">
        <f>IF(SUM('Actual species'!O910)&gt;=1,1,IF(SUM('Actual species'!O910)="X",1,0))</f>
        <v>0</v>
      </c>
      <c r="M910" s="2">
        <f>IF(SUM('Actual species'!P910)&gt;=1,1,IF(SUM('Actual species'!P910)="X",1,0))</f>
        <v>0</v>
      </c>
      <c r="N910" s="2">
        <f>IF(SUM('Actual species'!Q910)&gt;=1,1,IF(SUM('Actual species'!Q910)="X",1,0))</f>
        <v>0</v>
      </c>
      <c r="O910" s="2">
        <f>IF(SUM('Actual species'!R910)&gt;=1,1,IF(SUM('Actual species'!R910)="X",1,0))</f>
        <v>0</v>
      </c>
      <c r="P910" s="2">
        <f>IF(SUM('Actual species'!S910)&gt;=1,1,IF(SUM('Actual species'!S910)="X",1,0))</f>
        <v>0</v>
      </c>
      <c r="Q910" s="2">
        <f>IF(SUM('Actual species'!T910)&gt;=1,1,IF(SUM('Actual species'!T910)="X",1,0))</f>
        <v>0</v>
      </c>
      <c r="R910" s="2">
        <f>IF(SUM('Actual species'!U910)&gt;=1,1,IF(SUM('Actual species'!U910)="X",1,0))</f>
        <v>0</v>
      </c>
    </row>
    <row r="911" spans="1:18" x14ac:dyDescent="0.3">
      <c r="A911" s="113" t="str">
        <f>'Actual species'!A911</f>
        <v>Ochthephilum brevipenne</v>
      </c>
      <c r="B911" s="66">
        <f>IF(SUM('Actual species'!B911:E911)&gt;=1,1,IF(SUM('Actual species'!B911:E911)="X",1,0))</f>
        <v>0</v>
      </c>
      <c r="C911" s="2">
        <f>IF(SUM('Actual species'!F911)&gt;=1,1,IF(SUM('Actual species'!F911)="X",1,0))</f>
        <v>0</v>
      </c>
      <c r="D911" s="2">
        <f>IF(SUM('Actual species'!G911)&gt;=1,1,IF(SUM('Actual species'!G911)="X",1,0))</f>
        <v>0</v>
      </c>
      <c r="E911" s="2">
        <f>IF(SUM('Actual species'!H911)&gt;=1,1,IF(SUM('Actual species'!H911)="X",1,0))</f>
        <v>1</v>
      </c>
      <c r="F911" s="2">
        <f>IF(SUM('Actual species'!I911)&gt;=1,1,IF(SUM('Actual species'!I911)="X",1,0))</f>
        <v>1</v>
      </c>
      <c r="G911" s="2">
        <f>IF(SUM('Actual species'!J911)&gt;=1,1,IF(SUM('Actual species'!J911)="X",1,0))</f>
        <v>0</v>
      </c>
      <c r="H911" s="2">
        <f>IF(SUM('Actual species'!K911)&gt;=1,1,IF(SUM('Actual species'!K911)="X",1,0))</f>
        <v>0</v>
      </c>
      <c r="I911" s="2">
        <f>IF(SUM('Actual species'!L911)&gt;=1,1,IF(SUM('Actual species'!L911)="X",1,0))</f>
        <v>0</v>
      </c>
      <c r="J911" s="2">
        <f>IF(SUM('Actual species'!M911)&gt;=1,1,IF(SUM('Actual species'!M911)="X",1,0))</f>
        <v>0</v>
      </c>
      <c r="K911" s="2">
        <f>IF(SUM('Actual species'!N911)&gt;=1,1,IF(SUM('Actual species'!N911)="X",1,0))</f>
        <v>1</v>
      </c>
      <c r="L911" s="2">
        <f>IF(SUM('Actual species'!O911)&gt;=1,1,IF(SUM('Actual species'!O911)="X",1,0))</f>
        <v>0</v>
      </c>
      <c r="M911" s="2">
        <f>IF(SUM('Actual species'!P911)&gt;=1,1,IF(SUM('Actual species'!P911)="X",1,0))</f>
        <v>0</v>
      </c>
      <c r="N911" s="2">
        <f>IF(SUM('Actual species'!Q911)&gt;=1,1,IF(SUM('Actual species'!Q911)="X",1,0))</f>
        <v>0</v>
      </c>
      <c r="O911" s="2">
        <f>IF(SUM('Actual species'!R911)&gt;=1,1,IF(SUM('Actual species'!R911)="X",1,0))</f>
        <v>0</v>
      </c>
      <c r="P911" s="2">
        <f>IF(SUM('Actual species'!S911)&gt;=1,1,IF(SUM('Actual species'!S911)="X",1,0))</f>
        <v>0</v>
      </c>
      <c r="Q911" s="2">
        <f>IF(SUM('Actual species'!T911)&gt;=1,1,IF(SUM('Actual species'!T911)="X",1,0))</f>
        <v>0</v>
      </c>
      <c r="R911" s="2">
        <f>IF(SUM('Actual species'!U911)&gt;=1,1,IF(SUM('Actual species'!U911)="X",1,0))</f>
        <v>0</v>
      </c>
    </row>
    <row r="912" spans="1:18" x14ac:dyDescent="0.3">
      <c r="A912" s="113" t="str">
        <f>'Actual species'!A912</f>
        <v>Ochthephilum cf. Collare</v>
      </c>
      <c r="B912" s="66">
        <f>IF(SUM('Actual species'!B912:E912)&gt;=1,1,IF(SUM('Actual species'!B912:E912)="X",1,0))</f>
        <v>0</v>
      </c>
      <c r="C912" s="2">
        <f>IF(SUM('Actual species'!F912)&gt;=1,1,IF(SUM('Actual species'!F912)="X",1,0))</f>
        <v>0</v>
      </c>
      <c r="D912" s="2">
        <f>IF(SUM('Actual species'!G912)&gt;=1,1,IF(SUM('Actual species'!G912)="X",1,0))</f>
        <v>0</v>
      </c>
      <c r="E912" s="2">
        <f>IF(SUM('Actual species'!H912)&gt;=1,1,IF(SUM('Actual species'!H912)="X",1,0))</f>
        <v>0</v>
      </c>
      <c r="F912" s="2">
        <f>IF(SUM('Actual species'!I912)&gt;=1,1,IF(SUM('Actual species'!I912)="X",1,0))</f>
        <v>0</v>
      </c>
      <c r="G912" s="2">
        <f>IF(SUM('Actual species'!J912)&gt;=1,1,IF(SUM('Actual species'!J912)="X",1,0))</f>
        <v>1</v>
      </c>
      <c r="H912" s="2">
        <f>IF(SUM('Actual species'!K912)&gt;=1,1,IF(SUM('Actual species'!K912)="X",1,0))</f>
        <v>0</v>
      </c>
      <c r="I912" s="2">
        <f>IF(SUM('Actual species'!L912)&gt;=1,1,IF(SUM('Actual species'!L912)="X",1,0))</f>
        <v>0</v>
      </c>
      <c r="J912" s="2">
        <f>IF(SUM('Actual species'!M912)&gt;=1,1,IF(SUM('Actual species'!M912)="X",1,0))</f>
        <v>0</v>
      </c>
      <c r="K912" s="2">
        <f>IF(SUM('Actual species'!N912)&gt;=1,1,IF(SUM('Actual species'!N912)="X",1,0))</f>
        <v>0</v>
      </c>
      <c r="L912" s="2">
        <f>IF(SUM('Actual species'!O912)&gt;=1,1,IF(SUM('Actual species'!O912)="X",1,0))</f>
        <v>0</v>
      </c>
      <c r="M912" s="2">
        <f>IF(SUM('Actual species'!P912)&gt;=1,1,IF(SUM('Actual species'!P912)="X",1,0))</f>
        <v>0</v>
      </c>
      <c r="N912" s="2">
        <f>IF(SUM('Actual species'!Q912)&gt;=1,1,IF(SUM('Actual species'!Q912)="X",1,0))</f>
        <v>0</v>
      </c>
      <c r="O912" s="2">
        <f>IF(SUM('Actual species'!R912)&gt;=1,1,IF(SUM('Actual species'!R912)="X",1,0))</f>
        <v>0</v>
      </c>
      <c r="P912" s="2">
        <f>IF(SUM('Actual species'!S912)&gt;=1,1,IF(SUM('Actual species'!S912)="X",1,0))</f>
        <v>0</v>
      </c>
      <c r="Q912" s="2">
        <f>IF(SUM('Actual species'!T912)&gt;=1,1,IF(SUM('Actual species'!T912)="X",1,0))</f>
        <v>0</v>
      </c>
      <c r="R912" s="2">
        <f>IF(SUM('Actual species'!U912)&gt;=1,1,IF(SUM('Actual species'!U912)="X",1,0))</f>
        <v>0</v>
      </c>
    </row>
    <row r="913" spans="1:18" x14ac:dyDescent="0.3">
      <c r="A913" s="113" t="str">
        <f>'Actual species'!A913</f>
        <v>Ochthephilum collare</v>
      </c>
      <c r="B913" s="66">
        <f>IF(SUM('Actual species'!B913:E913)&gt;=1,1,IF(SUM('Actual species'!B913:E913)="X",1,0))</f>
        <v>0</v>
      </c>
      <c r="C913" s="2">
        <f>IF(SUM('Actual species'!F913)&gt;=1,1,IF(SUM('Actual species'!F913)="X",1,0))</f>
        <v>0</v>
      </c>
      <c r="D913" s="2">
        <f>IF(SUM('Actual species'!G913)&gt;=1,1,IF(SUM('Actual species'!G913)="X",1,0))</f>
        <v>0</v>
      </c>
      <c r="E913" s="2">
        <f>IF(SUM('Actual species'!H913)&gt;=1,1,IF(SUM('Actual species'!H913)="X",1,0))</f>
        <v>0</v>
      </c>
      <c r="F913" s="2">
        <f>IF(SUM('Actual species'!I913)&gt;=1,1,IF(SUM('Actual species'!I913)="X",1,0))</f>
        <v>0</v>
      </c>
      <c r="G913" s="2">
        <f>IF(SUM('Actual species'!J913)&gt;=1,1,IF(SUM('Actual species'!J913)="X",1,0))</f>
        <v>0</v>
      </c>
      <c r="H913" s="2">
        <f>IF(SUM('Actual species'!K913)&gt;=1,1,IF(SUM('Actual species'!K913)="X",1,0))</f>
        <v>0</v>
      </c>
      <c r="I913" s="2">
        <f>IF(SUM('Actual species'!L913)&gt;=1,1,IF(SUM('Actual species'!L913)="X",1,0))</f>
        <v>0</v>
      </c>
      <c r="J913" s="2">
        <f>IF(SUM('Actual species'!M913)&gt;=1,1,IF(SUM('Actual species'!M913)="X",1,0))</f>
        <v>1</v>
      </c>
      <c r="K913" s="2">
        <f>IF(SUM('Actual species'!N913)&gt;=1,1,IF(SUM('Actual species'!N913)="X",1,0))</f>
        <v>0</v>
      </c>
      <c r="L913" s="2">
        <f>IF(SUM('Actual species'!O913)&gt;=1,1,IF(SUM('Actual species'!O913)="X",1,0))</f>
        <v>0</v>
      </c>
      <c r="M913" s="2">
        <f>IF(SUM('Actual species'!P913)&gt;=1,1,IF(SUM('Actual species'!P913)="X",1,0))</f>
        <v>0</v>
      </c>
      <c r="N913" s="2">
        <f>IF(SUM('Actual species'!Q913)&gt;=1,1,IF(SUM('Actual species'!Q913)="X",1,0))</f>
        <v>0</v>
      </c>
      <c r="O913" s="2">
        <f>IF(SUM('Actual species'!R913)&gt;=1,1,IF(SUM('Actual species'!R913)="X",1,0))</f>
        <v>0</v>
      </c>
      <c r="P913" s="2">
        <f>IF(SUM('Actual species'!S913)&gt;=1,1,IF(SUM('Actual species'!S913)="X",1,0))</f>
        <v>0</v>
      </c>
      <c r="Q913" s="2">
        <f>IF(SUM('Actual species'!T913)&gt;=1,1,IF(SUM('Actual species'!T913)="X",1,0))</f>
        <v>0</v>
      </c>
      <c r="R913" s="2">
        <f>IF(SUM('Actual species'!U913)&gt;=1,1,IF(SUM('Actual species'!U913)="X",1,0))</f>
        <v>0</v>
      </c>
    </row>
    <row r="914" spans="1:18" x14ac:dyDescent="0.3">
      <c r="A914" s="113" t="str">
        <f>'Actual species'!A914</f>
        <v>Ochthephilum turkestanicum</v>
      </c>
      <c r="B914" s="66">
        <f>IF(SUM('Actual species'!B914:E914)&gt;=1,1,IF(SUM('Actual species'!B914:E914)="X",1,0))</f>
        <v>0</v>
      </c>
      <c r="C914" s="2">
        <f>IF(SUM('Actual species'!F914)&gt;=1,1,IF(SUM('Actual species'!F914)="X",1,0))</f>
        <v>0</v>
      </c>
      <c r="D914" s="2">
        <f>IF(SUM('Actual species'!G914)&gt;=1,1,IF(SUM('Actual species'!G914)="X",1,0))</f>
        <v>0</v>
      </c>
      <c r="E914" s="2">
        <f>IF(SUM('Actual species'!H914)&gt;=1,1,IF(SUM('Actual species'!H914)="X",1,0))</f>
        <v>0</v>
      </c>
      <c r="F914" s="2">
        <f>IF(SUM('Actual species'!I914)&gt;=1,1,IF(SUM('Actual species'!I914)="X",1,0))</f>
        <v>0</v>
      </c>
      <c r="G914" s="2">
        <f>IF(SUM('Actual species'!J914)&gt;=1,1,IF(SUM('Actual species'!J914)="X",1,0))</f>
        <v>0</v>
      </c>
      <c r="H914" s="2">
        <f>IF(SUM('Actual species'!K914)&gt;=1,1,IF(SUM('Actual species'!K914)="X",1,0))</f>
        <v>0</v>
      </c>
      <c r="I914" s="2">
        <f>IF(SUM('Actual species'!L914)&gt;=1,1,IF(SUM('Actual species'!L914)="X",1,0))</f>
        <v>0</v>
      </c>
      <c r="J914" s="2">
        <f>IF(SUM('Actual species'!M914)&gt;=1,1,IF(SUM('Actual species'!M914)="X",1,0))</f>
        <v>0</v>
      </c>
      <c r="K914" s="2">
        <f>IF(SUM('Actual species'!N914)&gt;=1,1,IF(SUM('Actual species'!N914)="X",1,0))</f>
        <v>0</v>
      </c>
      <c r="L914" s="2">
        <f>IF(SUM('Actual species'!O914)&gt;=1,1,IF(SUM('Actual species'!O914)="X",1,0))</f>
        <v>1</v>
      </c>
      <c r="M914" s="2">
        <f>IF(SUM('Actual species'!P914)&gt;=1,1,IF(SUM('Actual species'!P914)="X",1,0))</f>
        <v>0</v>
      </c>
      <c r="N914" s="2">
        <f>IF(SUM('Actual species'!Q914)&gt;=1,1,IF(SUM('Actual species'!Q914)="X",1,0))</f>
        <v>0</v>
      </c>
      <c r="O914" s="2">
        <f>IF(SUM('Actual species'!R914)&gt;=1,1,IF(SUM('Actual species'!R914)="X",1,0))</f>
        <v>0</v>
      </c>
      <c r="P914" s="2">
        <f>IF(SUM('Actual species'!S914)&gt;=1,1,IF(SUM('Actual species'!S914)="X",1,0))</f>
        <v>0</v>
      </c>
      <c r="Q914" s="2">
        <f>IF(SUM('Actual species'!T914)&gt;=1,1,IF(SUM('Actual species'!T914)="X",1,0))</f>
        <v>0</v>
      </c>
      <c r="R914" s="2">
        <f>IF(SUM('Actual species'!U914)&gt;=1,1,IF(SUM('Actual species'!U914)="X",1,0))</f>
        <v>0</v>
      </c>
    </row>
    <row r="915" spans="1:18" x14ac:dyDescent="0.3">
      <c r="A915" s="113" t="str">
        <f>'Actual species'!A915</f>
        <v>Paederidus rubrothoracicus</v>
      </c>
      <c r="B915" s="66">
        <f>IF(SUM('Actual species'!B915:E915)&gt;=1,1,IF(SUM('Actual species'!B915:E915)="X",1,0))</f>
        <v>0</v>
      </c>
      <c r="C915" s="2">
        <f>IF(SUM('Actual species'!F915)&gt;=1,1,IF(SUM('Actual species'!F915)="X",1,0))</f>
        <v>0</v>
      </c>
      <c r="D915" s="2">
        <f>IF(SUM('Actual species'!G915)&gt;=1,1,IF(SUM('Actual species'!G915)="X",1,0))</f>
        <v>0</v>
      </c>
      <c r="E915" s="2">
        <f>IF(SUM('Actual species'!H915)&gt;=1,1,IF(SUM('Actual species'!H915)="X",1,0))</f>
        <v>0</v>
      </c>
      <c r="F915" s="2">
        <f>IF(SUM('Actual species'!I915)&gt;=1,1,IF(SUM('Actual species'!I915)="X",1,0))</f>
        <v>0</v>
      </c>
      <c r="G915" s="2">
        <f>IF(SUM('Actual species'!J915)&gt;=1,1,IF(SUM('Actual species'!J915)="X",1,0))</f>
        <v>0</v>
      </c>
      <c r="H915" s="2">
        <f>IF(SUM('Actual species'!K915)&gt;=1,1,IF(SUM('Actual species'!K915)="X",1,0))</f>
        <v>0</v>
      </c>
      <c r="I915" s="2">
        <f>IF(SUM('Actual species'!L915)&gt;=1,1,IF(SUM('Actual species'!L915)="X",1,0))</f>
        <v>0</v>
      </c>
      <c r="J915" s="2">
        <f>IF(SUM('Actual species'!M915)&gt;=1,1,IF(SUM('Actual species'!M915)="X",1,0))</f>
        <v>0</v>
      </c>
      <c r="K915" s="2">
        <f>IF(SUM('Actual species'!N915)&gt;=1,1,IF(SUM('Actual species'!N915)="X",1,0))</f>
        <v>0</v>
      </c>
      <c r="L915" s="2">
        <f>IF(SUM('Actual species'!O915)&gt;=1,1,IF(SUM('Actual species'!O915)="X",1,0))</f>
        <v>0</v>
      </c>
      <c r="M915" s="2">
        <f>IF(SUM('Actual species'!P915)&gt;=1,1,IF(SUM('Actual species'!P915)="X",1,0))</f>
        <v>0</v>
      </c>
      <c r="N915" s="2">
        <f>IF(SUM('Actual species'!Q915)&gt;=1,1,IF(SUM('Actual species'!Q915)="X",1,0))</f>
        <v>1</v>
      </c>
      <c r="O915" s="2">
        <f>IF(SUM('Actual species'!R915)&gt;=1,1,IF(SUM('Actual species'!R915)="X",1,0))</f>
        <v>1</v>
      </c>
      <c r="P915" s="2">
        <f>IF(SUM('Actual species'!S915)&gt;=1,1,IF(SUM('Actual species'!S915)="X",1,0))</f>
        <v>0</v>
      </c>
      <c r="Q915" s="2">
        <f>IF(SUM('Actual species'!T915)&gt;=1,1,IF(SUM('Actual species'!T915)="X",1,0))</f>
        <v>0</v>
      </c>
      <c r="R915" s="2">
        <f>IF(SUM('Actual species'!U915)&gt;=1,1,IF(SUM('Actual species'!U915)="X",1,0))</f>
        <v>0</v>
      </c>
    </row>
    <row r="916" spans="1:18" x14ac:dyDescent="0.3">
      <c r="A916" s="113" t="str">
        <f>'Actual species'!A916</f>
        <v>Paederus fuscipes</v>
      </c>
      <c r="B916" s="66">
        <f>IF(SUM('Actual species'!B916:E916)&gt;=1,1,IF(SUM('Actual species'!B916:E916)="X",1,0))</f>
        <v>0</v>
      </c>
      <c r="C916" s="2">
        <f>IF(SUM('Actual species'!F916)&gt;=1,1,IF(SUM('Actual species'!F916)="X",1,0))</f>
        <v>0</v>
      </c>
      <c r="D916" s="2">
        <f>IF(SUM('Actual species'!G916)&gt;=1,1,IF(SUM('Actual species'!G916)="X",1,0))</f>
        <v>0</v>
      </c>
      <c r="E916" s="2">
        <f>IF(SUM('Actual species'!H916)&gt;=1,1,IF(SUM('Actual species'!H916)="X",1,0))</f>
        <v>0</v>
      </c>
      <c r="F916" s="2">
        <f>IF(SUM('Actual species'!I916)&gt;=1,1,IF(SUM('Actual species'!I916)="X",1,0))</f>
        <v>0</v>
      </c>
      <c r="G916" s="2">
        <f>IF(SUM('Actual species'!J916)&gt;=1,1,IF(SUM('Actual species'!J916)="X",1,0))</f>
        <v>1</v>
      </c>
      <c r="H916" s="2">
        <f>IF(SUM('Actual species'!K916)&gt;=1,1,IF(SUM('Actual species'!K916)="X",1,0))</f>
        <v>0</v>
      </c>
      <c r="I916" s="2">
        <f>IF(SUM('Actual species'!L916)&gt;=1,1,IF(SUM('Actual species'!L916)="X",1,0))</f>
        <v>0</v>
      </c>
      <c r="J916" s="2">
        <f>IF(SUM('Actual species'!M916)&gt;=1,1,IF(SUM('Actual species'!M916)="X",1,0))</f>
        <v>0</v>
      </c>
      <c r="K916" s="2">
        <f>IF(SUM('Actual species'!N916)&gt;=1,1,IF(SUM('Actual species'!N916)="X",1,0))</f>
        <v>0</v>
      </c>
      <c r="L916" s="2">
        <f>IF(SUM('Actual species'!O916)&gt;=1,1,IF(SUM('Actual species'!O916)="X",1,0))</f>
        <v>0</v>
      </c>
      <c r="M916" s="2">
        <f>IF(SUM('Actual species'!P916)&gt;=1,1,IF(SUM('Actual species'!P916)="X",1,0))</f>
        <v>0</v>
      </c>
      <c r="N916" s="2">
        <f>IF(SUM('Actual species'!Q916)&gt;=1,1,IF(SUM('Actual species'!Q916)="X",1,0))</f>
        <v>0</v>
      </c>
      <c r="O916" s="2">
        <f>IF(SUM('Actual species'!R916)&gt;=1,1,IF(SUM('Actual species'!R916)="X",1,0))</f>
        <v>0</v>
      </c>
      <c r="P916" s="2">
        <f>IF(SUM('Actual species'!S916)&gt;=1,1,IF(SUM('Actual species'!S916)="X",1,0))</f>
        <v>0</v>
      </c>
      <c r="Q916" s="2">
        <f>IF(SUM('Actual species'!T916)&gt;=1,1,IF(SUM('Actual species'!T916)="X",1,0))</f>
        <v>0</v>
      </c>
      <c r="R916" s="2">
        <f>IF(SUM('Actual species'!U916)&gt;=1,1,IF(SUM('Actual species'!U916)="X",1,0))</f>
        <v>0</v>
      </c>
    </row>
    <row r="917" spans="1:18" x14ac:dyDescent="0.3">
      <c r="A917" s="113" t="str">
        <f>'Actual species'!A917</f>
        <v>Paederus fuscipes fuscipes</v>
      </c>
      <c r="B917" s="66">
        <f>IF(SUM('Actual species'!B917:E917)&gt;=1,1,IF(SUM('Actual species'!B917:E917)="X",1,0))</f>
        <v>0</v>
      </c>
      <c r="C917" s="2">
        <f>IF(SUM('Actual species'!F917)&gt;=1,1,IF(SUM('Actual species'!F917)="X",1,0))</f>
        <v>0</v>
      </c>
      <c r="D917" s="2">
        <f>IF(SUM('Actual species'!G917)&gt;=1,1,IF(SUM('Actual species'!G917)="X",1,0))</f>
        <v>0</v>
      </c>
      <c r="E917" s="2">
        <f>IF(SUM('Actual species'!H917)&gt;=1,1,IF(SUM('Actual species'!H917)="X",1,0))</f>
        <v>0</v>
      </c>
      <c r="F917" s="2">
        <f>IF(SUM('Actual species'!I917)&gt;=1,1,IF(SUM('Actual species'!I917)="X",1,0))</f>
        <v>0</v>
      </c>
      <c r="G917" s="2">
        <f>IF(SUM('Actual species'!J917)&gt;=1,1,IF(SUM('Actual species'!J917)="X",1,0))</f>
        <v>0</v>
      </c>
      <c r="H917" s="2">
        <f>IF(SUM('Actual species'!K917)&gt;=1,1,IF(SUM('Actual species'!K917)="X",1,0))</f>
        <v>0</v>
      </c>
      <c r="I917" s="2">
        <f>IF(SUM('Actual species'!L917)&gt;=1,1,IF(SUM('Actual species'!L917)="X",1,0))</f>
        <v>0</v>
      </c>
      <c r="J917" s="2">
        <f>IF(SUM('Actual species'!M917)&gt;=1,1,IF(SUM('Actual species'!M917)="X",1,0))</f>
        <v>1</v>
      </c>
      <c r="K917" s="2">
        <f>IF(SUM('Actual species'!N917)&gt;=1,1,IF(SUM('Actual species'!N917)="X",1,0))</f>
        <v>0</v>
      </c>
      <c r="L917" s="2">
        <f>IF(SUM('Actual species'!O917)&gt;=1,1,IF(SUM('Actual species'!O917)="X",1,0))</f>
        <v>0</v>
      </c>
      <c r="M917" s="2">
        <f>IF(SUM('Actual species'!P917)&gt;=1,1,IF(SUM('Actual species'!P917)="X",1,0))</f>
        <v>0</v>
      </c>
      <c r="N917" s="2">
        <f>IF(SUM('Actual species'!Q917)&gt;=1,1,IF(SUM('Actual species'!Q917)="X",1,0))</f>
        <v>0</v>
      </c>
      <c r="O917" s="2">
        <f>IF(SUM('Actual species'!R917)&gt;=1,1,IF(SUM('Actual species'!R917)="X",1,0))</f>
        <v>0</v>
      </c>
      <c r="P917" s="2">
        <f>IF(SUM('Actual species'!S917)&gt;=1,1,IF(SUM('Actual species'!S917)="X",1,0))</f>
        <v>0</v>
      </c>
      <c r="Q917" s="2">
        <f>IF(SUM('Actual species'!T917)&gt;=1,1,IF(SUM('Actual species'!T917)="X",1,0))</f>
        <v>0</v>
      </c>
      <c r="R917" s="2">
        <f>IF(SUM('Actual species'!U917)&gt;=1,1,IF(SUM('Actual species'!U917)="X",1,0))</f>
        <v>0</v>
      </c>
    </row>
    <row r="918" spans="1:18" x14ac:dyDescent="0.3">
      <c r="A918" s="113" t="str">
        <f>'Actual species'!A918</f>
        <v>Paederus littoralis</v>
      </c>
      <c r="B918" s="66">
        <f>IF(SUM('Actual species'!B918:E918)&gt;=1,1,IF(SUM('Actual species'!B918:E918)="X",1,0))</f>
        <v>0</v>
      </c>
      <c r="C918" s="2">
        <f>IF(SUM('Actual species'!F918)&gt;=1,1,IF(SUM('Actual species'!F918)="X",1,0))</f>
        <v>0</v>
      </c>
      <c r="D918" s="2">
        <f>IF(SUM('Actual species'!G918)&gt;=1,1,IF(SUM('Actual species'!G918)="X",1,0))</f>
        <v>0</v>
      </c>
      <c r="E918" s="2">
        <f>IF(SUM('Actual species'!H918)&gt;=1,1,IF(SUM('Actual species'!H918)="X",1,0))</f>
        <v>1</v>
      </c>
      <c r="F918" s="2">
        <f>IF(SUM('Actual species'!I918)&gt;=1,1,IF(SUM('Actual species'!I918)="X",1,0))</f>
        <v>1</v>
      </c>
      <c r="G918" s="2">
        <f>IF(SUM('Actual species'!J918)&gt;=1,1,IF(SUM('Actual species'!J918)="X",1,0))</f>
        <v>0</v>
      </c>
      <c r="H918" s="2">
        <f>IF(SUM('Actual species'!K918)&gt;=1,1,IF(SUM('Actual species'!K918)="X",1,0))</f>
        <v>0</v>
      </c>
      <c r="I918" s="2">
        <f>IF(SUM('Actual species'!L918)&gt;=1,1,IF(SUM('Actual species'!L918)="X",1,0))</f>
        <v>0</v>
      </c>
      <c r="J918" s="2">
        <f>IF(SUM('Actual species'!M918)&gt;=1,1,IF(SUM('Actual species'!M918)="X",1,0))</f>
        <v>0</v>
      </c>
      <c r="K918" s="2">
        <f>IF(SUM('Actual species'!N918)&gt;=1,1,IF(SUM('Actual species'!N918)="X",1,0))</f>
        <v>0</v>
      </c>
      <c r="L918" s="2">
        <f>IF(SUM('Actual species'!O918)&gt;=1,1,IF(SUM('Actual species'!O918)="X",1,0))</f>
        <v>0</v>
      </c>
      <c r="M918" s="2">
        <f>IF(SUM('Actual species'!P918)&gt;=1,1,IF(SUM('Actual species'!P918)="X",1,0))</f>
        <v>0</v>
      </c>
      <c r="N918" s="2">
        <f>IF(SUM('Actual species'!Q918)&gt;=1,1,IF(SUM('Actual species'!Q918)="X",1,0))</f>
        <v>0</v>
      </c>
      <c r="O918" s="2">
        <f>IF(SUM('Actual species'!R918)&gt;=1,1,IF(SUM('Actual species'!R918)="X",1,0))</f>
        <v>0</v>
      </c>
      <c r="P918" s="2">
        <f>IF(SUM('Actual species'!S918)&gt;=1,1,IF(SUM('Actual species'!S918)="X",1,0))</f>
        <v>0</v>
      </c>
      <c r="Q918" s="2">
        <f>IF(SUM('Actual species'!T918)&gt;=1,1,IF(SUM('Actual species'!T918)="X",1,0))</f>
        <v>0</v>
      </c>
      <c r="R918" s="2">
        <f>IF(SUM('Actual species'!U918)&gt;=1,1,IF(SUM('Actual species'!U918)="X",1,0))</f>
        <v>0</v>
      </c>
    </row>
    <row r="919" spans="1:18" x14ac:dyDescent="0.3">
      <c r="A919" s="113" t="str">
        <f>'Actual species'!A919</f>
        <v>Paederus schoenherri</v>
      </c>
      <c r="B919" s="66">
        <f>IF(SUM('Actual species'!B919:E919)&gt;=1,1,IF(SUM('Actual species'!B919:E919)="X",1,0))</f>
        <v>0</v>
      </c>
      <c r="C919" s="2">
        <f>IF(SUM('Actual species'!F919)&gt;=1,1,IF(SUM('Actual species'!F919)="X",1,0))</f>
        <v>0</v>
      </c>
      <c r="D919" s="2">
        <f>IF(SUM('Actual species'!G919)&gt;=1,1,IF(SUM('Actual species'!G919)="X",1,0))</f>
        <v>0</v>
      </c>
      <c r="E919" s="2">
        <f>IF(SUM('Actual species'!H919)&gt;=1,1,IF(SUM('Actual species'!H919)="X",1,0))</f>
        <v>0</v>
      </c>
      <c r="F919" s="2">
        <f>IF(SUM('Actual species'!I919)&gt;=1,1,IF(SUM('Actual species'!I919)="X",1,0))</f>
        <v>0</v>
      </c>
      <c r="G919" s="2">
        <f>IF(SUM('Actual species'!J919)&gt;=1,1,IF(SUM('Actual species'!J919)="X",1,0))</f>
        <v>0</v>
      </c>
      <c r="H919" s="2">
        <f>IF(SUM('Actual species'!K919)&gt;=1,1,IF(SUM('Actual species'!K919)="X",1,0))</f>
        <v>0</v>
      </c>
      <c r="I919" s="2">
        <f>IF(SUM('Actual species'!L919)&gt;=1,1,IF(SUM('Actual species'!L919)="X",1,0))</f>
        <v>0</v>
      </c>
      <c r="J919" s="2">
        <f>IF(SUM('Actual species'!M919)&gt;=1,1,IF(SUM('Actual species'!M919)="X",1,0))</f>
        <v>0</v>
      </c>
      <c r="K919" s="2">
        <f>IF(SUM('Actual species'!N919)&gt;=1,1,IF(SUM('Actual species'!N919)="X",1,0))</f>
        <v>0</v>
      </c>
      <c r="L919" s="2">
        <f>IF(SUM('Actual species'!O919)&gt;=1,1,IF(SUM('Actual species'!O919)="X",1,0))</f>
        <v>0</v>
      </c>
      <c r="M919" s="2">
        <f>IF(SUM('Actual species'!P919)&gt;=1,1,IF(SUM('Actual species'!P919)="X",1,0))</f>
        <v>0</v>
      </c>
      <c r="N919" s="2">
        <f>IF(SUM('Actual species'!Q919)&gt;=1,1,IF(SUM('Actual species'!Q919)="X",1,0))</f>
        <v>0</v>
      </c>
      <c r="O919" s="2">
        <f>IF(SUM('Actual species'!R919)&gt;=1,1,IF(SUM('Actual species'!R919)="X",1,0))</f>
        <v>0</v>
      </c>
      <c r="P919" s="2">
        <f>IF(SUM('Actual species'!S919)&gt;=1,1,IF(SUM('Actual species'!S919)="X",1,0))</f>
        <v>1</v>
      </c>
      <c r="Q919" s="2">
        <f>IF(SUM('Actual species'!T919)&gt;=1,1,IF(SUM('Actual species'!T919)="X",1,0))</f>
        <v>1</v>
      </c>
      <c r="R919" s="2">
        <f>IF(SUM('Actual species'!U919)&gt;=1,1,IF(SUM('Actual species'!U919)="X",1,0))</f>
        <v>1</v>
      </c>
    </row>
    <row r="920" spans="1:18" x14ac:dyDescent="0.3">
      <c r="A920" s="113" t="str">
        <f>'Actual species'!A920</f>
        <v>Platydomene picipes picipes</v>
      </c>
      <c r="B920" s="66">
        <f>IF(SUM('Actual species'!B920:E920)&gt;=1,1,IF(SUM('Actual species'!B920:E920)="X",1,0))</f>
        <v>0</v>
      </c>
      <c r="C920" s="2">
        <f>IF(SUM('Actual species'!F920)&gt;=1,1,IF(SUM('Actual species'!F920)="X",1,0))</f>
        <v>0</v>
      </c>
      <c r="D920" s="2">
        <f>IF(SUM('Actual species'!G920)&gt;=1,1,IF(SUM('Actual species'!G920)="X",1,0))</f>
        <v>0</v>
      </c>
      <c r="E920" s="2">
        <f>IF(SUM('Actual species'!H920)&gt;=1,1,IF(SUM('Actual species'!H920)="X",1,0))</f>
        <v>0</v>
      </c>
      <c r="F920" s="2">
        <f>IF(SUM('Actual species'!I920)&gt;=1,1,IF(SUM('Actual species'!I920)="X",1,0))</f>
        <v>0</v>
      </c>
      <c r="G920" s="2">
        <f>IF(SUM('Actual species'!J920)&gt;=1,1,IF(SUM('Actual species'!J920)="X",1,0))</f>
        <v>1</v>
      </c>
      <c r="H920" s="2">
        <f>IF(SUM('Actual species'!K920)&gt;=1,1,IF(SUM('Actual species'!K920)="X",1,0))</f>
        <v>0</v>
      </c>
      <c r="I920" s="2">
        <f>IF(SUM('Actual species'!L920)&gt;=1,1,IF(SUM('Actual species'!L920)="X",1,0))</f>
        <v>0</v>
      </c>
      <c r="J920" s="2">
        <f>IF(SUM('Actual species'!M920)&gt;=1,1,IF(SUM('Actual species'!M920)="X",1,0))</f>
        <v>0</v>
      </c>
      <c r="K920" s="2">
        <f>IF(SUM('Actual species'!N920)&gt;=1,1,IF(SUM('Actual species'!N920)="X",1,0))</f>
        <v>0</v>
      </c>
      <c r="L920" s="2">
        <f>IF(SUM('Actual species'!O920)&gt;=1,1,IF(SUM('Actual species'!O920)="X",1,0))</f>
        <v>0</v>
      </c>
      <c r="M920" s="2">
        <f>IF(SUM('Actual species'!P920)&gt;=1,1,IF(SUM('Actual species'!P920)="X",1,0))</f>
        <v>0</v>
      </c>
      <c r="N920" s="2">
        <f>IF(SUM('Actual species'!Q920)&gt;=1,1,IF(SUM('Actual species'!Q920)="X",1,0))</f>
        <v>0</v>
      </c>
      <c r="O920" s="2">
        <f>IF(SUM('Actual species'!R920)&gt;=1,1,IF(SUM('Actual species'!R920)="X",1,0))</f>
        <v>0</v>
      </c>
      <c r="P920" s="2">
        <f>IF(SUM('Actual species'!S920)&gt;=1,1,IF(SUM('Actual species'!S920)="X",1,0))</f>
        <v>0</v>
      </c>
      <c r="Q920" s="2">
        <f>IF(SUM('Actual species'!T920)&gt;=1,1,IF(SUM('Actual species'!T920)="X",1,0))</f>
        <v>0</v>
      </c>
      <c r="R920" s="2">
        <f>IF(SUM('Actual species'!U920)&gt;=1,1,IF(SUM('Actual species'!U920)="X",1,0))</f>
        <v>0</v>
      </c>
    </row>
    <row r="921" spans="1:18" x14ac:dyDescent="0.3">
      <c r="A921" s="113" t="str">
        <f>'Actual species'!A921</f>
        <v xml:space="preserve">Platydomene sp. </v>
      </c>
      <c r="B921" s="66">
        <f>IF(SUM('Actual species'!B921:E921)&gt;=1,1,IF(SUM('Actual species'!B921:E921)="X",1,0))</f>
        <v>0</v>
      </c>
      <c r="C921" s="2">
        <f>IF(SUM('Actual species'!F921)&gt;=1,1,IF(SUM('Actual species'!F921)="X",1,0))</f>
        <v>1</v>
      </c>
      <c r="D921" s="2">
        <f>IF(SUM('Actual species'!G921)&gt;=1,1,IF(SUM('Actual species'!G921)="X",1,0))</f>
        <v>0</v>
      </c>
      <c r="E921" s="2">
        <f>IF(SUM('Actual species'!H921)&gt;=1,1,IF(SUM('Actual species'!H921)="X",1,0))</f>
        <v>0</v>
      </c>
      <c r="F921" s="2">
        <f>IF(SUM('Actual species'!I921)&gt;=1,1,IF(SUM('Actual species'!I921)="X",1,0))</f>
        <v>0</v>
      </c>
      <c r="G921" s="2">
        <f>IF(SUM('Actual species'!J921)&gt;=1,1,IF(SUM('Actual species'!J921)="X",1,0))</f>
        <v>0</v>
      </c>
      <c r="H921" s="2">
        <f>IF(SUM('Actual species'!K921)&gt;=1,1,IF(SUM('Actual species'!K921)="X",1,0))</f>
        <v>0</v>
      </c>
      <c r="I921" s="2">
        <f>IF(SUM('Actual species'!L921)&gt;=1,1,IF(SUM('Actual species'!L921)="X",1,0))</f>
        <v>0</v>
      </c>
      <c r="J921" s="2">
        <f>IF(SUM('Actual species'!M921)&gt;=1,1,IF(SUM('Actual species'!M921)="X",1,0))</f>
        <v>0</v>
      </c>
      <c r="K921" s="2">
        <f>IF(SUM('Actual species'!N921)&gt;=1,1,IF(SUM('Actual species'!N921)="X",1,0))</f>
        <v>0</v>
      </c>
      <c r="L921" s="2">
        <f>IF(SUM('Actual species'!O921)&gt;=1,1,IF(SUM('Actual species'!O921)="X",1,0))</f>
        <v>0</v>
      </c>
      <c r="M921" s="2">
        <f>IF(SUM('Actual species'!P921)&gt;=1,1,IF(SUM('Actual species'!P921)="X",1,0))</f>
        <v>0</v>
      </c>
      <c r="N921" s="2">
        <f>IF(SUM('Actual species'!Q921)&gt;=1,1,IF(SUM('Actual species'!Q921)="X",1,0))</f>
        <v>0</v>
      </c>
      <c r="O921" s="2">
        <f>IF(SUM('Actual species'!R921)&gt;=1,1,IF(SUM('Actual species'!R921)="X",1,0))</f>
        <v>0</v>
      </c>
      <c r="P921" s="2">
        <f>IF(SUM('Actual species'!S921)&gt;=1,1,IF(SUM('Actual species'!S921)="X",1,0))</f>
        <v>0</v>
      </c>
      <c r="Q921" s="2">
        <f>IF(SUM('Actual species'!T921)&gt;=1,1,IF(SUM('Actual species'!T921)="X",1,0))</f>
        <v>0</v>
      </c>
      <c r="R921" s="2">
        <f>IF(SUM('Actual species'!U921)&gt;=1,1,IF(SUM('Actual species'!U921)="X",1,0))</f>
        <v>0</v>
      </c>
    </row>
    <row r="922" spans="1:18" x14ac:dyDescent="0.3">
      <c r="A922" s="113" t="str">
        <f>'Actual species'!A922</f>
        <v>Pseudobium hellenicum</v>
      </c>
      <c r="B922" s="66">
        <f>IF(SUM('Actual species'!B922:E922)&gt;=1,1,IF(SUM('Actual species'!B922:E922)="X",1,0))</f>
        <v>0</v>
      </c>
      <c r="C922" s="2">
        <f>IF(SUM('Actual species'!F922)&gt;=1,1,IF(SUM('Actual species'!F922)="X",1,0))</f>
        <v>0</v>
      </c>
      <c r="D922" s="2">
        <f>IF(SUM('Actual species'!G922)&gt;=1,1,IF(SUM('Actual species'!G922)="X",1,0))</f>
        <v>0</v>
      </c>
      <c r="E922" s="2">
        <f>IF(SUM('Actual species'!H922)&gt;=1,1,IF(SUM('Actual species'!H922)="X",1,0))</f>
        <v>0</v>
      </c>
      <c r="F922" s="2">
        <f>IF(SUM('Actual species'!I922)&gt;=1,1,IF(SUM('Actual species'!I922)="X",1,0))</f>
        <v>0</v>
      </c>
      <c r="G922" s="2">
        <f>IF(SUM('Actual species'!J922)&gt;=1,1,IF(SUM('Actual species'!J922)="X",1,0))</f>
        <v>1</v>
      </c>
      <c r="H922" s="2">
        <f>IF(SUM('Actual species'!K922)&gt;=1,1,IF(SUM('Actual species'!K922)="X",1,0))</f>
        <v>0</v>
      </c>
      <c r="I922" s="2">
        <f>IF(SUM('Actual species'!L922)&gt;=1,1,IF(SUM('Actual species'!L922)="X",1,0))</f>
        <v>0</v>
      </c>
      <c r="J922" s="2">
        <f>IF(SUM('Actual species'!M922)&gt;=1,1,IF(SUM('Actual species'!M922)="X",1,0))</f>
        <v>0</v>
      </c>
      <c r="K922" s="2">
        <f>IF(SUM('Actual species'!N922)&gt;=1,1,IF(SUM('Actual species'!N922)="X",1,0))</f>
        <v>0</v>
      </c>
      <c r="L922" s="2">
        <f>IF(SUM('Actual species'!O922)&gt;=1,1,IF(SUM('Actual species'!O922)="X",1,0))</f>
        <v>0</v>
      </c>
      <c r="M922" s="2">
        <f>IF(SUM('Actual species'!P922)&gt;=1,1,IF(SUM('Actual species'!P922)="X",1,0))</f>
        <v>0</v>
      </c>
      <c r="N922" s="2">
        <f>IF(SUM('Actual species'!Q922)&gt;=1,1,IF(SUM('Actual species'!Q922)="X",1,0))</f>
        <v>0</v>
      </c>
      <c r="O922" s="2">
        <f>IF(SUM('Actual species'!R922)&gt;=1,1,IF(SUM('Actual species'!R922)="X",1,0))</f>
        <v>0</v>
      </c>
      <c r="P922" s="2">
        <f>IF(SUM('Actual species'!S922)&gt;=1,1,IF(SUM('Actual species'!S922)="X",1,0))</f>
        <v>0</v>
      </c>
      <c r="Q922" s="2">
        <f>IF(SUM('Actual species'!T922)&gt;=1,1,IF(SUM('Actual species'!T922)="X",1,0))</f>
        <v>0</v>
      </c>
      <c r="R922" s="2">
        <f>IF(SUM('Actual species'!U922)&gt;=1,1,IF(SUM('Actual species'!U922)="X",1,0))</f>
        <v>0</v>
      </c>
    </row>
    <row r="923" spans="1:18" x14ac:dyDescent="0.3">
      <c r="A923" s="113" t="str">
        <f>'Actual species'!A923</f>
        <v xml:space="preserve">Pseudolathra cretensis (E) </v>
      </c>
      <c r="B923" s="66">
        <f>IF(SUM('Actual species'!B923:E923)&gt;=1,1,IF(SUM('Actual species'!B923:E923)="X",1,0))</f>
        <v>0</v>
      </c>
      <c r="C923" s="2">
        <f>IF(SUM('Actual species'!F923)&gt;=1,1,IF(SUM('Actual species'!F923)="X",1,0))</f>
        <v>0</v>
      </c>
      <c r="D923" s="2">
        <f>IF(SUM('Actual species'!G923)&gt;=1,1,IF(SUM('Actual species'!G923)="X",1,0))</f>
        <v>0</v>
      </c>
      <c r="E923" s="2">
        <f>IF(SUM('Actual species'!H923)&gt;=1,1,IF(SUM('Actual species'!H923)="X",1,0))</f>
        <v>0</v>
      </c>
      <c r="F923" s="2">
        <f>IF(SUM('Actual species'!I923)&gt;=1,1,IF(SUM('Actual species'!I923)="X",1,0))</f>
        <v>0</v>
      </c>
      <c r="G923" s="2">
        <f>IF(SUM('Actual species'!J923)&gt;=1,1,IF(SUM('Actual species'!J923)="X",1,0))</f>
        <v>0</v>
      </c>
      <c r="H923" s="2">
        <f>IF(SUM('Actual species'!K923)&gt;=1,1,IF(SUM('Actual species'!K923)="X",1,0))</f>
        <v>0</v>
      </c>
      <c r="I923" s="2">
        <f>IF(SUM('Actual species'!L923)&gt;=1,1,IF(SUM('Actual species'!L923)="X",1,0))</f>
        <v>0</v>
      </c>
      <c r="J923" s="2">
        <f>IF(SUM('Actual species'!M923)&gt;=1,1,IF(SUM('Actual species'!M923)="X",1,0))</f>
        <v>0</v>
      </c>
      <c r="K923" s="2">
        <f>IF(SUM('Actual species'!N923)&gt;=1,1,IF(SUM('Actual species'!N923)="X",1,0))</f>
        <v>0</v>
      </c>
      <c r="L923" s="2">
        <f>IF(SUM('Actual species'!O923)&gt;=1,1,IF(SUM('Actual species'!O923)="X",1,0))</f>
        <v>0</v>
      </c>
      <c r="M923" s="2">
        <f>IF(SUM('Actual species'!P923)&gt;=1,1,IF(SUM('Actual species'!P923)="X",1,0))</f>
        <v>0</v>
      </c>
      <c r="N923" s="2">
        <f>IF(SUM('Actual species'!Q923)&gt;=1,1,IF(SUM('Actual species'!Q923)="X",1,0))</f>
        <v>0</v>
      </c>
      <c r="O923" s="2">
        <f>IF(SUM('Actual species'!R923)&gt;=1,1,IF(SUM('Actual species'!R923)="X",1,0))</f>
        <v>0</v>
      </c>
      <c r="P923" s="2">
        <f>IF(SUM('Actual species'!S923)&gt;=1,1,IF(SUM('Actual species'!S923)="X",1,0))</f>
        <v>0</v>
      </c>
      <c r="Q923" s="2">
        <f>IF(SUM('Actual species'!T923)&gt;=1,1,IF(SUM('Actual species'!T923)="X",1,0))</f>
        <v>0</v>
      </c>
      <c r="R923" s="2">
        <f>IF(SUM('Actual species'!U923)&gt;=1,1,IF(SUM('Actual species'!U923)="X",1,0))</f>
        <v>0</v>
      </c>
    </row>
    <row r="924" spans="1:18" x14ac:dyDescent="0.3">
      <c r="A924" s="113" t="str">
        <f>'Actual species'!A924</f>
        <v>Pseudomedon dido</v>
      </c>
      <c r="B924" s="66">
        <f>IF(SUM('Actual species'!B924:E924)&gt;=1,1,IF(SUM('Actual species'!B924:E924)="X",1,0))</f>
        <v>0</v>
      </c>
      <c r="C924" s="2">
        <f>IF(SUM('Actual species'!F924)&gt;=1,1,IF(SUM('Actual species'!F924)="X",1,0))</f>
        <v>0</v>
      </c>
      <c r="D924" s="2">
        <f>IF(SUM('Actual species'!G924)&gt;=1,1,IF(SUM('Actual species'!G924)="X",1,0))</f>
        <v>0</v>
      </c>
      <c r="E924" s="2">
        <f>IF(SUM('Actual species'!H924)&gt;=1,1,IF(SUM('Actual species'!H924)="X",1,0))</f>
        <v>0</v>
      </c>
      <c r="F924" s="2">
        <f>IF(SUM('Actual species'!I924)&gt;=1,1,IF(SUM('Actual species'!I924)="X",1,0))</f>
        <v>1</v>
      </c>
      <c r="G924" s="2">
        <f>IF(SUM('Actual species'!J924)&gt;=1,1,IF(SUM('Actual species'!J924)="X",1,0))</f>
        <v>0</v>
      </c>
      <c r="H924" s="2">
        <f>IF(SUM('Actual species'!K924)&gt;=1,1,IF(SUM('Actual species'!K924)="X",1,0))</f>
        <v>0</v>
      </c>
      <c r="I924" s="2">
        <f>IF(SUM('Actual species'!L924)&gt;=1,1,IF(SUM('Actual species'!L924)="X",1,0))</f>
        <v>0</v>
      </c>
      <c r="J924" s="2">
        <f>IF(SUM('Actual species'!M924)&gt;=1,1,IF(SUM('Actual species'!M924)="X",1,0))</f>
        <v>0</v>
      </c>
      <c r="K924" s="2">
        <f>IF(SUM('Actual species'!N924)&gt;=1,1,IF(SUM('Actual species'!N924)="X",1,0))</f>
        <v>0</v>
      </c>
      <c r="L924" s="2">
        <f>IF(SUM('Actual species'!O924)&gt;=1,1,IF(SUM('Actual species'!O924)="X",1,0))</f>
        <v>0</v>
      </c>
      <c r="M924" s="2">
        <f>IF(SUM('Actual species'!P924)&gt;=1,1,IF(SUM('Actual species'!P924)="X",1,0))</f>
        <v>0</v>
      </c>
      <c r="N924" s="2">
        <f>IF(SUM('Actual species'!Q924)&gt;=1,1,IF(SUM('Actual species'!Q924)="X",1,0))</f>
        <v>1</v>
      </c>
      <c r="O924" s="2">
        <f>IF(SUM('Actual species'!R924)&gt;=1,1,IF(SUM('Actual species'!R924)="X",1,0))</f>
        <v>0</v>
      </c>
      <c r="P924" s="2">
        <f>IF(SUM('Actual species'!S924)&gt;=1,1,IF(SUM('Actual species'!S924)="X",1,0))</f>
        <v>0</v>
      </c>
      <c r="Q924" s="2">
        <f>IF(SUM('Actual species'!T924)&gt;=1,1,IF(SUM('Actual species'!T924)="X",1,0))</f>
        <v>0</v>
      </c>
      <c r="R924" s="2">
        <f>IF(SUM('Actual species'!U924)&gt;=1,1,IF(SUM('Actual species'!U924)="X",1,0))</f>
        <v>0</v>
      </c>
    </row>
    <row r="925" spans="1:18" x14ac:dyDescent="0.3">
      <c r="A925" s="113" t="str">
        <f>'Actual species'!A925</f>
        <v>Pseudomedon obscurellus</v>
      </c>
      <c r="B925" s="66">
        <f>IF(SUM('Actual species'!B925:E925)&gt;=1,1,IF(SUM('Actual species'!B925:E925)="X",1,0))</f>
        <v>0</v>
      </c>
      <c r="C925" s="2">
        <f>IF(SUM('Actual species'!F925)&gt;=1,1,IF(SUM('Actual species'!F925)="X",1,0))</f>
        <v>0</v>
      </c>
      <c r="D925" s="2">
        <f>IF(SUM('Actual species'!G925)&gt;=1,1,IF(SUM('Actual species'!G925)="X",1,0))</f>
        <v>0</v>
      </c>
      <c r="E925" s="2">
        <f>IF(SUM('Actual species'!H925)&gt;=1,1,IF(SUM('Actual species'!H925)="X",1,0))</f>
        <v>0</v>
      </c>
      <c r="F925" s="2">
        <f>IF(SUM('Actual species'!I925)&gt;=1,1,IF(SUM('Actual species'!I925)="X",1,0))</f>
        <v>1</v>
      </c>
      <c r="G925" s="2">
        <f>IF(SUM('Actual species'!J925)&gt;=1,1,IF(SUM('Actual species'!J925)="X",1,0))</f>
        <v>0</v>
      </c>
      <c r="H925" s="2">
        <f>IF(SUM('Actual species'!K925)&gt;=1,1,IF(SUM('Actual species'!K925)="X",1,0))</f>
        <v>0</v>
      </c>
      <c r="I925" s="2">
        <f>IF(SUM('Actual species'!L925)&gt;=1,1,IF(SUM('Actual species'!L925)="X",1,0))</f>
        <v>0</v>
      </c>
      <c r="J925" s="2">
        <f>IF(SUM('Actual species'!M925)&gt;=1,1,IF(SUM('Actual species'!M925)="X",1,0))</f>
        <v>1</v>
      </c>
      <c r="K925" s="2">
        <f>IF(SUM('Actual species'!N925)&gt;=1,1,IF(SUM('Actual species'!N925)="X",1,0))</f>
        <v>0</v>
      </c>
      <c r="L925" s="2">
        <f>IF(SUM('Actual species'!O925)&gt;=1,1,IF(SUM('Actual species'!O925)="X",1,0))</f>
        <v>0</v>
      </c>
      <c r="M925" s="2">
        <f>IF(SUM('Actual species'!P925)&gt;=1,1,IF(SUM('Actual species'!P925)="X",1,0))</f>
        <v>0</v>
      </c>
      <c r="N925" s="2">
        <f>IF(SUM('Actual species'!Q925)&gt;=1,1,IF(SUM('Actual species'!Q925)="X",1,0))</f>
        <v>0</v>
      </c>
      <c r="O925" s="2">
        <f>IF(SUM('Actual species'!R925)&gt;=1,1,IF(SUM('Actual species'!R925)="X",1,0))</f>
        <v>0</v>
      </c>
      <c r="P925" s="2">
        <f>IF(SUM('Actual species'!S925)&gt;=1,1,IF(SUM('Actual species'!S925)="X",1,0))</f>
        <v>0</v>
      </c>
      <c r="Q925" s="2">
        <f>IF(SUM('Actual species'!T925)&gt;=1,1,IF(SUM('Actual species'!T925)="X",1,0))</f>
        <v>0</v>
      </c>
      <c r="R925" s="2">
        <f>IF(SUM('Actual species'!U925)&gt;=1,1,IF(SUM('Actual species'!U925)="X",1,0))</f>
        <v>0</v>
      </c>
    </row>
    <row r="926" spans="1:18" x14ac:dyDescent="0.3">
      <c r="A926" s="113" t="str">
        <f>'Actual species'!A926</f>
        <v>Pseudomedon obsoletus</v>
      </c>
      <c r="B926" s="66">
        <f>IF(SUM('Actual species'!B926:E926)&gt;=1,1,IF(SUM('Actual species'!B926:E926)="X",1,0))</f>
        <v>0</v>
      </c>
      <c r="C926" s="2">
        <f>IF(SUM('Actual species'!F926)&gt;=1,1,IF(SUM('Actual species'!F926)="X",1,0))</f>
        <v>0</v>
      </c>
      <c r="D926" s="2">
        <f>IF(SUM('Actual species'!G926)&gt;=1,1,IF(SUM('Actual species'!G926)="X",1,0))</f>
        <v>0</v>
      </c>
      <c r="E926" s="2">
        <f>IF(SUM('Actual species'!H926)&gt;=1,1,IF(SUM('Actual species'!H926)="X",1,0))</f>
        <v>0</v>
      </c>
      <c r="F926" s="2">
        <f>IF(SUM('Actual species'!I926)&gt;=1,1,IF(SUM('Actual species'!I926)="X",1,0))</f>
        <v>0</v>
      </c>
      <c r="G926" s="2">
        <f>IF(SUM('Actual species'!J926)&gt;=1,1,IF(SUM('Actual species'!J926)="X",1,0))</f>
        <v>0</v>
      </c>
      <c r="H926" s="2">
        <f>IF(SUM('Actual species'!K926)&gt;=1,1,IF(SUM('Actual species'!K926)="X",1,0))</f>
        <v>0</v>
      </c>
      <c r="I926" s="2">
        <f>IF(SUM('Actual species'!L926)&gt;=1,1,IF(SUM('Actual species'!L926)="X",1,0))</f>
        <v>0</v>
      </c>
      <c r="J926" s="2">
        <f>IF(SUM('Actual species'!M926)&gt;=1,1,IF(SUM('Actual species'!M926)="X",1,0))</f>
        <v>1</v>
      </c>
      <c r="K926" s="2">
        <f>IF(SUM('Actual species'!N926)&gt;=1,1,IF(SUM('Actual species'!N926)="X",1,0))</f>
        <v>0</v>
      </c>
      <c r="L926" s="2">
        <f>IF(SUM('Actual species'!O926)&gt;=1,1,IF(SUM('Actual species'!O926)="X",1,0))</f>
        <v>0</v>
      </c>
      <c r="M926" s="2">
        <f>IF(SUM('Actual species'!P926)&gt;=1,1,IF(SUM('Actual species'!P926)="X",1,0))</f>
        <v>0</v>
      </c>
      <c r="N926" s="2">
        <f>IF(SUM('Actual species'!Q926)&gt;=1,1,IF(SUM('Actual species'!Q926)="X",1,0))</f>
        <v>0</v>
      </c>
      <c r="O926" s="2">
        <f>IF(SUM('Actual species'!R926)&gt;=1,1,IF(SUM('Actual species'!R926)="X",1,0))</f>
        <v>0</v>
      </c>
      <c r="P926" s="2">
        <f>IF(SUM('Actual species'!S926)&gt;=1,1,IF(SUM('Actual species'!S926)="X",1,0))</f>
        <v>0</v>
      </c>
      <c r="Q926" s="2">
        <f>IF(SUM('Actual species'!T926)&gt;=1,1,IF(SUM('Actual species'!T926)="X",1,0))</f>
        <v>0</v>
      </c>
      <c r="R926" s="2">
        <f>IF(SUM('Actual species'!U926)&gt;=1,1,IF(SUM('Actual species'!U926)="X",1,0))</f>
        <v>0</v>
      </c>
    </row>
    <row r="927" spans="1:18" x14ac:dyDescent="0.3">
      <c r="A927" s="113" t="str">
        <f>'Actual species'!A927</f>
        <v>Rugilus angustatus</v>
      </c>
      <c r="B927" s="66">
        <f>IF(SUM('Actual species'!B927:E927)&gt;=1,1,IF(SUM('Actual species'!B927:E927)="X",1,0))</f>
        <v>1</v>
      </c>
      <c r="C927" s="2">
        <f>IF(SUM('Actual species'!F927)&gt;=1,1,IF(SUM('Actual species'!F927)="X",1,0))</f>
        <v>0</v>
      </c>
      <c r="D927" s="2">
        <f>IF(SUM('Actual species'!G927)&gt;=1,1,IF(SUM('Actual species'!G927)="X",1,0))</f>
        <v>0</v>
      </c>
      <c r="E927" s="2">
        <f>IF(SUM('Actual species'!H927)&gt;=1,1,IF(SUM('Actual species'!H927)="X",1,0))</f>
        <v>0</v>
      </c>
      <c r="F927" s="2">
        <f>IF(SUM('Actual species'!I927)&gt;=1,1,IF(SUM('Actual species'!I927)="X",1,0))</f>
        <v>1</v>
      </c>
      <c r="G927" s="2">
        <f>IF(SUM('Actual species'!J927)&gt;=1,1,IF(SUM('Actual species'!J927)="X",1,0))</f>
        <v>0</v>
      </c>
      <c r="H927" s="2">
        <f>IF(SUM('Actual species'!K927)&gt;=1,1,IF(SUM('Actual species'!K927)="X",1,0))</f>
        <v>0</v>
      </c>
      <c r="I927" s="2">
        <f>IF(SUM('Actual species'!L927)&gt;=1,1,IF(SUM('Actual species'!L927)="X",1,0))</f>
        <v>0</v>
      </c>
      <c r="J927" s="2">
        <f>IF(SUM('Actual species'!M927)&gt;=1,1,IF(SUM('Actual species'!M927)="X",1,0))</f>
        <v>0</v>
      </c>
      <c r="K927" s="2">
        <f>IF(SUM('Actual species'!N927)&gt;=1,1,IF(SUM('Actual species'!N927)="X",1,0))</f>
        <v>0</v>
      </c>
      <c r="L927" s="2">
        <f>IF(SUM('Actual species'!O927)&gt;=1,1,IF(SUM('Actual species'!O927)="X",1,0))</f>
        <v>0</v>
      </c>
      <c r="M927" s="2">
        <f>IF(SUM('Actual species'!P927)&gt;=1,1,IF(SUM('Actual species'!P927)="X",1,0))</f>
        <v>0</v>
      </c>
      <c r="N927" s="2">
        <f>IF(SUM('Actual species'!Q927)&gt;=1,1,IF(SUM('Actual species'!Q927)="X",1,0))</f>
        <v>0</v>
      </c>
      <c r="O927" s="2">
        <f>IF(SUM('Actual species'!R927)&gt;=1,1,IF(SUM('Actual species'!R927)="X",1,0))</f>
        <v>0</v>
      </c>
      <c r="P927" s="2">
        <f>IF(SUM('Actual species'!S927)&gt;=1,1,IF(SUM('Actual species'!S927)="X",1,0))</f>
        <v>0</v>
      </c>
      <c r="Q927" s="2">
        <f>IF(SUM('Actual species'!T927)&gt;=1,1,IF(SUM('Actual species'!T927)="X",1,0))</f>
        <v>0</v>
      </c>
      <c r="R927" s="2">
        <f>IF(SUM('Actual species'!U927)&gt;=1,1,IF(SUM('Actual species'!U927)="X",1,0))</f>
        <v>0</v>
      </c>
    </row>
    <row r="928" spans="1:18" x14ac:dyDescent="0.3">
      <c r="A928" s="113" t="str">
        <f>'Actual species'!A928</f>
        <v>Rugilus dilutipes</v>
      </c>
      <c r="B928" s="66">
        <f>IF(SUM('Actual species'!B928:E928)&gt;=1,1,IF(SUM('Actual species'!B928:E928)="X",1,0))</f>
        <v>0</v>
      </c>
      <c r="C928" s="2">
        <f>IF(SUM('Actual species'!F928)&gt;=1,1,IF(SUM('Actual species'!F928)="X",1,0))</f>
        <v>0</v>
      </c>
      <c r="D928" s="2">
        <f>IF(SUM('Actual species'!G928)&gt;=1,1,IF(SUM('Actual species'!G928)="X",1,0))</f>
        <v>0</v>
      </c>
      <c r="E928" s="2">
        <f>IF(SUM('Actual species'!H928)&gt;=1,1,IF(SUM('Actual species'!H928)="X",1,0))</f>
        <v>0</v>
      </c>
      <c r="F928" s="2">
        <f>IF(SUM('Actual species'!I928)&gt;=1,1,IF(SUM('Actual species'!I928)="X",1,0))</f>
        <v>0</v>
      </c>
      <c r="G928" s="2">
        <f>IF(SUM('Actual species'!J928)&gt;=1,1,IF(SUM('Actual species'!J928)="X",1,0))</f>
        <v>0</v>
      </c>
      <c r="H928" s="2">
        <f>IF(SUM('Actual species'!K928)&gt;=1,1,IF(SUM('Actual species'!K928)="X",1,0))</f>
        <v>0</v>
      </c>
      <c r="I928" s="2">
        <f>IF(SUM('Actual species'!L928)&gt;=1,1,IF(SUM('Actual species'!L928)="X",1,0))</f>
        <v>0</v>
      </c>
      <c r="J928" s="2">
        <f>IF(SUM('Actual species'!M928)&gt;=1,1,IF(SUM('Actual species'!M928)="X",1,0))</f>
        <v>1</v>
      </c>
      <c r="K928" s="2">
        <f>IF(SUM('Actual species'!N928)&gt;=1,1,IF(SUM('Actual species'!N928)="X",1,0))</f>
        <v>0</v>
      </c>
      <c r="L928" s="2">
        <f>IF(SUM('Actual species'!O928)&gt;=1,1,IF(SUM('Actual species'!O928)="X",1,0))</f>
        <v>0</v>
      </c>
      <c r="M928" s="2">
        <f>IF(SUM('Actual species'!P928)&gt;=1,1,IF(SUM('Actual species'!P928)="X",1,0))</f>
        <v>1</v>
      </c>
      <c r="N928" s="2">
        <f>IF(SUM('Actual species'!Q928)&gt;=1,1,IF(SUM('Actual species'!Q928)="X",1,0))</f>
        <v>1</v>
      </c>
      <c r="O928" s="2">
        <f>IF(SUM('Actual species'!R928)&gt;=1,1,IF(SUM('Actual species'!R928)="X",1,0))</f>
        <v>0</v>
      </c>
      <c r="P928" s="2">
        <f>IF(SUM('Actual species'!S928)&gt;=1,1,IF(SUM('Actual species'!S928)="X",1,0))</f>
        <v>1</v>
      </c>
      <c r="Q928" s="2">
        <f>IF(SUM('Actual species'!T928)&gt;=1,1,IF(SUM('Actual species'!T928)="X",1,0))</f>
        <v>0</v>
      </c>
      <c r="R928" s="2">
        <f>IF(SUM('Actual species'!U928)&gt;=1,1,IF(SUM('Actual species'!U928)="X",1,0))</f>
        <v>0</v>
      </c>
    </row>
    <row r="929" spans="1:18" x14ac:dyDescent="0.3">
      <c r="A929" s="113" t="str">
        <f>'Actual species'!A929</f>
        <v>Rugilus lesbius</v>
      </c>
      <c r="B929" s="66">
        <f>IF(SUM('Actual species'!B929:E929)&gt;=1,1,IF(SUM('Actual species'!B929:E929)="X",1,0))</f>
        <v>0</v>
      </c>
      <c r="C929" s="2">
        <f>IF(SUM('Actual species'!F929)&gt;=1,1,IF(SUM('Actual species'!F929)="X",1,0))</f>
        <v>0</v>
      </c>
      <c r="D929" s="2">
        <f>IF(SUM('Actual species'!G929)&gt;=1,1,IF(SUM('Actual species'!G929)="X",1,0))</f>
        <v>0</v>
      </c>
      <c r="E929" s="2">
        <f>IF(SUM('Actual species'!H929)&gt;=1,1,IF(SUM('Actual species'!H929)="X",1,0))</f>
        <v>1</v>
      </c>
      <c r="F929" s="2">
        <f>IF(SUM('Actual species'!I929)&gt;=1,1,IF(SUM('Actual species'!I929)="X",1,0))</f>
        <v>1</v>
      </c>
      <c r="G929" s="2">
        <f>IF(SUM('Actual species'!J929)&gt;=1,1,IF(SUM('Actual species'!J929)="X",1,0))</f>
        <v>0</v>
      </c>
      <c r="H929" s="2">
        <f>IF(SUM('Actual species'!K929)&gt;=1,1,IF(SUM('Actual species'!K929)="X",1,0))</f>
        <v>0</v>
      </c>
      <c r="I929" s="2">
        <f>IF(SUM('Actual species'!L929)&gt;=1,1,IF(SUM('Actual species'!L929)="X",1,0))</f>
        <v>0</v>
      </c>
      <c r="J929" s="2">
        <f>IF(SUM('Actual species'!M929)&gt;=1,1,IF(SUM('Actual species'!M929)="X",1,0))</f>
        <v>0</v>
      </c>
      <c r="K929" s="2">
        <f>IF(SUM('Actual species'!N929)&gt;=1,1,IF(SUM('Actual species'!N929)="X",1,0))</f>
        <v>0</v>
      </c>
      <c r="L929" s="2">
        <f>IF(SUM('Actual species'!O929)&gt;=1,1,IF(SUM('Actual species'!O929)="X",1,0))</f>
        <v>0</v>
      </c>
      <c r="M929" s="2">
        <f>IF(SUM('Actual species'!P929)&gt;=1,1,IF(SUM('Actual species'!P929)="X",1,0))</f>
        <v>0</v>
      </c>
      <c r="N929" s="2">
        <f>IF(SUM('Actual species'!Q929)&gt;=1,1,IF(SUM('Actual species'!Q929)="X",1,0))</f>
        <v>0</v>
      </c>
      <c r="O929" s="2">
        <f>IF(SUM('Actual species'!R929)&gt;=1,1,IF(SUM('Actual species'!R929)="X",1,0))</f>
        <v>0</v>
      </c>
      <c r="P929" s="2">
        <f>IF(SUM('Actual species'!S929)&gt;=1,1,IF(SUM('Actual species'!S929)="X",1,0))</f>
        <v>0</v>
      </c>
      <c r="Q929" s="2">
        <f>IF(SUM('Actual species'!T929)&gt;=1,1,IF(SUM('Actual species'!T929)="X",1,0))</f>
        <v>0</v>
      </c>
      <c r="R929" s="2">
        <f>IF(SUM('Actual species'!U929)&gt;=1,1,IF(SUM('Actual species'!U929)="X",1,0))</f>
        <v>0</v>
      </c>
    </row>
    <row r="930" spans="1:18" x14ac:dyDescent="0.3">
      <c r="A930" s="113" t="str">
        <f>'Actual species'!A930</f>
        <v>Rugilus orbiculatus</v>
      </c>
      <c r="B930" s="66">
        <f>IF(SUM('Actual species'!B930:E930)&gt;=1,1,IF(SUM('Actual species'!B930:E930)="X",1,0))</f>
        <v>0</v>
      </c>
      <c r="C930" s="2">
        <f>IF(SUM('Actual species'!F930)&gt;=1,1,IF(SUM('Actual species'!F930)="X",1,0))</f>
        <v>0</v>
      </c>
      <c r="D930" s="2">
        <f>IF(SUM('Actual species'!G930)&gt;=1,1,IF(SUM('Actual species'!G930)="X",1,0))</f>
        <v>0</v>
      </c>
      <c r="E930" s="2">
        <f>IF(SUM('Actual species'!H930)&gt;=1,1,IF(SUM('Actual species'!H930)="X",1,0))</f>
        <v>0</v>
      </c>
      <c r="F930" s="2">
        <f>IF(SUM('Actual species'!I930)&gt;=1,1,IF(SUM('Actual species'!I930)="X",1,0))</f>
        <v>0</v>
      </c>
      <c r="G930" s="2">
        <f>IF(SUM('Actual species'!J930)&gt;=1,1,IF(SUM('Actual species'!J930)="X",1,0))</f>
        <v>0</v>
      </c>
      <c r="H930" s="2">
        <f>IF(SUM('Actual species'!K930)&gt;=1,1,IF(SUM('Actual species'!K930)="X",1,0))</f>
        <v>0</v>
      </c>
      <c r="I930" s="2">
        <f>IF(SUM('Actual species'!L930)&gt;=1,1,IF(SUM('Actual species'!L930)="X",1,0))</f>
        <v>0</v>
      </c>
      <c r="J930" s="2">
        <f>IF(SUM('Actual species'!M930)&gt;=1,1,IF(SUM('Actual species'!M930)="X",1,0))</f>
        <v>1</v>
      </c>
      <c r="K930" s="2">
        <f>IF(SUM('Actual species'!N930)&gt;=1,1,IF(SUM('Actual species'!N930)="X",1,0))</f>
        <v>0</v>
      </c>
      <c r="L930" s="2">
        <f>IF(SUM('Actual species'!O930)&gt;=1,1,IF(SUM('Actual species'!O930)="X",1,0))</f>
        <v>0</v>
      </c>
      <c r="M930" s="2">
        <f>IF(SUM('Actual species'!P930)&gt;=1,1,IF(SUM('Actual species'!P930)="X",1,0))</f>
        <v>0</v>
      </c>
      <c r="N930" s="2">
        <f>IF(SUM('Actual species'!Q930)&gt;=1,1,IF(SUM('Actual species'!Q930)="X",1,0))</f>
        <v>0</v>
      </c>
      <c r="O930" s="2">
        <f>IF(SUM('Actual species'!R930)&gt;=1,1,IF(SUM('Actual species'!R930)="X",1,0))</f>
        <v>0</v>
      </c>
      <c r="P930" s="2">
        <f>IF(SUM('Actual species'!S930)&gt;=1,1,IF(SUM('Actual species'!S930)="X",1,0))</f>
        <v>0</v>
      </c>
      <c r="Q930" s="2">
        <f>IF(SUM('Actual species'!T930)&gt;=1,1,IF(SUM('Actual species'!T930)="X",1,0))</f>
        <v>0</v>
      </c>
      <c r="R930" s="2">
        <f>IF(SUM('Actual species'!U930)&gt;=1,1,IF(SUM('Actual species'!U930)="X",1,0))</f>
        <v>0</v>
      </c>
    </row>
    <row r="931" spans="1:18" x14ac:dyDescent="0.3">
      <c r="A931" s="113" t="str">
        <f>'Actual species'!A931</f>
        <v>Rugilus similis</v>
      </c>
      <c r="B931" s="66">
        <f>IF(SUM('Actual species'!B931:E931)&gt;=1,1,IF(SUM('Actual species'!B931:E931)="X",1,0))</f>
        <v>0</v>
      </c>
      <c r="C931" s="2">
        <f>IF(SUM('Actual species'!F931)&gt;=1,1,IF(SUM('Actual species'!F931)="X",1,0))</f>
        <v>0</v>
      </c>
      <c r="D931" s="2">
        <f>IF(SUM('Actual species'!G931)&gt;=1,1,IF(SUM('Actual species'!G931)="X",1,0))</f>
        <v>0</v>
      </c>
      <c r="E931" s="2">
        <f>IF(SUM('Actual species'!H931)&gt;=1,1,IF(SUM('Actual species'!H931)="X",1,0))</f>
        <v>0</v>
      </c>
      <c r="F931" s="2">
        <f>IF(SUM('Actual species'!I931)&gt;=1,1,IF(SUM('Actual species'!I931)="X",1,0))</f>
        <v>1</v>
      </c>
      <c r="G931" s="2">
        <f>IF(SUM('Actual species'!J931)&gt;=1,1,IF(SUM('Actual species'!J931)="X",1,0))</f>
        <v>0</v>
      </c>
      <c r="H931" s="2">
        <f>IF(SUM('Actual species'!K931)&gt;=1,1,IF(SUM('Actual species'!K931)="X",1,0))</f>
        <v>0</v>
      </c>
      <c r="I931" s="2">
        <f>IF(SUM('Actual species'!L931)&gt;=1,1,IF(SUM('Actual species'!L931)="X",1,0))</f>
        <v>0</v>
      </c>
      <c r="J931" s="2">
        <f>IF(SUM('Actual species'!M931)&gt;=1,1,IF(SUM('Actual species'!M931)="X",1,0))</f>
        <v>0</v>
      </c>
      <c r="K931" s="2">
        <f>IF(SUM('Actual species'!N931)&gt;=1,1,IF(SUM('Actual species'!N931)="X",1,0))</f>
        <v>0</v>
      </c>
      <c r="L931" s="2">
        <f>IF(SUM('Actual species'!O931)&gt;=1,1,IF(SUM('Actual species'!O931)="X",1,0))</f>
        <v>0</v>
      </c>
      <c r="M931" s="2">
        <f>IF(SUM('Actual species'!P931)&gt;=1,1,IF(SUM('Actual species'!P931)="X",1,0))</f>
        <v>0</v>
      </c>
      <c r="N931" s="2">
        <f>IF(SUM('Actual species'!Q931)&gt;=1,1,IF(SUM('Actual species'!Q931)="X",1,0))</f>
        <v>0</v>
      </c>
      <c r="O931" s="2">
        <f>IF(SUM('Actual species'!R931)&gt;=1,1,IF(SUM('Actual species'!R931)="X",1,0))</f>
        <v>0</v>
      </c>
      <c r="P931" s="2">
        <f>IF(SUM('Actual species'!S931)&gt;=1,1,IF(SUM('Actual species'!S931)="X",1,0))</f>
        <v>0</v>
      </c>
      <c r="Q931" s="2">
        <f>IF(SUM('Actual species'!T931)&gt;=1,1,IF(SUM('Actual species'!T931)="X",1,0))</f>
        <v>0</v>
      </c>
      <c r="R931" s="2">
        <f>IF(SUM('Actual species'!U931)&gt;=1,1,IF(SUM('Actual species'!U931)="X",1,0))</f>
        <v>0</v>
      </c>
    </row>
    <row r="932" spans="1:18" x14ac:dyDescent="0.3">
      <c r="A932" s="113" t="str">
        <f>'Actual species'!A932</f>
        <v>Scopaeus cameroni</v>
      </c>
      <c r="B932" s="66">
        <f>IF(SUM('Actual species'!B932:E932)&gt;=1,1,IF(SUM('Actual species'!B932:E932)="X",1,0))</f>
        <v>0</v>
      </c>
      <c r="C932" s="2">
        <f>IF(SUM('Actual species'!F932)&gt;=1,1,IF(SUM('Actual species'!F932)="X",1,0))</f>
        <v>0</v>
      </c>
      <c r="D932" s="2">
        <f>IF(SUM('Actual species'!G932)&gt;=1,1,IF(SUM('Actual species'!G932)="X",1,0))</f>
        <v>0</v>
      </c>
      <c r="E932" s="2">
        <f>IF(SUM('Actual species'!H932)&gt;=1,1,IF(SUM('Actual species'!H932)="X",1,0))</f>
        <v>0</v>
      </c>
      <c r="F932" s="2">
        <f>IF(SUM('Actual species'!I932)&gt;=1,1,IF(SUM('Actual species'!I932)="X",1,0))</f>
        <v>1</v>
      </c>
      <c r="G932" s="2">
        <f>IF(SUM('Actual species'!J932)&gt;=1,1,IF(SUM('Actual species'!J932)="X",1,0))</f>
        <v>0</v>
      </c>
      <c r="H932" s="2">
        <f>IF(SUM('Actual species'!K932)&gt;=1,1,IF(SUM('Actual species'!K932)="X",1,0))</f>
        <v>0</v>
      </c>
      <c r="I932" s="2">
        <f>IF(SUM('Actual species'!L932)&gt;=1,1,IF(SUM('Actual species'!L932)="X",1,0))</f>
        <v>0</v>
      </c>
      <c r="J932" s="2">
        <f>IF(SUM('Actual species'!M932)&gt;=1,1,IF(SUM('Actual species'!M932)="X",1,0))</f>
        <v>1</v>
      </c>
      <c r="K932" s="2">
        <f>IF(SUM('Actual species'!N932)&gt;=1,1,IF(SUM('Actual species'!N932)="X",1,0))</f>
        <v>0</v>
      </c>
      <c r="L932" s="2">
        <f>IF(SUM('Actual species'!O932)&gt;=1,1,IF(SUM('Actual species'!O932)="X",1,0))</f>
        <v>0</v>
      </c>
      <c r="M932" s="2">
        <f>IF(SUM('Actual species'!P932)&gt;=1,1,IF(SUM('Actual species'!P932)="X",1,0))</f>
        <v>0</v>
      </c>
      <c r="N932" s="2">
        <f>IF(SUM('Actual species'!Q932)&gt;=1,1,IF(SUM('Actual species'!Q932)="X",1,0))</f>
        <v>0</v>
      </c>
      <c r="O932" s="2">
        <f>IF(SUM('Actual species'!R932)&gt;=1,1,IF(SUM('Actual species'!R932)="X",1,0))</f>
        <v>0</v>
      </c>
      <c r="P932" s="2">
        <f>IF(SUM('Actual species'!S932)&gt;=1,1,IF(SUM('Actual species'!S932)="X",1,0))</f>
        <v>0</v>
      </c>
      <c r="Q932" s="2">
        <f>IF(SUM('Actual species'!T932)&gt;=1,1,IF(SUM('Actual species'!T932)="X",1,0))</f>
        <v>0</v>
      </c>
      <c r="R932" s="2">
        <f>IF(SUM('Actual species'!U932)&gt;=1,1,IF(SUM('Actual species'!U932)="X",1,0))</f>
        <v>0</v>
      </c>
    </row>
    <row r="933" spans="1:18" x14ac:dyDescent="0.3">
      <c r="A933" s="113" t="str">
        <f>'Actual species'!A933</f>
        <v>Scopaeus cf. Pusillus</v>
      </c>
      <c r="B933" s="66">
        <f>IF(SUM('Actual species'!B933:E933)&gt;=1,1,IF(SUM('Actual species'!B933:E933)="X",1,0))</f>
        <v>0</v>
      </c>
      <c r="C933" s="2">
        <f>IF(SUM('Actual species'!F933)&gt;=1,1,IF(SUM('Actual species'!F933)="X",1,0))</f>
        <v>0</v>
      </c>
      <c r="D933" s="2">
        <f>IF(SUM('Actual species'!G933)&gt;=1,1,IF(SUM('Actual species'!G933)="X",1,0))</f>
        <v>0</v>
      </c>
      <c r="E933" s="2">
        <f>IF(SUM('Actual species'!H933)&gt;=1,1,IF(SUM('Actual species'!H933)="X",1,0))</f>
        <v>0</v>
      </c>
      <c r="F933" s="2">
        <f>IF(SUM('Actual species'!I933)&gt;=1,1,IF(SUM('Actual species'!I933)="X",1,0))</f>
        <v>1</v>
      </c>
      <c r="G933" s="2">
        <f>IF(SUM('Actual species'!J933)&gt;=1,1,IF(SUM('Actual species'!J933)="X",1,0))</f>
        <v>0</v>
      </c>
      <c r="H933" s="2">
        <f>IF(SUM('Actual species'!K933)&gt;=1,1,IF(SUM('Actual species'!K933)="X",1,0))</f>
        <v>0</v>
      </c>
      <c r="I933" s="2">
        <f>IF(SUM('Actual species'!L933)&gt;=1,1,IF(SUM('Actual species'!L933)="X",1,0))</f>
        <v>0</v>
      </c>
      <c r="J933" s="2">
        <f>IF(SUM('Actual species'!M933)&gt;=1,1,IF(SUM('Actual species'!M933)="X",1,0))</f>
        <v>0</v>
      </c>
      <c r="K933" s="2">
        <f>IF(SUM('Actual species'!N933)&gt;=1,1,IF(SUM('Actual species'!N933)="X",1,0))</f>
        <v>0</v>
      </c>
      <c r="L933" s="2">
        <f>IF(SUM('Actual species'!O933)&gt;=1,1,IF(SUM('Actual species'!O933)="X",1,0))</f>
        <v>0</v>
      </c>
      <c r="M933" s="2">
        <f>IF(SUM('Actual species'!P933)&gt;=1,1,IF(SUM('Actual species'!P933)="X",1,0))</f>
        <v>0</v>
      </c>
      <c r="N933" s="2">
        <f>IF(SUM('Actual species'!Q933)&gt;=1,1,IF(SUM('Actual species'!Q933)="X",1,0))</f>
        <v>0</v>
      </c>
      <c r="O933" s="2">
        <f>IF(SUM('Actual species'!R933)&gt;=1,1,IF(SUM('Actual species'!R933)="X",1,0))</f>
        <v>0</v>
      </c>
      <c r="P933" s="2">
        <f>IF(SUM('Actual species'!S933)&gt;=1,1,IF(SUM('Actual species'!S933)="X",1,0))</f>
        <v>0</v>
      </c>
      <c r="Q933" s="2">
        <f>IF(SUM('Actual species'!T933)&gt;=1,1,IF(SUM('Actual species'!T933)="X",1,0))</f>
        <v>0</v>
      </c>
      <c r="R933" s="2">
        <f>IF(SUM('Actual species'!U933)&gt;=1,1,IF(SUM('Actual species'!U933)="X",1,0))</f>
        <v>0</v>
      </c>
    </row>
    <row r="934" spans="1:18" x14ac:dyDescent="0.3">
      <c r="A934" s="113" t="str">
        <f>'Actual species'!A934</f>
        <v>Scopaeus creticus</v>
      </c>
      <c r="B934" s="66">
        <f>IF(SUM('Actual species'!B934:E934)&gt;=1,1,IF(SUM('Actual species'!B934:E934)="X",1,0))</f>
        <v>0</v>
      </c>
      <c r="C934" s="2">
        <f>IF(SUM('Actual species'!F934)&gt;=1,1,IF(SUM('Actual species'!F934)="X",1,0))</f>
        <v>0</v>
      </c>
      <c r="D934" s="2">
        <f>IF(SUM('Actual species'!G934)&gt;=1,1,IF(SUM('Actual species'!G934)="X",1,0))</f>
        <v>0</v>
      </c>
      <c r="E934" s="2">
        <f>IF(SUM('Actual species'!H934)&gt;=1,1,IF(SUM('Actual species'!H934)="X",1,0))</f>
        <v>0</v>
      </c>
      <c r="F934" s="2">
        <f>IF(SUM('Actual species'!I934)&gt;=1,1,IF(SUM('Actual species'!I934)="X",1,0))</f>
        <v>0</v>
      </c>
      <c r="G934" s="2">
        <f>IF(SUM('Actual species'!J934)&gt;=1,1,IF(SUM('Actual species'!J934)="X",1,0))</f>
        <v>0</v>
      </c>
      <c r="H934" s="2">
        <f>IF(SUM('Actual species'!K934)&gt;=1,1,IF(SUM('Actual species'!K934)="X",1,0))</f>
        <v>0</v>
      </c>
      <c r="I934" s="2">
        <f>IF(SUM('Actual species'!L934)&gt;=1,1,IF(SUM('Actual species'!L934)="X",1,0))</f>
        <v>0</v>
      </c>
      <c r="J934" s="2">
        <f>IF(SUM('Actual species'!M934)&gt;=1,1,IF(SUM('Actual species'!M934)="X",1,0))</f>
        <v>0</v>
      </c>
      <c r="K934" s="2">
        <f>IF(SUM('Actual species'!N934)&gt;=1,1,IF(SUM('Actual species'!N934)="X",1,0))</f>
        <v>0</v>
      </c>
      <c r="L934" s="2">
        <f>IF(SUM('Actual species'!O934)&gt;=1,1,IF(SUM('Actual species'!O934)="X",1,0))</f>
        <v>1</v>
      </c>
      <c r="M934" s="2">
        <f>IF(SUM('Actual species'!P934)&gt;=1,1,IF(SUM('Actual species'!P934)="X",1,0))</f>
        <v>0</v>
      </c>
      <c r="N934" s="2">
        <f>IF(SUM('Actual species'!Q934)&gt;=1,1,IF(SUM('Actual species'!Q934)="X",1,0))</f>
        <v>0</v>
      </c>
      <c r="O934" s="2">
        <f>IF(SUM('Actual species'!R934)&gt;=1,1,IF(SUM('Actual species'!R934)="X",1,0))</f>
        <v>0</v>
      </c>
      <c r="P934" s="2">
        <f>IF(SUM('Actual species'!S934)&gt;=1,1,IF(SUM('Actual species'!S934)="X",1,0))</f>
        <v>0</v>
      </c>
      <c r="Q934" s="2">
        <f>IF(SUM('Actual species'!T934)&gt;=1,1,IF(SUM('Actual species'!T934)="X",1,0))</f>
        <v>0</v>
      </c>
      <c r="R934" s="2">
        <f>IF(SUM('Actual species'!U934)&gt;=1,1,IF(SUM('Actual species'!U934)="X",1,0))</f>
        <v>0</v>
      </c>
    </row>
    <row r="935" spans="1:18" x14ac:dyDescent="0.3">
      <c r="A935" s="113" t="str">
        <f>'Actual species'!A935</f>
        <v>Scopaeus debilis</v>
      </c>
      <c r="B935" s="66">
        <f>IF(SUM('Actual species'!B935:E935)&gt;=1,1,IF(SUM('Actual species'!B935:E935)="X",1,0))</f>
        <v>1</v>
      </c>
      <c r="C935" s="2">
        <f>IF(SUM('Actual species'!F935)&gt;=1,1,IF(SUM('Actual species'!F935)="X",1,0))</f>
        <v>0</v>
      </c>
      <c r="D935" s="2">
        <f>IF(SUM('Actual species'!G935)&gt;=1,1,IF(SUM('Actual species'!G935)="X",1,0))</f>
        <v>0</v>
      </c>
      <c r="E935" s="2">
        <f>IF(SUM('Actual species'!H935)&gt;=1,1,IF(SUM('Actual species'!H935)="X",1,0))</f>
        <v>0</v>
      </c>
      <c r="F935" s="2">
        <f>IF(SUM('Actual species'!I935)&gt;=1,1,IF(SUM('Actual species'!I935)="X",1,0))</f>
        <v>1</v>
      </c>
      <c r="G935" s="2">
        <f>IF(SUM('Actual species'!J935)&gt;=1,1,IF(SUM('Actual species'!J935)="X",1,0))</f>
        <v>0</v>
      </c>
      <c r="H935" s="2">
        <f>IF(SUM('Actual species'!K935)&gt;=1,1,IF(SUM('Actual species'!K935)="X",1,0))</f>
        <v>0</v>
      </c>
      <c r="I935" s="2">
        <f>IF(SUM('Actual species'!L935)&gt;=1,1,IF(SUM('Actual species'!L935)="X",1,0))</f>
        <v>0</v>
      </c>
      <c r="J935" s="2">
        <f>IF(SUM('Actual species'!M935)&gt;=1,1,IF(SUM('Actual species'!M935)="X",1,0))</f>
        <v>1</v>
      </c>
      <c r="K935" s="2">
        <f>IF(SUM('Actual species'!N935)&gt;=1,1,IF(SUM('Actual species'!N935)="X",1,0))</f>
        <v>0</v>
      </c>
      <c r="L935" s="2">
        <f>IF(SUM('Actual species'!O935)&gt;=1,1,IF(SUM('Actual species'!O935)="X",1,0))</f>
        <v>0</v>
      </c>
      <c r="M935" s="2">
        <f>IF(SUM('Actual species'!P935)&gt;=1,1,IF(SUM('Actual species'!P935)="X",1,0))</f>
        <v>0</v>
      </c>
      <c r="N935" s="2">
        <f>IF(SUM('Actual species'!Q935)&gt;=1,1,IF(SUM('Actual species'!Q935)="X",1,0))</f>
        <v>1</v>
      </c>
      <c r="O935" s="2">
        <f>IF(SUM('Actual species'!R935)&gt;=1,1,IF(SUM('Actual species'!R935)="X",1,0))</f>
        <v>0</v>
      </c>
      <c r="P935" s="2">
        <f>IF(SUM('Actual species'!S935)&gt;=1,1,IF(SUM('Actual species'!S935)="X",1,0))</f>
        <v>0</v>
      </c>
      <c r="Q935" s="2">
        <f>IF(SUM('Actual species'!T935)&gt;=1,1,IF(SUM('Actual species'!T935)="X",1,0))</f>
        <v>0</v>
      </c>
      <c r="R935" s="2">
        <f>IF(SUM('Actual species'!U935)&gt;=1,1,IF(SUM('Actual species'!U935)="X",1,0))</f>
        <v>0</v>
      </c>
    </row>
    <row r="936" spans="1:18" x14ac:dyDescent="0.3">
      <c r="A936" s="113" t="str">
        <f>'Actual species'!A936</f>
        <v xml:space="preserve">*Scopaeus flavofasciatus (E) </v>
      </c>
      <c r="B936" s="66">
        <f>IF(SUM('Actual species'!B936:E936)&gt;=1,1,IF(SUM('Actual species'!B936:E936)="X",1,0))</f>
        <v>1</v>
      </c>
      <c r="C936" s="2">
        <f>IF(SUM('Actual species'!F936)&gt;=1,1,IF(SUM('Actual species'!F936)="X",1,0))</f>
        <v>0</v>
      </c>
      <c r="D936" s="2">
        <f>IF(SUM('Actual species'!G936)&gt;=1,1,IF(SUM('Actual species'!G936)="X",1,0))</f>
        <v>0</v>
      </c>
      <c r="E936" s="2">
        <f>IF(SUM('Actual species'!H936)&gt;=1,1,IF(SUM('Actual species'!H936)="X",1,0))</f>
        <v>0</v>
      </c>
      <c r="F936" s="2">
        <f>IF(SUM('Actual species'!I936)&gt;=1,1,IF(SUM('Actual species'!I936)="X",1,0))</f>
        <v>0</v>
      </c>
      <c r="G936" s="2">
        <f>IF(SUM('Actual species'!J936)&gt;=1,1,IF(SUM('Actual species'!J936)="X",1,0))</f>
        <v>0</v>
      </c>
      <c r="H936" s="2">
        <f>IF(SUM('Actual species'!K936)&gt;=1,1,IF(SUM('Actual species'!K936)="X",1,0))</f>
        <v>0</v>
      </c>
      <c r="I936" s="2">
        <f>IF(SUM('Actual species'!L936)&gt;=1,1,IF(SUM('Actual species'!L936)="X",1,0))</f>
        <v>0</v>
      </c>
      <c r="J936" s="2">
        <f>IF(SUM('Actual species'!M936)&gt;=1,1,IF(SUM('Actual species'!M936)="X",1,0))</f>
        <v>0</v>
      </c>
      <c r="K936" s="2">
        <f>IF(SUM('Actual species'!N936)&gt;=1,1,IF(SUM('Actual species'!N936)="X",1,0))</f>
        <v>0</v>
      </c>
      <c r="L936" s="2">
        <f>IF(SUM('Actual species'!O936)&gt;=1,1,IF(SUM('Actual species'!O936)="X",1,0))</f>
        <v>0</v>
      </c>
      <c r="M936" s="2">
        <f>IF(SUM('Actual species'!P936)&gt;=1,1,IF(SUM('Actual species'!P936)="X",1,0))</f>
        <v>0</v>
      </c>
      <c r="N936" s="2">
        <f>IF(SUM('Actual species'!Q936)&gt;=1,1,IF(SUM('Actual species'!Q936)="X",1,0))</f>
        <v>0</v>
      </c>
      <c r="O936" s="2">
        <f>IF(SUM('Actual species'!R936)&gt;=1,1,IF(SUM('Actual species'!R936)="X",1,0))</f>
        <v>0</v>
      </c>
      <c r="P936" s="2">
        <f>IF(SUM('Actual species'!S936)&gt;=1,1,IF(SUM('Actual species'!S936)="X",1,0))</f>
        <v>0</v>
      </c>
      <c r="Q936" s="2">
        <f>IF(SUM('Actual species'!T936)&gt;=1,1,IF(SUM('Actual species'!T936)="X",1,0))</f>
        <v>0</v>
      </c>
      <c r="R936" s="2">
        <f>IF(SUM('Actual species'!U936)&gt;=1,1,IF(SUM('Actual species'!U936)="X",1,0))</f>
        <v>0</v>
      </c>
    </row>
    <row r="937" spans="1:18" x14ac:dyDescent="0.3">
      <c r="A937" s="113" t="str">
        <f>'Actual species'!A937</f>
        <v>Scopaeus gracilis</v>
      </c>
      <c r="B937" s="66">
        <f>IF(SUM('Actual species'!B937:E937)&gt;=1,1,IF(SUM('Actual species'!B937:E937)="X",1,0))</f>
        <v>0</v>
      </c>
      <c r="C937" s="2">
        <f>IF(SUM('Actual species'!F937)&gt;=1,1,IF(SUM('Actual species'!F937)="X",1,0))</f>
        <v>0</v>
      </c>
      <c r="D937" s="2">
        <f>IF(SUM('Actual species'!G937)&gt;=1,1,IF(SUM('Actual species'!G937)="X",1,0))</f>
        <v>0</v>
      </c>
      <c r="E937" s="2">
        <f>IF(SUM('Actual species'!H937)&gt;=1,1,IF(SUM('Actual species'!H937)="X",1,0))</f>
        <v>0</v>
      </c>
      <c r="F937" s="2">
        <f>IF(SUM('Actual species'!I937)&gt;=1,1,IF(SUM('Actual species'!I937)="X",1,0))</f>
        <v>1</v>
      </c>
      <c r="G937" s="2">
        <f>IF(SUM('Actual species'!J937)&gt;=1,1,IF(SUM('Actual species'!J937)="X",1,0))</f>
        <v>0</v>
      </c>
      <c r="H937" s="2">
        <f>IF(SUM('Actual species'!K937)&gt;=1,1,IF(SUM('Actual species'!K937)="X",1,0))</f>
        <v>0</v>
      </c>
      <c r="I937" s="2">
        <f>IF(SUM('Actual species'!L937)&gt;=1,1,IF(SUM('Actual species'!L937)="X",1,0))</f>
        <v>0</v>
      </c>
      <c r="J937" s="2">
        <f>IF(SUM('Actual species'!M937)&gt;=1,1,IF(SUM('Actual species'!M937)="X",1,0))</f>
        <v>0</v>
      </c>
      <c r="K937" s="2">
        <f>IF(SUM('Actual species'!N937)&gt;=1,1,IF(SUM('Actual species'!N937)="X",1,0))</f>
        <v>0</v>
      </c>
      <c r="L937" s="2">
        <f>IF(SUM('Actual species'!O937)&gt;=1,1,IF(SUM('Actual species'!O937)="X",1,0))</f>
        <v>0</v>
      </c>
      <c r="M937" s="2">
        <f>IF(SUM('Actual species'!P937)&gt;=1,1,IF(SUM('Actual species'!P937)="X",1,0))</f>
        <v>0</v>
      </c>
      <c r="N937" s="2">
        <f>IF(SUM('Actual species'!Q937)&gt;=1,1,IF(SUM('Actual species'!Q937)="X",1,0))</f>
        <v>1</v>
      </c>
      <c r="O937" s="2">
        <f>IF(SUM('Actual species'!R937)&gt;=1,1,IF(SUM('Actual species'!R937)="X",1,0))</f>
        <v>1</v>
      </c>
      <c r="P937" s="2">
        <f>IF(SUM('Actual species'!S937)&gt;=1,1,IF(SUM('Actual species'!S937)="X",1,0))</f>
        <v>0</v>
      </c>
      <c r="Q937" s="2">
        <f>IF(SUM('Actual species'!T937)&gt;=1,1,IF(SUM('Actual species'!T937)="X",1,0))</f>
        <v>0</v>
      </c>
      <c r="R937" s="2">
        <f>IF(SUM('Actual species'!U937)&gt;=1,1,IF(SUM('Actual species'!U937)="X",1,0))</f>
        <v>0</v>
      </c>
    </row>
    <row r="938" spans="1:18" x14ac:dyDescent="0.3">
      <c r="A938" s="113" t="str">
        <f>'Actual species'!A938</f>
        <v>Scopaeus haemusensis</v>
      </c>
      <c r="B938" s="66">
        <f>IF(SUM('Actual species'!B938:E938)&gt;=1,1,IF(SUM('Actual species'!B938:E938)="X",1,0))</f>
        <v>0</v>
      </c>
      <c r="C938" s="2">
        <f>IF(SUM('Actual species'!F938)&gt;=1,1,IF(SUM('Actual species'!F938)="X",1,0))</f>
        <v>0</v>
      </c>
      <c r="D938" s="2">
        <f>IF(SUM('Actual species'!G938)&gt;=1,1,IF(SUM('Actual species'!G938)="X",1,0))</f>
        <v>0</v>
      </c>
      <c r="E938" s="2">
        <f>IF(SUM('Actual species'!H938)&gt;=1,1,IF(SUM('Actual species'!H938)="X",1,0))</f>
        <v>1</v>
      </c>
      <c r="F938" s="2">
        <f>IF(SUM('Actual species'!I938)&gt;=1,1,IF(SUM('Actual species'!I938)="X",1,0))</f>
        <v>0</v>
      </c>
      <c r="G938" s="2">
        <f>IF(SUM('Actual species'!J938)&gt;=1,1,IF(SUM('Actual species'!J938)="X",1,0))</f>
        <v>0</v>
      </c>
      <c r="H938" s="2">
        <f>IF(SUM('Actual species'!K938)&gt;=1,1,IF(SUM('Actual species'!K938)="X",1,0))</f>
        <v>0</v>
      </c>
      <c r="I938" s="2">
        <f>IF(SUM('Actual species'!L938)&gt;=1,1,IF(SUM('Actual species'!L938)="X",1,0))</f>
        <v>0</v>
      </c>
      <c r="J938" s="2">
        <f>IF(SUM('Actual species'!M938)&gt;=1,1,IF(SUM('Actual species'!M938)="X",1,0))</f>
        <v>0</v>
      </c>
      <c r="K938" s="2">
        <f>IF(SUM('Actual species'!N938)&gt;=1,1,IF(SUM('Actual species'!N938)="X",1,0))</f>
        <v>0</v>
      </c>
      <c r="L938" s="2">
        <f>IF(SUM('Actual species'!O938)&gt;=1,1,IF(SUM('Actual species'!O938)="X",1,0))</f>
        <v>0</v>
      </c>
      <c r="M938" s="2">
        <f>IF(SUM('Actual species'!P938)&gt;=1,1,IF(SUM('Actual species'!P938)="X",1,0))</f>
        <v>0</v>
      </c>
      <c r="N938" s="2">
        <f>IF(SUM('Actual species'!Q938)&gt;=1,1,IF(SUM('Actual species'!Q938)="X",1,0))</f>
        <v>0</v>
      </c>
      <c r="O938" s="2">
        <f>IF(SUM('Actual species'!R938)&gt;=1,1,IF(SUM('Actual species'!R938)="X",1,0))</f>
        <v>0</v>
      </c>
      <c r="P938" s="2">
        <f>IF(SUM('Actual species'!S938)&gt;=1,1,IF(SUM('Actual species'!S938)="X",1,0))</f>
        <v>0</v>
      </c>
      <c r="Q938" s="2">
        <f>IF(SUM('Actual species'!T938)&gt;=1,1,IF(SUM('Actual species'!T938)="X",1,0))</f>
        <v>0</v>
      </c>
      <c r="R938" s="2">
        <f>IF(SUM('Actual species'!U938)&gt;=1,1,IF(SUM('Actual species'!U938)="X",1,0))</f>
        <v>0</v>
      </c>
    </row>
    <row r="939" spans="1:18" x14ac:dyDescent="0.3">
      <c r="A939" s="113" t="str">
        <f>'Actual species'!A939</f>
        <v>Scopaeus illyricus</v>
      </c>
      <c r="B939" s="66">
        <f>IF(SUM('Actual species'!B939:E939)&gt;=1,1,IF(SUM('Actual species'!B939:E939)="X",1,0))</f>
        <v>0</v>
      </c>
      <c r="C939" s="2">
        <f>IF(SUM('Actual species'!F939)&gt;=1,1,IF(SUM('Actual species'!F939)="X",1,0))</f>
        <v>0</v>
      </c>
      <c r="D939" s="2">
        <f>IF(SUM('Actual species'!G939)&gt;=1,1,IF(SUM('Actual species'!G939)="X",1,0))</f>
        <v>0</v>
      </c>
      <c r="E939" s="2">
        <f>IF(SUM('Actual species'!H939)&gt;=1,1,IF(SUM('Actual species'!H939)="X",1,0))</f>
        <v>0</v>
      </c>
      <c r="F939" s="2">
        <f>IF(SUM('Actual species'!I939)&gt;=1,1,IF(SUM('Actual species'!I939)="X",1,0))</f>
        <v>0</v>
      </c>
      <c r="G939" s="2">
        <f>IF(SUM('Actual species'!J939)&gt;=1,1,IF(SUM('Actual species'!J939)="X",1,0))</f>
        <v>0</v>
      </c>
      <c r="H939" s="2">
        <f>IF(SUM('Actual species'!K939)&gt;=1,1,IF(SUM('Actual species'!K939)="X",1,0))</f>
        <v>0</v>
      </c>
      <c r="I939" s="2">
        <f>IF(SUM('Actual species'!L939)&gt;=1,1,IF(SUM('Actual species'!L939)="X",1,0))</f>
        <v>0</v>
      </c>
      <c r="J939" s="2">
        <f>IF(SUM('Actual species'!M939)&gt;=1,1,IF(SUM('Actual species'!M939)="X",1,0))</f>
        <v>0</v>
      </c>
      <c r="K939" s="2">
        <f>IF(SUM('Actual species'!N939)&gt;=1,1,IF(SUM('Actual species'!N939)="X",1,0))</f>
        <v>0</v>
      </c>
      <c r="L939" s="2">
        <f>IF(SUM('Actual species'!O939)&gt;=1,1,IF(SUM('Actual species'!O939)="X",1,0))</f>
        <v>0</v>
      </c>
      <c r="M939" s="2">
        <f>IF(SUM('Actual species'!P939)&gt;=1,1,IF(SUM('Actual species'!P939)="X",1,0))</f>
        <v>0</v>
      </c>
      <c r="N939" s="2">
        <f>IF(SUM('Actual species'!Q939)&gt;=1,1,IF(SUM('Actual species'!Q939)="X",1,0))</f>
        <v>0</v>
      </c>
      <c r="O939" s="2">
        <f>IF(SUM('Actual species'!R939)&gt;=1,1,IF(SUM('Actual species'!R939)="X",1,0))</f>
        <v>0</v>
      </c>
      <c r="P939" s="2">
        <f>IF(SUM('Actual species'!S939)&gt;=1,1,IF(SUM('Actual species'!S939)="X",1,0))</f>
        <v>1</v>
      </c>
      <c r="Q939" s="2">
        <f>IF(SUM('Actual species'!T939)&gt;=1,1,IF(SUM('Actual species'!T939)="X",1,0))</f>
        <v>0</v>
      </c>
      <c r="R939" s="2">
        <f>IF(SUM('Actual species'!U939)&gt;=1,1,IF(SUM('Actual species'!U939)="X",1,0))</f>
        <v>0</v>
      </c>
    </row>
    <row r="940" spans="1:18" x14ac:dyDescent="0.3">
      <c r="A940" s="113" t="str">
        <f>'Actual species'!A940</f>
        <v>Scopaeus laevigatus</v>
      </c>
      <c r="B940" s="66">
        <f>IF(SUM('Actual species'!B940:E940)&gt;=1,1,IF(SUM('Actual species'!B940:E940)="X",1,0))</f>
        <v>0</v>
      </c>
      <c r="C940" s="2">
        <f>IF(SUM('Actual species'!F940)&gt;=1,1,IF(SUM('Actual species'!F940)="X",1,0))</f>
        <v>0</v>
      </c>
      <c r="D940" s="2">
        <f>IF(SUM('Actual species'!G940)&gt;=1,1,IF(SUM('Actual species'!G940)="X",1,0))</f>
        <v>0</v>
      </c>
      <c r="E940" s="2">
        <f>IF(SUM('Actual species'!H940)&gt;=1,1,IF(SUM('Actual species'!H940)="X",1,0))</f>
        <v>0</v>
      </c>
      <c r="F940" s="2">
        <f>IF(SUM('Actual species'!I940)&gt;=1,1,IF(SUM('Actual species'!I940)="X",1,0))</f>
        <v>1</v>
      </c>
      <c r="G940" s="2">
        <f>IF(SUM('Actual species'!J940)&gt;=1,1,IF(SUM('Actual species'!J940)="X",1,0))</f>
        <v>0</v>
      </c>
      <c r="H940" s="2">
        <f>IF(SUM('Actual species'!K940)&gt;=1,1,IF(SUM('Actual species'!K940)="X",1,0))</f>
        <v>0</v>
      </c>
      <c r="I940" s="2">
        <f>IF(SUM('Actual species'!L940)&gt;=1,1,IF(SUM('Actual species'!L940)="X",1,0))</f>
        <v>0</v>
      </c>
      <c r="J940" s="2">
        <f>IF(SUM('Actual species'!M940)&gt;=1,1,IF(SUM('Actual species'!M940)="X",1,0))</f>
        <v>1</v>
      </c>
      <c r="K940" s="2">
        <f>IF(SUM('Actual species'!N940)&gt;=1,1,IF(SUM('Actual species'!N940)="X",1,0))</f>
        <v>0</v>
      </c>
      <c r="L940" s="2">
        <f>IF(SUM('Actual species'!O940)&gt;=1,1,IF(SUM('Actual species'!O940)="X",1,0))</f>
        <v>0</v>
      </c>
      <c r="M940" s="2">
        <f>IF(SUM('Actual species'!P940)&gt;=1,1,IF(SUM('Actual species'!P940)="X",1,0))</f>
        <v>0</v>
      </c>
      <c r="N940" s="2">
        <f>IF(SUM('Actual species'!Q940)&gt;=1,1,IF(SUM('Actual species'!Q940)="X",1,0))</f>
        <v>1</v>
      </c>
      <c r="O940" s="2">
        <f>IF(SUM('Actual species'!R940)&gt;=1,1,IF(SUM('Actual species'!R940)="X",1,0))</f>
        <v>0</v>
      </c>
      <c r="P940" s="2">
        <f>IF(SUM('Actual species'!S940)&gt;=1,1,IF(SUM('Actual species'!S940)="X",1,0))</f>
        <v>1</v>
      </c>
      <c r="Q940" s="2">
        <f>IF(SUM('Actual species'!T940)&gt;=1,1,IF(SUM('Actual species'!T940)="X",1,0))</f>
        <v>0</v>
      </c>
      <c r="R940" s="2">
        <f>IF(SUM('Actual species'!U940)&gt;=1,1,IF(SUM('Actual species'!U940)="X",1,0))</f>
        <v>0</v>
      </c>
    </row>
    <row r="941" spans="1:18" x14ac:dyDescent="0.3">
      <c r="A941" s="113" t="str">
        <f>'Actual species'!A941</f>
        <v>Scopaeus mitratus</v>
      </c>
      <c r="B941" s="66">
        <f>IF(SUM('Actual species'!B941:E941)&gt;=1,1,IF(SUM('Actual species'!B941:E941)="X",1,0))</f>
        <v>0</v>
      </c>
      <c r="C941" s="2">
        <f>IF(SUM('Actual species'!F941)&gt;=1,1,IF(SUM('Actual species'!F941)="X",1,0))</f>
        <v>0</v>
      </c>
      <c r="D941" s="2">
        <f>IF(SUM('Actual species'!G941)&gt;=1,1,IF(SUM('Actual species'!G941)="X",1,0))</f>
        <v>0</v>
      </c>
      <c r="E941" s="2">
        <f>IF(SUM('Actual species'!H941)&gt;=1,1,IF(SUM('Actual species'!H941)="X",1,0))</f>
        <v>0</v>
      </c>
      <c r="F941" s="2">
        <f>IF(SUM('Actual species'!I941)&gt;=1,1,IF(SUM('Actual species'!I941)="X",1,0))</f>
        <v>0</v>
      </c>
      <c r="G941" s="2">
        <f>IF(SUM('Actual species'!J941)&gt;=1,1,IF(SUM('Actual species'!J941)="X",1,0))</f>
        <v>0</v>
      </c>
      <c r="H941" s="2">
        <f>IF(SUM('Actual species'!K941)&gt;=1,1,IF(SUM('Actual species'!K941)="X",1,0))</f>
        <v>0</v>
      </c>
      <c r="I941" s="2">
        <f>IF(SUM('Actual species'!L941)&gt;=1,1,IF(SUM('Actual species'!L941)="X",1,0))</f>
        <v>0</v>
      </c>
      <c r="J941" s="2">
        <f>IF(SUM('Actual species'!M941)&gt;=1,1,IF(SUM('Actual species'!M941)="X",1,0))</f>
        <v>0</v>
      </c>
      <c r="K941" s="2">
        <f>IF(SUM('Actual species'!N941)&gt;=1,1,IF(SUM('Actual species'!N941)="X",1,0))</f>
        <v>0</v>
      </c>
      <c r="L941" s="2">
        <f>IF(SUM('Actual species'!O941)&gt;=1,1,IF(SUM('Actual species'!O941)="X",1,0))</f>
        <v>0</v>
      </c>
      <c r="M941" s="2">
        <f>IF(SUM('Actual species'!P941)&gt;=1,1,IF(SUM('Actual species'!P941)="X",1,0))</f>
        <v>0</v>
      </c>
      <c r="N941" s="2">
        <f>IF(SUM('Actual species'!Q941)&gt;=1,1,IF(SUM('Actual species'!Q941)="X",1,0))</f>
        <v>0</v>
      </c>
      <c r="O941" s="2">
        <f>IF(SUM('Actual species'!R941)&gt;=1,1,IF(SUM('Actual species'!R941)="X",1,0))</f>
        <v>0</v>
      </c>
      <c r="P941" s="2">
        <f>IF(SUM('Actual species'!S941)&gt;=1,1,IF(SUM('Actual species'!S941)="X",1,0))</f>
        <v>0</v>
      </c>
      <c r="Q941" s="2">
        <f>IF(SUM('Actual species'!T941)&gt;=1,1,IF(SUM('Actual species'!T941)="X",1,0))</f>
        <v>0</v>
      </c>
      <c r="R941" s="2">
        <f>IF(SUM('Actual species'!U941)&gt;=1,1,IF(SUM('Actual species'!U941)="X",1,0))</f>
        <v>0</v>
      </c>
    </row>
    <row r="942" spans="1:18" x14ac:dyDescent="0.3">
      <c r="A942" s="113" t="str">
        <f>'Actual species'!A942</f>
        <v xml:space="preserve">Scopaeus muehlei (E) </v>
      </c>
      <c r="B942" s="66">
        <f>IF(SUM('Actual species'!B942:E942)&gt;=1,1,IF(SUM('Actual species'!B942:E942)="X",1,0))</f>
        <v>0</v>
      </c>
      <c r="C942" s="2">
        <f>IF(SUM('Actual species'!F942)&gt;=1,1,IF(SUM('Actual species'!F942)="X",1,0))</f>
        <v>0</v>
      </c>
      <c r="D942" s="2">
        <f>IF(SUM('Actual species'!G942)&gt;=1,1,IF(SUM('Actual species'!G942)="X",1,0))</f>
        <v>0</v>
      </c>
      <c r="E942" s="2">
        <f>IF(SUM('Actual species'!H942)&gt;=1,1,IF(SUM('Actual species'!H942)="X",1,0))</f>
        <v>0</v>
      </c>
      <c r="F942" s="2">
        <f>IF(SUM('Actual species'!I942)&gt;=1,1,IF(SUM('Actual species'!I942)="X",1,0))</f>
        <v>0</v>
      </c>
      <c r="G942" s="2">
        <f>IF(SUM('Actual species'!J942)&gt;=1,1,IF(SUM('Actual species'!J942)="X",1,0))</f>
        <v>1</v>
      </c>
      <c r="H942" s="2">
        <f>IF(SUM('Actual species'!K942)&gt;=1,1,IF(SUM('Actual species'!K942)="X",1,0))</f>
        <v>0</v>
      </c>
      <c r="I942" s="2">
        <f>IF(SUM('Actual species'!L942)&gt;=1,1,IF(SUM('Actual species'!L942)="X",1,0))</f>
        <v>0</v>
      </c>
      <c r="J942" s="2">
        <f>IF(SUM('Actual species'!M942)&gt;=1,1,IF(SUM('Actual species'!M942)="X",1,0))</f>
        <v>0</v>
      </c>
      <c r="K942" s="2">
        <f>IF(SUM('Actual species'!N942)&gt;=1,1,IF(SUM('Actual species'!N942)="X",1,0))</f>
        <v>0</v>
      </c>
      <c r="L942" s="2">
        <f>IF(SUM('Actual species'!O942)&gt;=1,1,IF(SUM('Actual species'!O942)="X",1,0))</f>
        <v>0</v>
      </c>
      <c r="M942" s="2">
        <f>IF(SUM('Actual species'!P942)&gt;=1,1,IF(SUM('Actual species'!P942)="X",1,0))</f>
        <v>0</v>
      </c>
      <c r="N942" s="2">
        <f>IF(SUM('Actual species'!Q942)&gt;=1,1,IF(SUM('Actual species'!Q942)="X",1,0))</f>
        <v>0</v>
      </c>
      <c r="O942" s="2">
        <f>IF(SUM('Actual species'!R942)&gt;=1,1,IF(SUM('Actual species'!R942)="X",1,0))</f>
        <v>0</v>
      </c>
      <c r="P942" s="2">
        <f>IF(SUM('Actual species'!S942)&gt;=1,1,IF(SUM('Actual species'!S942)="X",1,0))</f>
        <v>0</v>
      </c>
      <c r="Q942" s="2">
        <f>IF(SUM('Actual species'!T942)&gt;=1,1,IF(SUM('Actual species'!T942)="X",1,0))</f>
        <v>0</v>
      </c>
      <c r="R942" s="2">
        <f>IF(SUM('Actual species'!U942)&gt;=1,1,IF(SUM('Actual species'!U942)="X",1,0))</f>
        <v>0</v>
      </c>
    </row>
    <row r="943" spans="1:18" x14ac:dyDescent="0.3">
      <c r="A943" s="113" t="str">
        <f>'Actual species'!A943</f>
        <v>Scopaeus portai</v>
      </c>
      <c r="B943" s="66">
        <f>IF(SUM('Actual species'!B943:E943)&gt;=1,1,IF(SUM('Actual species'!B943:E943)="X",1,0))</f>
        <v>0</v>
      </c>
      <c r="C943" s="2">
        <f>IF(SUM('Actual species'!F943)&gt;=1,1,IF(SUM('Actual species'!F943)="X",1,0))</f>
        <v>0</v>
      </c>
      <c r="D943" s="2">
        <f>IF(SUM('Actual species'!G943)&gt;=1,1,IF(SUM('Actual species'!G943)="X",1,0))</f>
        <v>0</v>
      </c>
      <c r="E943" s="2">
        <f>IF(SUM('Actual species'!H943)&gt;=1,1,IF(SUM('Actual species'!H943)="X",1,0))</f>
        <v>0</v>
      </c>
      <c r="F943" s="2">
        <f>IF(SUM('Actual species'!I943)&gt;=1,1,IF(SUM('Actual species'!I943)="X",1,0))</f>
        <v>0</v>
      </c>
      <c r="G943" s="2">
        <f>IF(SUM('Actual species'!J943)&gt;=1,1,IF(SUM('Actual species'!J943)="X",1,0))</f>
        <v>0</v>
      </c>
      <c r="H943" s="2">
        <f>IF(SUM('Actual species'!K943)&gt;=1,1,IF(SUM('Actual species'!K943)="X",1,0))</f>
        <v>0</v>
      </c>
      <c r="I943" s="2">
        <f>IF(SUM('Actual species'!L943)&gt;=1,1,IF(SUM('Actual species'!L943)="X",1,0))</f>
        <v>0</v>
      </c>
      <c r="J943" s="2">
        <f>IF(SUM('Actual species'!M943)&gt;=1,1,IF(SUM('Actual species'!M943)="X",1,0))</f>
        <v>0</v>
      </c>
      <c r="K943" s="2">
        <f>IF(SUM('Actual species'!N943)&gt;=1,1,IF(SUM('Actual species'!N943)="X",1,0))</f>
        <v>0</v>
      </c>
      <c r="L943" s="2">
        <f>IF(SUM('Actual species'!O943)&gt;=1,1,IF(SUM('Actual species'!O943)="X",1,0))</f>
        <v>0</v>
      </c>
      <c r="M943" s="2">
        <f>IF(SUM('Actual species'!P943)&gt;=1,1,IF(SUM('Actual species'!P943)="X",1,0))</f>
        <v>0</v>
      </c>
      <c r="N943" s="2">
        <f>IF(SUM('Actual species'!Q943)&gt;=1,1,IF(SUM('Actual species'!Q943)="X",1,0))</f>
        <v>0</v>
      </c>
      <c r="O943" s="2">
        <f>IF(SUM('Actual species'!R943)&gt;=1,1,IF(SUM('Actual species'!R943)="X",1,0))</f>
        <v>0</v>
      </c>
      <c r="P943" s="2">
        <f>IF(SUM('Actual species'!S943)&gt;=1,1,IF(SUM('Actual species'!S943)="X",1,0))</f>
        <v>0</v>
      </c>
      <c r="Q943" s="2">
        <f>IF(SUM('Actual species'!T943)&gt;=1,1,IF(SUM('Actual species'!T943)="X",1,0))</f>
        <v>0</v>
      </c>
      <c r="R943" s="2">
        <f>IF(SUM('Actual species'!U943)&gt;=1,1,IF(SUM('Actual species'!U943)="X",1,0))</f>
        <v>0</v>
      </c>
    </row>
    <row r="944" spans="1:18" x14ac:dyDescent="0.3">
      <c r="A944" s="113" t="str">
        <f>'Actual species'!A944</f>
        <v>Scopaeus pusillus</v>
      </c>
      <c r="B944" s="66">
        <f>IF(SUM('Actual species'!B944:E944)&gt;=1,1,IF(SUM('Actual species'!B944:E944)="X",1,0))</f>
        <v>0</v>
      </c>
      <c r="C944" s="2">
        <f>IF(SUM('Actual species'!F944)&gt;=1,1,IF(SUM('Actual species'!F944)="X",1,0))</f>
        <v>0</v>
      </c>
      <c r="D944" s="2">
        <f>IF(SUM('Actual species'!G944)&gt;=1,1,IF(SUM('Actual species'!G944)="X",1,0))</f>
        <v>0</v>
      </c>
      <c r="E944" s="2">
        <f>IF(SUM('Actual species'!H944)&gt;=1,1,IF(SUM('Actual species'!H944)="X",1,0))</f>
        <v>0</v>
      </c>
      <c r="F944" s="2">
        <f>IF(SUM('Actual species'!I944)&gt;=1,1,IF(SUM('Actual species'!I944)="X",1,0))</f>
        <v>0</v>
      </c>
      <c r="G944" s="2">
        <f>IF(SUM('Actual species'!J944)&gt;=1,1,IF(SUM('Actual species'!J944)="X",1,0))</f>
        <v>0</v>
      </c>
      <c r="H944" s="2">
        <f>IF(SUM('Actual species'!K944)&gt;=1,1,IF(SUM('Actual species'!K944)="X",1,0))</f>
        <v>0</v>
      </c>
      <c r="I944" s="2">
        <f>IF(SUM('Actual species'!L944)&gt;=1,1,IF(SUM('Actual species'!L944)="X",1,0))</f>
        <v>0</v>
      </c>
      <c r="J944" s="2">
        <f>IF(SUM('Actual species'!M944)&gt;=1,1,IF(SUM('Actual species'!M944)="X",1,0))</f>
        <v>0</v>
      </c>
      <c r="K944" s="2">
        <f>IF(SUM('Actual species'!N944)&gt;=1,1,IF(SUM('Actual species'!N944)="X",1,0))</f>
        <v>0</v>
      </c>
      <c r="L944" s="2">
        <f>IF(SUM('Actual species'!O944)&gt;=1,1,IF(SUM('Actual species'!O944)="X",1,0))</f>
        <v>0</v>
      </c>
      <c r="M944" s="2">
        <f>IF(SUM('Actual species'!P944)&gt;=1,1,IF(SUM('Actual species'!P944)="X",1,0))</f>
        <v>0</v>
      </c>
      <c r="N944" s="2">
        <f>IF(SUM('Actual species'!Q944)&gt;=1,1,IF(SUM('Actual species'!Q944)="X",1,0))</f>
        <v>0</v>
      </c>
      <c r="O944" s="2">
        <f>IF(SUM('Actual species'!R944)&gt;=1,1,IF(SUM('Actual species'!R944)="X",1,0))</f>
        <v>0</v>
      </c>
      <c r="P944" s="2">
        <f>IF(SUM('Actual species'!S944)&gt;=1,1,IF(SUM('Actual species'!S944)="X",1,0))</f>
        <v>0</v>
      </c>
      <c r="Q944" s="2">
        <f>IF(SUM('Actual species'!T944)&gt;=1,1,IF(SUM('Actual species'!T944)="X",1,0))</f>
        <v>0</v>
      </c>
      <c r="R944" s="2">
        <f>IF(SUM('Actual species'!U944)&gt;=1,1,IF(SUM('Actual species'!U944)="X",1,0))</f>
        <v>0</v>
      </c>
    </row>
    <row r="945" spans="1:18" x14ac:dyDescent="0.3">
      <c r="A945" s="113" t="str">
        <f>'Actual species'!A945</f>
        <v xml:space="preserve">Scopaeus schusteri (E) </v>
      </c>
      <c r="B945" s="66">
        <f>IF(SUM('Actual species'!B945:E945)&gt;=1,1,IF(SUM('Actual species'!B945:E945)="X",1,0))</f>
        <v>0</v>
      </c>
      <c r="C945" s="2">
        <f>IF(SUM('Actual species'!F945)&gt;=1,1,IF(SUM('Actual species'!F945)="X",1,0))</f>
        <v>0</v>
      </c>
      <c r="D945" s="2">
        <f>IF(SUM('Actual species'!G945)&gt;=1,1,IF(SUM('Actual species'!G945)="X",1,0))</f>
        <v>0</v>
      </c>
      <c r="E945" s="2">
        <f>IF(SUM('Actual species'!H945)&gt;=1,1,IF(SUM('Actual species'!H945)="X",1,0))</f>
        <v>0</v>
      </c>
      <c r="F945" s="2">
        <f>IF(SUM('Actual species'!I945)&gt;=1,1,IF(SUM('Actual species'!I945)="X",1,0))</f>
        <v>0</v>
      </c>
      <c r="G945" s="2">
        <f>IF(SUM('Actual species'!J945)&gt;=1,1,IF(SUM('Actual species'!J945)="X",1,0))</f>
        <v>0</v>
      </c>
      <c r="H945" s="2">
        <f>IF(SUM('Actual species'!K945)&gt;=1,1,IF(SUM('Actual species'!K945)="X",1,0))</f>
        <v>1</v>
      </c>
      <c r="I945" s="2">
        <f>IF(SUM('Actual species'!L945)&gt;=1,1,IF(SUM('Actual species'!L945)="X",1,0))</f>
        <v>0</v>
      </c>
      <c r="J945" s="2">
        <f>IF(SUM('Actual species'!M945)&gt;=1,1,IF(SUM('Actual species'!M945)="X",1,0))</f>
        <v>0</v>
      </c>
      <c r="K945" s="2">
        <f>IF(SUM('Actual species'!N945)&gt;=1,1,IF(SUM('Actual species'!N945)="X",1,0))</f>
        <v>0</v>
      </c>
      <c r="L945" s="2">
        <f>IF(SUM('Actual species'!O945)&gt;=1,1,IF(SUM('Actual species'!O945)="X",1,0))</f>
        <v>0</v>
      </c>
      <c r="M945" s="2">
        <f>IF(SUM('Actual species'!P945)&gt;=1,1,IF(SUM('Actual species'!P945)="X",1,0))</f>
        <v>0</v>
      </c>
      <c r="N945" s="2">
        <f>IF(SUM('Actual species'!Q945)&gt;=1,1,IF(SUM('Actual species'!Q945)="X",1,0))</f>
        <v>0</v>
      </c>
      <c r="O945" s="2">
        <f>IF(SUM('Actual species'!R945)&gt;=1,1,IF(SUM('Actual species'!R945)="X",1,0))</f>
        <v>0</v>
      </c>
      <c r="P945" s="2">
        <f>IF(SUM('Actual species'!S945)&gt;=1,1,IF(SUM('Actual species'!S945)="X",1,0))</f>
        <v>0</v>
      </c>
      <c r="Q945" s="2">
        <f>IF(SUM('Actual species'!T945)&gt;=1,1,IF(SUM('Actual species'!T945)="X",1,0))</f>
        <v>0</v>
      </c>
      <c r="R945" s="2">
        <f>IF(SUM('Actual species'!U945)&gt;=1,1,IF(SUM('Actual species'!U945)="X",1,0))</f>
        <v>0</v>
      </c>
    </row>
    <row r="946" spans="1:18" x14ac:dyDescent="0.3">
      <c r="A946" s="113" t="str">
        <f>'Actual species'!A946</f>
        <v>Scopaeus sp.</v>
      </c>
      <c r="B946" s="66">
        <f>IF(SUM('Actual species'!B946:E946)&gt;=1,1,IF(SUM('Actual species'!B946:E946)="X",1,0))</f>
        <v>0</v>
      </c>
      <c r="C946" s="2">
        <f>IF(SUM('Actual species'!F946)&gt;=1,1,IF(SUM('Actual species'!F946)="X",1,0))</f>
        <v>0</v>
      </c>
      <c r="D946" s="2">
        <f>IF(SUM('Actual species'!G946)&gt;=1,1,IF(SUM('Actual species'!G946)="X",1,0))</f>
        <v>0</v>
      </c>
      <c r="E946" s="2">
        <f>IF(SUM('Actual species'!H946)&gt;=1,1,IF(SUM('Actual species'!H946)="X",1,0))</f>
        <v>0</v>
      </c>
      <c r="F946" s="2">
        <f>IF(SUM('Actual species'!I946)&gt;=1,1,IF(SUM('Actual species'!I946)="X",1,0))</f>
        <v>0</v>
      </c>
      <c r="G946" s="2">
        <f>IF(SUM('Actual species'!J946)&gt;=1,1,IF(SUM('Actual species'!J946)="X",1,0))</f>
        <v>0</v>
      </c>
      <c r="H946" s="2">
        <f>IF(SUM('Actual species'!K946)&gt;=1,1,IF(SUM('Actual species'!K946)="X",1,0))</f>
        <v>0</v>
      </c>
      <c r="I946" s="2">
        <f>IF(SUM('Actual species'!L946)&gt;=1,1,IF(SUM('Actual species'!L946)="X",1,0))</f>
        <v>0</v>
      </c>
      <c r="J946" s="2">
        <f>IF(SUM('Actual species'!M946)&gt;=1,1,IF(SUM('Actual species'!M946)="X",1,0))</f>
        <v>0</v>
      </c>
      <c r="K946" s="2">
        <f>IF(SUM('Actual species'!N946)&gt;=1,1,IF(SUM('Actual species'!N946)="X",1,0))</f>
        <v>0</v>
      </c>
      <c r="L946" s="2">
        <f>IF(SUM('Actual species'!O946)&gt;=1,1,IF(SUM('Actual species'!O946)="X",1,0))</f>
        <v>0</v>
      </c>
      <c r="M946" s="2">
        <f>IF(SUM('Actual species'!P946)&gt;=1,1,IF(SUM('Actual species'!P946)="X",1,0))</f>
        <v>0</v>
      </c>
      <c r="N946" s="2">
        <f>IF(SUM('Actual species'!Q946)&gt;=1,1,IF(SUM('Actual species'!Q946)="X",1,0))</f>
        <v>0</v>
      </c>
      <c r="O946" s="2">
        <f>IF(SUM('Actual species'!R946)&gt;=1,1,IF(SUM('Actual species'!R946)="X",1,0))</f>
        <v>0</v>
      </c>
      <c r="P946" s="2">
        <f>IF(SUM('Actual species'!S946)&gt;=1,1,IF(SUM('Actual species'!S946)="X",1,0))</f>
        <v>1</v>
      </c>
      <c r="Q946" s="2">
        <f>IF(SUM('Actual species'!T946)&gt;=1,1,IF(SUM('Actual species'!T946)="X",1,0))</f>
        <v>0</v>
      </c>
      <c r="R946" s="2">
        <f>IF(SUM('Actual species'!U946)&gt;=1,1,IF(SUM('Actual species'!U946)="X",1,0))</f>
        <v>0</v>
      </c>
    </row>
    <row r="947" spans="1:18" x14ac:dyDescent="0.3">
      <c r="A947" s="113" t="str">
        <f>'Actual species'!A947</f>
        <v>Scymbalium anale</v>
      </c>
      <c r="B947" s="66">
        <f>IF(SUM('Actual species'!B947:E947)&gt;=1,1,IF(SUM('Actual species'!B947:E947)="X",1,0))</f>
        <v>0</v>
      </c>
      <c r="C947" s="2">
        <f>IF(SUM('Actual species'!F947)&gt;=1,1,IF(SUM('Actual species'!F947)="X",1,0))</f>
        <v>0</v>
      </c>
      <c r="D947" s="2">
        <f>IF(SUM('Actual species'!G947)&gt;=1,1,IF(SUM('Actual species'!G947)="X",1,0))</f>
        <v>0</v>
      </c>
      <c r="E947" s="2">
        <f>IF(SUM('Actual species'!H947)&gt;=1,1,IF(SUM('Actual species'!H947)="X",1,0))</f>
        <v>0</v>
      </c>
      <c r="F947" s="2">
        <f>IF(SUM('Actual species'!I947)&gt;=1,1,IF(SUM('Actual species'!I947)="X",1,0))</f>
        <v>1</v>
      </c>
      <c r="G947" s="2">
        <f>IF(SUM('Actual species'!J947)&gt;=1,1,IF(SUM('Actual species'!J947)="X",1,0))</f>
        <v>0</v>
      </c>
      <c r="H947" s="2">
        <f>IF(SUM('Actual species'!K947)&gt;=1,1,IF(SUM('Actual species'!K947)="X",1,0))</f>
        <v>0</v>
      </c>
      <c r="I947" s="2">
        <f>IF(SUM('Actual species'!L947)&gt;=1,1,IF(SUM('Actual species'!L947)="X",1,0))</f>
        <v>0</v>
      </c>
      <c r="J947" s="2">
        <f>IF(SUM('Actual species'!M947)&gt;=1,1,IF(SUM('Actual species'!M947)="X",1,0))</f>
        <v>0</v>
      </c>
      <c r="K947" s="2">
        <f>IF(SUM('Actual species'!N947)&gt;=1,1,IF(SUM('Actual species'!N947)="X",1,0))</f>
        <v>0</v>
      </c>
      <c r="L947" s="2">
        <f>IF(SUM('Actual species'!O947)&gt;=1,1,IF(SUM('Actual species'!O947)="X",1,0))</f>
        <v>0</v>
      </c>
      <c r="M947" s="2">
        <f>IF(SUM('Actual species'!P947)&gt;=1,1,IF(SUM('Actual species'!P947)="X",1,0))</f>
        <v>0</v>
      </c>
      <c r="N947" s="2">
        <f>IF(SUM('Actual species'!Q947)&gt;=1,1,IF(SUM('Actual species'!Q947)="X",1,0))</f>
        <v>0</v>
      </c>
      <c r="O947" s="2">
        <f>IF(SUM('Actual species'!R947)&gt;=1,1,IF(SUM('Actual species'!R947)="X",1,0))</f>
        <v>0</v>
      </c>
      <c r="P947" s="2">
        <f>IF(SUM('Actual species'!S947)&gt;=1,1,IF(SUM('Actual species'!S947)="X",1,0))</f>
        <v>0</v>
      </c>
      <c r="Q947" s="2">
        <f>IF(SUM('Actual species'!T947)&gt;=1,1,IF(SUM('Actual species'!T947)="X",1,0))</f>
        <v>0</v>
      </c>
      <c r="R947" s="2">
        <f>IF(SUM('Actual species'!U947)&gt;=1,1,IF(SUM('Actual species'!U947)="X",1,0))</f>
        <v>0</v>
      </c>
    </row>
    <row r="948" spans="1:18" x14ac:dyDescent="0.3">
      <c r="A948" s="113" t="str">
        <f>'Actual species'!A948</f>
        <v xml:space="preserve">*Sunius ambelosicus (E) </v>
      </c>
      <c r="B948" s="66">
        <f>IF(SUM('Actual species'!B948:E948)&gt;=1,1,IF(SUM('Actual species'!B948:E948)="X",1,0))</f>
        <v>0</v>
      </c>
      <c r="C948" s="2">
        <f>IF(SUM('Actual species'!F948)&gt;=1,1,IF(SUM('Actual species'!F948)="X",1,0))</f>
        <v>0</v>
      </c>
      <c r="D948" s="2">
        <f>IF(SUM('Actual species'!G948)&gt;=1,1,IF(SUM('Actual species'!G948)="X",1,0))</f>
        <v>0</v>
      </c>
      <c r="E948" s="2">
        <f>IF(SUM('Actual species'!H948)&gt;=1,1,IF(SUM('Actual species'!H948)="X",1,0))</f>
        <v>1</v>
      </c>
      <c r="F948" s="2">
        <f>IF(SUM('Actual species'!I948)&gt;=1,1,IF(SUM('Actual species'!I948)="X",1,0))</f>
        <v>0</v>
      </c>
      <c r="G948" s="2">
        <f>IF(SUM('Actual species'!J948)&gt;=1,1,IF(SUM('Actual species'!J948)="X",1,0))</f>
        <v>0</v>
      </c>
      <c r="H948" s="2">
        <f>IF(SUM('Actual species'!K948)&gt;=1,1,IF(SUM('Actual species'!K948)="X",1,0))</f>
        <v>0</v>
      </c>
      <c r="I948" s="2">
        <f>IF(SUM('Actual species'!L948)&gt;=1,1,IF(SUM('Actual species'!L948)="X",1,0))</f>
        <v>0</v>
      </c>
      <c r="J948" s="2">
        <f>IF(SUM('Actual species'!M948)&gt;=1,1,IF(SUM('Actual species'!M948)="X",1,0))</f>
        <v>0</v>
      </c>
      <c r="K948" s="2">
        <f>IF(SUM('Actual species'!N948)&gt;=1,1,IF(SUM('Actual species'!N948)="X",1,0))</f>
        <v>0</v>
      </c>
      <c r="L948" s="2">
        <f>IF(SUM('Actual species'!O948)&gt;=1,1,IF(SUM('Actual species'!O948)="X",1,0))</f>
        <v>0</v>
      </c>
      <c r="M948" s="2">
        <f>IF(SUM('Actual species'!P948)&gt;=1,1,IF(SUM('Actual species'!P948)="X",1,0))</f>
        <v>0</v>
      </c>
      <c r="N948" s="2">
        <f>IF(SUM('Actual species'!Q948)&gt;=1,1,IF(SUM('Actual species'!Q948)="X",1,0))</f>
        <v>0</v>
      </c>
      <c r="O948" s="2">
        <f>IF(SUM('Actual species'!R948)&gt;=1,1,IF(SUM('Actual species'!R948)="X",1,0))</f>
        <v>0</v>
      </c>
      <c r="P948" s="2">
        <f>IF(SUM('Actual species'!S948)&gt;=1,1,IF(SUM('Actual species'!S948)="X",1,0))</f>
        <v>0</v>
      </c>
      <c r="Q948" s="2">
        <f>IF(SUM('Actual species'!T948)&gt;=1,1,IF(SUM('Actual species'!T948)="X",1,0))</f>
        <v>0</v>
      </c>
      <c r="R948" s="2">
        <f>IF(SUM('Actual species'!U948)&gt;=1,1,IF(SUM('Actual species'!U948)="X",1,0))</f>
        <v>0</v>
      </c>
    </row>
    <row r="949" spans="1:18" x14ac:dyDescent="0.3">
      <c r="A949" s="113" t="str">
        <f>'Actual species'!A949</f>
        <v>Sunius anatolicus (melanocephalus)</v>
      </c>
      <c r="B949" s="66">
        <f>IF(SUM('Actual species'!B949:E949)&gt;=1,1,IF(SUM('Actual species'!B949:E949)="X",1,0))</f>
        <v>0</v>
      </c>
      <c r="C949" s="2">
        <f>IF(SUM('Actual species'!F949)&gt;=1,1,IF(SUM('Actual species'!F949)="X",1,0))</f>
        <v>0</v>
      </c>
      <c r="D949" s="2">
        <f>IF(SUM('Actual species'!G949)&gt;=1,1,IF(SUM('Actual species'!G949)="X",1,0))</f>
        <v>0</v>
      </c>
      <c r="E949" s="2">
        <f>IF(SUM('Actual species'!H949)&gt;=1,1,IF(SUM('Actual species'!H949)="X",1,0))</f>
        <v>0</v>
      </c>
      <c r="F949" s="2">
        <f>IF(SUM('Actual species'!I949)&gt;=1,1,IF(SUM('Actual species'!I949)="X",1,0))</f>
        <v>1</v>
      </c>
      <c r="G949" s="2">
        <f>IF(SUM('Actual species'!J949)&gt;=1,1,IF(SUM('Actual species'!J949)="X",1,0))</f>
        <v>0</v>
      </c>
      <c r="H949" s="2">
        <f>IF(SUM('Actual species'!K949)&gt;=1,1,IF(SUM('Actual species'!K949)="X",1,0))</f>
        <v>0</v>
      </c>
      <c r="I949" s="2">
        <f>IF(SUM('Actual species'!L949)&gt;=1,1,IF(SUM('Actual species'!L949)="X",1,0))</f>
        <v>0</v>
      </c>
      <c r="J949" s="2">
        <f>IF(SUM('Actual species'!M949)&gt;=1,1,IF(SUM('Actual species'!M949)="X",1,0))</f>
        <v>0</v>
      </c>
      <c r="K949" s="2">
        <f>IF(SUM('Actual species'!N949)&gt;=1,1,IF(SUM('Actual species'!N949)="X",1,0))</f>
        <v>0</v>
      </c>
      <c r="L949" s="2">
        <f>IF(SUM('Actual species'!O949)&gt;=1,1,IF(SUM('Actual species'!O949)="X",1,0))</f>
        <v>0</v>
      </c>
      <c r="M949" s="2">
        <f>IF(SUM('Actual species'!P949)&gt;=1,1,IF(SUM('Actual species'!P949)="X",1,0))</f>
        <v>0</v>
      </c>
      <c r="N949" s="2">
        <f>IF(SUM('Actual species'!Q949)&gt;=1,1,IF(SUM('Actual species'!Q949)="X",1,0))</f>
        <v>0</v>
      </c>
      <c r="O949" s="2">
        <f>IF(SUM('Actual species'!R949)&gt;=1,1,IF(SUM('Actual species'!R949)="X",1,0))</f>
        <v>0</v>
      </c>
      <c r="P949" s="2">
        <f>IF(SUM('Actual species'!S949)&gt;=1,1,IF(SUM('Actual species'!S949)="X",1,0))</f>
        <v>0</v>
      </c>
      <c r="Q949" s="2">
        <f>IF(SUM('Actual species'!T949)&gt;=1,1,IF(SUM('Actual species'!T949)="X",1,0))</f>
        <v>0</v>
      </c>
      <c r="R949" s="2">
        <f>IF(SUM('Actual species'!U949)&gt;=1,1,IF(SUM('Actual species'!U949)="X",1,0))</f>
        <v>0</v>
      </c>
    </row>
    <row r="950" spans="1:18" x14ac:dyDescent="0.3">
      <c r="A950" s="113" t="str">
        <f>'Actual species'!A950</f>
        <v xml:space="preserve">Sunius diktianus (E) </v>
      </c>
      <c r="B950" s="66">
        <f>IF(SUM('Actual species'!B950:E950)&gt;=1,1,IF(SUM('Actual species'!B950:E950)="X",1,0))</f>
        <v>0</v>
      </c>
      <c r="C950" s="2">
        <f>IF(SUM('Actual species'!F950)&gt;=1,1,IF(SUM('Actual species'!F950)="X",1,0))</f>
        <v>0</v>
      </c>
      <c r="D950" s="2">
        <f>IF(SUM('Actual species'!G950)&gt;=1,1,IF(SUM('Actual species'!G950)="X",1,0))</f>
        <v>0</v>
      </c>
      <c r="E950" s="2">
        <f>IF(SUM('Actual species'!H950)&gt;=1,1,IF(SUM('Actual species'!H950)="X",1,0))</f>
        <v>0</v>
      </c>
      <c r="F950" s="2">
        <f>IF(SUM('Actual species'!I950)&gt;=1,1,IF(SUM('Actual species'!I950)="X",1,0))</f>
        <v>0</v>
      </c>
      <c r="G950" s="2">
        <f>IF(SUM('Actual species'!J950)&gt;=1,1,IF(SUM('Actual species'!J950)="X",1,0))</f>
        <v>1</v>
      </c>
      <c r="H950" s="2">
        <f>IF(SUM('Actual species'!K950)&gt;=1,1,IF(SUM('Actual species'!K950)="X",1,0))</f>
        <v>0</v>
      </c>
      <c r="I950" s="2">
        <f>IF(SUM('Actual species'!L950)&gt;=1,1,IF(SUM('Actual species'!L950)="X",1,0))</f>
        <v>0</v>
      </c>
      <c r="J950" s="2">
        <f>IF(SUM('Actual species'!M950)&gt;=1,1,IF(SUM('Actual species'!M950)="X",1,0))</f>
        <v>0</v>
      </c>
      <c r="K950" s="2">
        <f>IF(SUM('Actual species'!N950)&gt;=1,1,IF(SUM('Actual species'!N950)="X",1,0))</f>
        <v>0</v>
      </c>
      <c r="L950" s="2">
        <f>IF(SUM('Actual species'!O950)&gt;=1,1,IF(SUM('Actual species'!O950)="X",1,0))</f>
        <v>0</v>
      </c>
      <c r="M950" s="2">
        <f>IF(SUM('Actual species'!P950)&gt;=1,1,IF(SUM('Actual species'!P950)="X",1,0))</f>
        <v>0</v>
      </c>
      <c r="N950" s="2">
        <f>IF(SUM('Actual species'!Q950)&gt;=1,1,IF(SUM('Actual species'!Q950)="X",1,0))</f>
        <v>0</v>
      </c>
      <c r="O950" s="2">
        <f>IF(SUM('Actual species'!R950)&gt;=1,1,IF(SUM('Actual species'!R950)="X",1,0))</f>
        <v>0</v>
      </c>
      <c r="P950" s="2">
        <f>IF(SUM('Actual species'!S950)&gt;=1,1,IF(SUM('Actual species'!S950)="X",1,0))</f>
        <v>0</v>
      </c>
      <c r="Q950" s="2">
        <f>IF(SUM('Actual species'!T950)&gt;=1,1,IF(SUM('Actual species'!T950)="X",1,0))</f>
        <v>0</v>
      </c>
      <c r="R950" s="2">
        <f>IF(SUM('Actual species'!U950)&gt;=1,1,IF(SUM('Actual species'!U950)="X",1,0))</f>
        <v>0</v>
      </c>
    </row>
    <row r="951" spans="1:18" x14ac:dyDescent="0.3">
      <c r="A951" s="113" t="str">
        <f>'Actual species'!A951</f>
        <v>Sunius fallax</v>
      </c>
      <c r="B951" s="66">
        <f>IF(SUM('Actual species'!B951:E951)&gt;=1,1,IF(SUM('Actual species'!B951:E951)="X",1,0))</f>
        <v>0</v>
      </c>
      <c r="C951" s="2">
        <f>IF(SUM('Actual species'!F951)&gt;=1,1,IF(SUM('Actual species'!F951)="X",1,0))</f>
        <v>0</v>
      </c>
      <c r="D951" s="2">
        <f>IF(SUM('Actual species'!G951)&gt;=1,1,IF(SUM('Actual species'!G951)="X",1,0))</f>
        <v>0</v>
      </c>
      <c r="E951" s="2">
        <f>IF(SUM('Actual species'!H951)&gt;=1,1,IF(SUM('Actual species'!H951)="X",1,0))</f>
        <v>0</v>
      </c>
      <c r="F951" s="2">
        <f>IF(SUM('Actual species'!I951)&gt;=1,1,IF(SUM('Actual species'!I951)="X",1,0))</f>
        <v>0</v>
      </c>
      <c r="G951" s="2">
        <f>IF(SUM('Actual species'!J951)&gt;=1,1,IF(SUM('Actual species'!J951)="X",1,0))</f>
        <v>1</v>
      </c>
      <c r="H951" s="2">
        <f>IF(SUM('Actual species'!K951)&gt;=1,1,IF(SUM('Actual species'!K951)="X",1,0))</f>
        <v>0</v>
      </c>
      <c r="I951" s="2">
        <f>IF(SUM('Actual species'!L951)&gt;=1,1,IF(SUM('Actual species'!L951)="X",1,0))</f>
        <v>0</v>
      </c>
      <c r="J951" s="2">
        <f>IF(SUM('Actual species'!M951)&gt;=1,1,IF(SUM('Actual species'!M951)="X",1,0))</f>
        <v>0</v>
      </c>
      <c r="K951" s="2">
        <f>IF(SUM('Actual species'!N951)&gt;=1,1,IF(SUM('Actual species'!N951)="X",1,0))</f>
        <v>0</v>
      </c>
      <c r="L951" s="2">
        <f>IF(SUM('Actual species'!O951)&gt;=1,1,IF(SUM('Actual species'!O951)="X",1,0))</f>
        <v>0</v>
      </c>
      <c r="M951" s="2">
        <f>IF(SUM('Actual species'!P951)&gt;=1,1,IF(SUM('Actual species'!P951)="X",1,0))</f>
        <v>0</v>
      </c>
      <c r="N951" s="2">
        <f>IF(SUM('Actual species'!Q951)&gt;=1,1,IF(SUM('Actual species'!Q951)="X",1,0))</f>
        <v>0</v>
      </c>
      <c r="O951" s="2">
        <f>IF(SUM('Actual species'!R951)&gt;=1,1,IF(SUM('Actual species'!R951)="X",1,0))</f>
        <v>0</v>
      </c>
      <c r="P951" s="2">
        <f>IF(SUM('Actual species'!S951)&gt;=1,1,IF(SUM('Actual species'!S951)="X",1,0))</f>
        <v>0</v>
      </c>
      <c r="Q951" s="2">
        <f>IF(SUM('Actual species'!T951)&gt;=1,1,IF(SUM('Actual species'!T951)="X",1,0))</f>
        <v>0</v>
      </c>
      <c r="R951" s="2">
        <f>IF(SUM('Actual species'!U951)&gt;=1,1,IF(SUM('Actual species'!U951)="X",1,0))</f>
        <v>0</v>
      </c>
    </row>
    <row r="952" spans="1:18" x14ac:dyDescent="0.3">
      <c r="A952" s="113" t="str">
        <f>'Actual species'!A952</f>
        <v>Sunius fokisensis</v>
      </c>
      <c r="B952" s="66">
        <f>IF(SUM('Actual species'!B952:E952)&gt;=1,1,IF(SUM('Actual species'!B952:E952)="X",1,0))</f>
        <v>0</v>
      </c>
      <c r="C952" s="2">
        <f>IF(SUM('Actual species'!F952)&gt;=1,1,IF(SUM('Actual species'!F952)="X",1,0))</f>
        <v>0</v>
      </c>
      <c r="D952" s="2">
        <f>IF(SUM('Actual species'!G952)&gt;=1,1,IF(SUM('Actual species'!G952)="X",1,0))</f>
        <v>0</v>
      </c>
      <c r="E952" s="2">
        <f>IF(SUM('Actual species'!H952)&gt;=1,1,IF(SUM('Actual species'!H952)="X",1,0))</f>
        <v>0</v>
      </c>
      <c r="F952" s="2">
        <f>IF(SUM('Actual species'!I952)&gt;=1,1,IF(SUM('Actual species'!I952)="X",1,0))</f>
        <v>0</v>
      </c>
      <c r="G952" s="2">
        <f>IF(SUM('Actual species'!J952)&gt;=1,1,IF(SUM('Actual species'!J952)="X",1,0))</f>
        <v>0</v>
      </c>
      <c r="H952" s="2">
        <f>IF(SUM('Actual species'!K952)&gt;=1,1,IF(SUM('Actual species'!K952)="X",1,0))</f>
        <v>0</v>
      </c>
      <c r="I952" s="2">
        <f>IF(SUM('Actual species'!L952)&gt;=1,1,IF(SUM('Actual species'!L952)="X",1,0))</f>
        <v>0</v>
      </c>
      <c r="J952" s="2">
        <f>IF(SUM('Actual species'!M952)&gt;=1,1,IF(SUM('Actual species'!M952)="X",1,0))</f>
        <v>0</v>
      </c>
      <c r="K952" s="2">
        <f>IF(SUM('Actual species'!N952)&gt;=1,1,IF(SUM('Actual species'!N952)="X",1,0))</f>
        <v>0</v>
      </c>
      <c r="L952" s="2">
        <f>IF(SUM('Actual species'!O952)&gt;=1,1,IF(SUM('Actual species'!O952)="X",1,0))</f>
        <v>0</v>
      </c>
      <c r="M952" s="2">
        <f>IF(SUM('Actual species'!P952)&gt;=1,1,IF(SUM('Actual species'!P952)="X",1,0))</f>
        <v>0</v>
      </c>
      <c r="N952" s="2">
        <f>IF(SUM('Actual species'!Q952)&gt;=1,1,IF(SUM('Actual species'!Q952)="X",1,0))</f>
        <v>0</v>
      </c>
      <c r="O952" s="2">
        <f>IF(SUM('Actual species'!R952)&gt;=1,1,IF(SUM('Actual species'!R952)="X",1,0))</f>
        <v>1</v>
      </c>
      <c r="P952" s="2">
        <f>IF(SUM('Actual species'!S952)&gt;=1,1,IF(SUM('Actual species'!S952)="X",1,0))</f>
        <v>0</v>
      </c>
      <c r="Q952" s="2">
        <f>IF(SUM('Actual species'!T952)&gt;=1,1,IF(SUM('Actual species'!T952)="X",1,0))</f>
        <v>0</v>
      </c>
      <c r="R952" s="2">
        <f>IF(SUM('Actual species'!U952)&gt;=1,1,IF(SUM('Actual species'!U952)="X",1,0))</f>
        <v>0</v>
      </c>
    </row>
    <row r="953" spans="1:18" x14ac:dyDescent="0.3">
      <c r="A953" s="113" t="str">
        <f>'Actual species'!A953</f>
        <v xml:space="preserve">*Sunius geiseri (E) </v>
      </c>
      <c r="B953" s="66">
        <f>IF(SUM('Actual species'!B953:E953)&gt;=1,1,IF(SUM('Actual species'!B953:E953)="X",1,0))</f>
        <v>0</v>
      </c>
      <c r="C953" s="2">
        <f>IF(SUM('Actual species'!F953)&gt;=1,1,IF(SUM('Actual species'!F953)="X",1,0))</f>
        <v>0</v>
      </c>
      <c r="D953" s="2">
        <f>IF(SUM('Actual species'!G953)&gt;=1,1,IF(SUM('Actual species'!G953)="X",1,0))</f>
        <v>0</v>
      </c>
      <c r="E953" s="2">
        <f>IF(SUM('Actual species'!H953)&gt;=1,1,IF(SUM('Actual species'!H953)="X",1,0))</f>
        <v>1</v>
      </c>
      <c r="F953" s="2">
        <f>IF(SUM('Actual species'!I953)&gt;=1,1,IF(SUM('Actual species'!I953)="X",1,0))</f>
        <v>0</v>
      </c>
      <c r="G953" s="2">
        <f>IF(SUM('Actual species'!J953)&gt;=1,1,IF(SUM('Actual species'!J953)="X",1,0))</f>
        <v>0</v>
      </c>
      <c r="H953" s="2">
        <f>IF(SUM('Actual species'!K953)&gt;=1,1,IF(SUM('Actual species'!K953)="X",1,0))</f>
        <v>0</v>
      </c>
      <c r="I953" s="2">
        <f>IF(SUM('Actual species'!L953)&gt;=1,1,IF(SUM('Actual species'!L953)="X",1,0))</f>
        <v>0</v>
      </c>
      <c r="J953" s="2">
        <f>IF(SUM('Actual species'!M953)&gt;=1,1,IF(SUM('Actual species'!M953)="X",1,0))</f>
        <v>0</v>
      </c>
      <c r="K953" s="2">
        <f>IF(SUM('Actual species'!N953)&gt;=1,1,IF(SUM('Actual species'!N953)="X",1,0))</f>
        <v>0</v>
      </c>
      <c r="L953" s="2">
        <f>IF(SUM('Actual species'!O953)&gt;=1,1,IF(SUM('Actual species'!O953)="X",1,0))</f>
        <v>0</v>
      </c>
      <c r="M953" s="2">
        <f>IF(SUM('Actual species'!P953)&gt;=1,1,IF(SUM('Actual species'!P953)="X",1,0))</f>
        <v>0</v>
      </c>
      <c r="N953" s="2">
        <f>IF(SUM('Actual species'!Q953)&gt;=1,1,IF(SUM('Actual species'!Q953)="X",1,0))</f>
        <v>0</v>
      </c>
      <c r="O953" s="2">
        <f>IF(SUM('Actual species'!R953)&gt;=1,1,IF(SUM('Actual species'!R953)="X",1,0))</f>
        <v>0</v>
      </c>
      <c r="P953" s="2">
        <f>IF(SUM('Actual species'!S953)&gt;=1,1,IF(SUM('Actual species'!S953)="X",1,0))</f>
        <v>0</v>
      </c>
      <c r="Q953" s="2">
        <f>IF(SUM('Actual species'!T953)&gt;=1,1,IF(SUM('Actual species'!T953)="X",1,0))</f>
        <v>0</v>
      </c>
      <c r="R953" s="2">
        <f>IF(SUM('Actual species'!U953)&gt;=1,1,IF(SUM('Actual species'!U953)="X",1,0))</f>
        <v>0</v>
      </c>
    </row>
    <row r="954" spans="1:18" x14ac:dyDescent="0.3">
      <c r="A954" s="113" t="str">
        <f>'Actual species'!A954</f>
        <v>Sunius hellenicus</v>
      </c>
      <c r="B954" s="66">
        <f>IF(SUM('Actual species'!B954:E954)&gt;=1,1,IF(SUM('Actual species'!B954:E954)="X",1,0))</f>
        <v>0</v>
      </c>
      <c r="C954" s="2">
        <f>IF(SUM('Actual species'!F954)&gt;=1,1,IF(SUM('Actual species'!F954)="X",1,0))</f>
        <v>0</v>
      </c>
      <c r="D954" s="2">
        <f>IF(SUM('Actual species'!G954)&gt;=1,1,IF(SUM('Actual species'!G954)="X",1,0))</f>
        <v>0</v>
      </c>
      <c r="E954" s="2">
        <f>IF(SUM('Actual species'!H954)&gt;=1,1,IF(SUM('Actual species'!H954)="X",1,0))</f>
        <v>0</v>
      </c>
      <c r="F954" s="2">
        <f>IF(SUM('Actual species'!I954)&gt;=1,1,IF(SUM('Actual species'!I954)="X",1,0))</f>
        <v>0</v>
      </c>
      <c r="G954" s="2">
        <f>IF(SUM('Actual species'!J954)&gt;=1,1,IF(SUM('Actual species'!J954)="X",1,0))</f>
        <v>0</v>
      </c>
      <c r="H954" s="2">
        <f>IF(SUM('Actual species'!K954)&gt;=1,1,IF(SUM('Actual species'!K954)="X",1,0))</f>
        <v>0</v>
      </c>
      <c r="I954" s="2">
        <f>IF(SUM('Actual species'!L954)&gt;=1,1,IF(SUM('Actual species'!L954)="X",1,0))</f>
        <v>0</v>
      </c>
      <c r="J954" s="2">
        <f>IF(SUM('Actual species'!M954)&gt;=1,1,IF(SUM('Actual species'!M954)="X",1,0))</f>
        <v>1</v>
      </c>
      <c r="K954" s="2">
        <f>IF(SUM('Actual species'!N954)&gt;=1,1,IF(SUM('Actual species'!N954)="X",1,0))</f>
        <v>0</v>
      </c>
      <c r="L954" s="2">
        <f>IF(SUM('Actual species'!O954)&gt;=1,1,IF(SUM('Actual species'!O954)="X",1,0))</f>
        <v>0</v>
      </c>
      <c r="M954" s="2">
        <f>IF(SUM('Actual species'!P954)&gt;=1,1,IF(SUM('Actual species'!P954)="X",1,0))</f>
        <v>0</v>
      </c>
      <c r="N954" s="2">
        <f>IF(SUM('Actual species'!Q954)&gt;=1,1,IF(SUM('Actual species'!Q954)="X",1,0))</f>
        <v>0</v>
      </c>
      <c r="O954" s="2">
        <f>IF(SUM('Actual species'!R954)&gt;=1,1,IF(SUM('Actual species'!R954)="X",1,0))</f>
        <v>0</v>
      </c>
      <c r="P954" s="2">
        <f>IF(SUM('Actual species'!S954)&gt;=1,1,IF(SUM('Actual species'!S954)="X",1,0))</f>
        <v>0</v>
      </c>
      <c r="Q954" s="2">
        <f>IF(SUM('Actual species'!T954)&gt;=1,1,IF(SUM('Actual species'!T954)="X",1,0))</f>
        <v>0</v>
      </c>
      <c r="R954" s="2">
        <f>IF(SUM('Actual species'!U954)&gt;=1,1,IF(SUM('Actual species'!U954)="X",1,0))</f>
        <v>0</v>
      </c>
    </row>
    <row r="955" spans="1:18" x14ac:dyDescent="0.3">
      <c r="A955" s="113" t="str">
        <f>'Actual species'!A955</f>
        <v xml:space="preserve">*Sunius potti (E) </v>
      </c>
      <c r="B955" s="66">
        <f>IF(SUM('Actual species'!B955:E955)&gt;=1,1,IF(SUM('Actual species'!B955:E955)="X",1,0))</f>
        <v>0</v>
      </c>
      <c r="C955" s="2">
        <f>IF(SUM('Actual species'!F955)&gt;=1,1,IF(SUM('Actual species'!F955)="X",1,0))</f>
        <v>0</v>
      </c>
      <c r="D955" s="2">
        <f>IF(SUM('Actual species'!G955)&gt;=1,1,IF(SUM('Actual species'!G955)="X",1,0))</f>
        <v>0</v>
      </c>
      <c r="E955" s="2">
        <f>IF(SUM('Actual species'!H955)&gt;=1,1,IF(SUM('Actual species'!H955)="X",1,0))</f>
        <v>0</v>
      </c>
      <c r="F955" s="2">
        <f>IF(SUM('Actual species'!I955)&gt;=1,1,IF(SUM('Actual species'!I955)="X",1,0))</f>
        <v>1</v>
      </c>
      <c r="G955" s="2">
        <f>IF(SUM('Actual species'!J955)&gt;=1,1,IF(SUM('Actual species'!J955)="X",1,0))</f>
        <v>0</v>
      </c>
      <c r="H955" s="2">
        <f>IF(SUM('Actual species'!K955)&gt;=1,1,IF(SUM('Actual species'!K955)="X",1,0))</f>
        <v>0</v>
      </c>
      <c r="I955" s="2">
        <f>IF(SUM('Actual species'!L955)&gt;=1,1,IF(SUM('Actual species'!L955)="X",1,0))</f>
        <v>0</v>
      </c>
      <c r="J955" s="2">
        <f>IF(SUM('Actual species'!M955)&gt;=1,1,IF(SUM('Actual species'!M955)="X",1,0))</f>
        <v>0</v>
      </c>
      <c r="K955" s="2">
        <f>IF(SUM('Actual species'!N955)&gt;=1,1,IF(SUM('Actual species'!N955)="X",1,0))</f>
        <v>0</v>
      </c>
      <c r="L955" s="2">
        <f>IF(SUM('Actual species'!O955)&gt;=1,1,IF(SUM('Actual species'!O955)="X",1,0))</f>
        <v>0</v>
      </c>
      <c r="M955" s="2">
        <f>IF(SUM('Actual species'!P955)&gt;=1,1,IF(SUM('Actual species'!P955)="X",1,0))</f>
        <v>0</v>
      </c>
      <c r="N955" s="2">
        <f>IF(SUM('Actual species'!Q955)&gt;=1,1,IF(SUM('Actual species'!Q955)="X",1,0))</f>
        <v>0</v>
      </c>
      <c r="O955" s="2">
        <f>IF(SUM('Actual species'!R955)&gt;=1,1,IF(SUM('Actual species'!R955)="X",1,0))</f>
        <v>0</v>
      </c>
      <c r="P955" s="2">
        <f>IF(SUM('Actual species'!S955)&gt;=1,1,IF(SUM('Actual species'!S955)="X",1,0))</f>
        <v>0</v>
      </c>
      <c r="Q955" s="2">
        <f>IF(SUM('Actual species'!T955)&gt;=1,1,IF(SUM('Actual species'!T955)="X",1,0))</f>
        <v>0</v>
      </c>
      <c r="R955" s="2">
        <f>IF(SUM('Actual species'!U955)&gt;=1,1,IF(SUM('Actual species'!U955)="X",1,0))</f>
        <v>0</v>
      </c>
    </row>
    <row r="956" spans="1:18" x14ac:dyDescent="0.3">
      <c r="A956" s="113" t="str">
        <f>'Actual species'!A956</f>
        <v xml:space="preserve">Sunius rhodicus (E) </v>
      </c>
      <c r="B956" s="66">
        <f>IF(SUM('Actual species'!B956:E956)&gt;=1,1,IF(SUM('Actual species'!B956:E956)="X",1,0))</f>
        <v>0</v>
      </c>
      <c r="C956" s="2">
        <f>IF(SUM('Actual species'!F956)&gt;=1,1,IF(SUM('Actual species'!F956)="X",1,0))</f>
        <v>0</v>
      </c>
      <c r="D956" s="2">
        <f>IF(SUM('Actual species'!G956)&gt;=1,1,IF(SUM('Actual species'!G956)="X",1,0))</f>
        <v>0</v>
      </c>
      <c r="E956" s="2">
        <f>IF(SUM('Actual species'!H956)&gt;=1,1,IF(SUM('Actual species'!H956)="X",1,0))</f>
        <v>0</v>
      </c>
      <c r="F956" s="2">
        <f>IF(SUM('Actual species'!I956)&gt;=1,1,IF(SUM('Actual species'!I956)="X",1,0))</f>
        <v>0</v>
      </c>
      <c r="G956" s="2">
        <f>IF(SUM('Actual species'!J956)&gt;=1,1,IF(SUM('Actual species'!J956)="X",1,0))</f>
        <v>0</v>
      </c>
      <c r="H956" s="2">
        <f>IF(SUM('Actual species'!K956)&gt;=1,1,IF(SUM('Actual species'!K956)="X",1,0))</f>
        <v>1</v>
      </c>
      <c r="I956" s="2">
        <f>IF(SUM('Actual species'!L956)&gt;=1,1,IF(SUM('Actual species'!L956)="X",1,0))</f>
        <v>0</v>
      </c>
      <c r="J956" s="2">
        <f>IF(SUM('Actual species'!M956)&gt;=1,1,IF(SUM('Actual species'!M956)="X",1,0))</f>
        <v>0</v>
      </c>
      <c r="K956" s="2">
        <f>IF(SUM('Actual species'!N956)&gt;=1,1,IF(SUM('Actual species'!N956)="X",1,0))</f>
        <v>0</v>
      </c>
      <c r="L956" s="2">
        <f>IF(SUM('Actual species'!O956)&gt;=1,1,IF(SUM('Actual species'!O956)="X",1,0))</f>
        <v>0</v>
      </c>
      <c r="M956" s="2">
        <f>IF(SUM('Actual species'!P956)&gt;=1,1,IF(SUM('Actual species'!P956)="X",1,0))</f>
        <v>0</v>
      </c>
      <c r="N956" s="2">
        <f>IF(SUM('Actual species'!Q956)&gt;=1,1,IF(SUM('Actual species'!Q956)="X",1,0))</f>
        <v>0</v>
      </c>
      <c r="O956" s="2">
        <f>IF(SUM('Actual species'!R956)&gt;=1,1,IF(SUM('Actual species'!R956)="X",1,0))</f>
        <v>0</v>
      </c>
      <c r="P956" s="2">
        <f>IF(SUM('Actual species'!S956)&gt;=1,1,IF(SUM('Actual species'!S956)="X",1,0))</f>
        <v>0</v>
      </c>
      <c r="Q956" s="2">
        <f>IF(SUM('Actual species'!T956)&gt;=1,1,IF(SUM('Actual species'!T956)="X",1,0))</f>
        <v>0</v>
      </c>
      <c r="R956" s="2">
        <f>IF(SUM('Actual species'!U956)&gt;=1,1,IF(SUM('Actual species'!U956)="X",1,0))</f>
        <v>0</v>
      </c>
    </row>
    <row r="957" spans="1:18" x14ac:dyDescent="0.3">
      <c r="A957" s="113" t="str">
        <f>'Actual species'!A957</f>
        <v>Sunius sp. (seminiger group) female</v>
      </c>
      <c r="B957" s="66">
        <f>IF(SUM('Actual species'!B957:E957)&gt;=1,1,IF(SUM('Actual species'!B957:E957)="X",1,0))</f>
        <v>0</v>
      </c>
      <c r="C957" s="2">
        <f>IF(SUM('Actual species'!F957)&gt;=1,1,IF(SUM('Actual species'!F957)="X",1,0))</f>
        <v>0</v>
      </c>
      <c r="D957" s="2">
        <f>IF(SUM('Actual species'!G957)&gt;=1,1,IF(SUM('Actual species'!G957)="X",1,0))</f>
        <v>0</v>
      </c>
      <c r="E957" s="2">
        <f>IF(SUM('Actual species'!H957)&gt;=1,1,IF(SUM('Actual species'!H957)="X",1,0))</f>
        <v>0</v>
      </c>
      <c r="F957" s="2">
        <f>IF(SUM('Actual species'!I957)&gt;=1,1,IF(SUM('Actual species'!I957)="X",1,0))</f>
        <v>0</v>
      </c>
      <c r="G957" s="2">
        <f>IF(SUM('Actual species'!J957)&gt;=1,1,IF(SUM('Actual species'!J957)="X",1,0))</f>
        <v>1</v>
      </c>
      <c r="H957" s="2">
        <f>IF(SUM('Actual species'!K957)&gt;=1,1,IF(SUM('Actual species'!K957)="X",1,0))</f>
        <v>0</v>
      </c>
      <c r="I957" s="2">
        <f>IF(SUM('Actual species'!L957)&gt;=1,1,IF(SUM('Actual species'!L957)="X",1,0))</f>
        <v>0</v>
      </c>
      <c r="J957" s="2">
        <f>IF(SUM('Actual species'!M957)&gt;=1,1,IF(SUM('Actual species'!M957)="X",1,0))</f>
        <v>0</v>
      </c>
      <c r="K957" s="2">
        <f>IF(SUM('Actual species'!N957)&gt;=1,1,IF(SUM('Actual species'!N957)="X",1,0))</f>
        <v>0</v>
      </c>
      <c r="L957" s="2">
        <f>IF(SUM('Actual species'!O957)&gt;=1,1,IF(SUM('Actual species'!O957)="X",1,0))</f>
        <v>0</v>
      </c>
      <c r="M957" s="2">
        <f>IF(SUM('Actual species'!P957)&gt;=1,1,IF(SUM('Actual species'!P957)="X",1,0))</f>
        <v>0</v>
      </c>
      <c r="N957" s="2">
        <f>IF(SUM('Actual species'!Q957)&gt;=1,1,IF(SUM('Actual species'!Q957)="X",1,0))</f>
        <v>0</v>
      </c>
      <c r="O957" s="2">
        <f>IF(SUM('Actual species'!R957)&gt;=1,1,IF(SUM('Actual species'!R957)="X",1,0))</f>
        <v>0</v>
      </c>
      <c r="P957" s="2">
        <f>IF(SUM('Actual species'!S957)&gt;=1,1,IF(SUM('Actual species'!S957)="X",1,0))</f>
        <v>0</v>
      </c>
      <c r="Q957" s="2">
        <f>IF(SUM('Actual species'!T957)&gt;=1,1,IF(SUM('Actual species'!T957)="X",1,0))</f>
        <v>0</v>
      </c>
      <c r="R957" s="2">
        <f>IF(SUM('Actual species'!U957)&gt;=1,1,IF(SUM('Actual species'!U957)="X",1,0))</f>
        <v>0</v>
      </c>
    </row>
    <row r="958" spans="1:18" x14ac:dyDescent="0.3">
      <c r="A958" s="113" t="str">
        <f>'Actual species'!A958</f>
        <v xml:space="preserve">Sunius thripticus (E) </v>
      </c>
      <c r="B958" s="66">
        <f>IF(SUM('Actual species'!B958:E958)&gt;=1,1,IF(SUM('Actual species'!B958:E958)="X",1,0))</f>
        <v>0</v>
      </c>
      <c r="C958" s="2">
        <f>IF(SUM('Actual species'!F958)&gt;=1,1,IF(SUM('Actual species'!F958)="X",1,0))</f>
        <v>0</v>
      </c>
      <c r="D958" s="2">
        <f>IF(SUM('Actual species'!G958)&gt;=1,1,IF(SUM('Actual species'!G958)="X",1,0))</f>
        <v>0</v>
      </c>
      <c r="E958" s="2">
        <f>IF(SUM('Actual species'!H958)&gt;=1,1,IF(SUM('Actual species'!H958)="X",1,0))</f>
        <v>0</v>
      </c>
      <c r="F958" s="2">
        <f>IF(SUM('Actual species'!I958)&gt;=1,1,IF(SUM('Actual species'!I958)="X",1,0))</f>
        <v>0</v>
      </c>
      <c r="G958" s="2">
        <f>IF(SUM('Actual species'!J958)&gt;=1,1,IF(SUM('Actual species'!J958)="X",1,0))</f>
        <v>1</v>
      </c>
      <c r="H958" s="2">
        <f>IF(SUM('Actual species'!K958)&gt;=1,1,IF(SUM('Actual species'!K958)="X",1,0))</f>
        <v>0</v>
      </c>
      <c r="I958" s="2">
        <f>IF(SUM('Actual species'!L958)&gt;=1,1,IF(SUM('Actual species'!L958)="X",1,0))</f>
        <v>0</v>
      </c>
      <c r="J958" s="2">
        <f>IF(SUM('Actual species'!M958)&gt;=1,1,IF(SUM('Actual species'!M958)="X",1,0))</f>
        <v>0</v>
      </c>
      <c r="K958" s="2">
        <f>IF(SUM('Actual species'!N958)&gt;=1,1,IF(SUM('Actual species'!N958)="X",1,0))</f>
        <v>0</v>
      </c>
      <c r="L958" s="2">
        <f>IF(SUM('Actual species'!O958)&gt;=1,1,IF(SUM('Actual species'!O958)="X",1,0))</f>
        <v>0</v>
      </c>
      <c r="M958" s="2">
        <f>IF(SUM('Actual species'!P958)&gt;=1,1,IF(SUM('Actual species'!P958)="X",1,0))</f>
        <v>0</v>
      </c>
      <c r="N958" s="2">
        <f>IF(SUM('Actual species'!Q958)&gt;=1,1,IF(SUM('Actual species'!Q958)="X",1,0))</f>
        <v>0</v>
      </c>
      <c r="O958" s="2">
        <f>IF(SUM('Actual species'!R958)&gt;=1,1,IF(SUM('Actual species'!R958)="X",1,0))</f>
        <v>0</v>
      </c>
      <c r="P958" s="2">
        <f>IF(SUM('Actual species'!S958)&gt;=1,1,IF(SUM('Actual species'!S958)="X",1,0))</f>
        <v>0</v>
      </c>
      <c r="Q958" s="2">
        <f>IF(SUM('Actual species'!T958)&gt;=1,1,IF(SUM('Actual species'!T958)="X",1,0))</f>
        <v>0</v>
      </c>
      <c r="R958" s="2">
        <f>IF(SUM('Actual species'!U958)&gt;=1,1,IF(SUM('Actual species'!U958)="X",1,0))</f>
        <v>0</v>
      </c>
    </row>
    <row r="959" spans="1:18" x14ac:dyDescent="0.3">
      <c r="A959" s="113" t="str">
        <f>'Actual species'!A959</f>
        <v>Tetartopeus quadratus</v>
      </c>
      <c r="B959" s="66">
        <f>IF(SUM('Actual species'!B959:E959)&gt;=1,1,IF(SUM('Actual species'!B959:E959)="X",1,0))</f>
        <v>0</v>
      </c>
      <c r="C959" s="2">
        <f>IF(SUM('Actual species'!F959)&gt;=1,1,IF(SUM('Actual species'!F959)="X",1,0))</f>
        <v>0</v>
      </c>
      <c r="D959" s="2">
        <f>IF(SUM('Actual species'!G959)&gt;=1,1,IF(SUM('Actual species'!G959)="X",1,0))</f>
        <v>0</v>
      </c>
      <c r="E959" s="2">
        <f>IF(SUM('Actual species'!H959)&gt;=1,1,IF(SUM('Actual species'!H959)="X",1,0))</f>
        <v>0</v>
      </c>
      <c r="F959" s="2">
        <f>IF(SUM('Actual species'!I959)&gt;=1,1,IF(SUM('Actual species'!I959)="X",1,0))</f>
        <v>0</v>
      </c>
      <c r="G959" s="2">
        <f>IF(SUM('Actual species'!J959)&gt;=1,1,IF(SUM('Actual species'!J959)="X",1,0))</f>
        <v>0</v>
      </c>
      <c r="H959" s="2">
        <f>IF(SUM('Actual species'!K959)&gt;=1,1,IF(SUM('Actual species'!K959)="X",1,0))</f>
        <v>0</v>
      </c>
      <c r="I959" s="2">
        <f>IF(SUM('Actual species'!L959)&gt;=1,1,IF(SUM('Actual species'!L959)="X",1,0))</f>
        <v>0</v>
      </c>
      <c r="J959" s="2">
        <f>IF(SUM('Actual species'!M959)&gt;=1,1,IF(SUM('Actual species'!M959)="X",1,0))</f>
        <v>0</v>
      </c>
      <c r="K959" s="2">
        <f>IF(SUM('Actual species'!N959)&gt;=1,1,IF(SUM('Actual species'!N959)="X",1,0))</f>
        <v>0</v>
      </c>
      <c r="L959" s="2">
        <f>IF(SUM('Actual species'!O959)&gt;=1,1,IF(SUM('Actual species'!O959)="X",1,0))</f>
        <v>0</v>
      </c>
      <c r="M959" s="2">
        <f>IF(SUM('Actual species'!P959)&gt;=1,1,IF(SUM('Actual species'!P959)="X",1,0))</f>
        <v>0</v>
      </c>
      <c r="N959" s="2">
        <f>IF(SUM('Actual species'!Q959)&gt;=1,1,IF(SUM('Actual species'!Q959)="X",1,0))</f>
        <v>0</v>
      </c>
      <c r="O959" s="2">
        <f>IF(SUM('Actual species'!R959)&gt;=1,1,IF(SUM('Actual species'!R959)="X",1,0))</f>
        <v>0</v>
      </c>
      <c r="P959" s="2">
        <f>IF(SUM('Actual species'!S959)&gt;=1,1,IF(SUM('Actual species'!S959)="X",1,0))</f>
        <v>0</v>
      </c>
      <c r="Q959" s="2">
        <f>IF(SUM('Actual species'!T959)&gt;=1,1,IF(SUM('Actual species'!T959)="X",1,0))</f>
        <v>0</v>
      </c>
      <c r="R959" s="2">
        <f>IF(SUM('Actual species'!U959)&gt;=1,1,IF(SUM('Actual species'!U959)="X",1,0))</f>
        <v>0</v>
      </c>
    </row>
    <row r="960" spans="1:18" x14ac:dyDescent="0.3">
      <c r="A960" s="113" t="str">
        <f>'Actual species'!A960</f>
        <v>Throbalium dividuum dividuum</v>
      </c>
      <c r="B960" s="66">
        <f>IF(SUM('Actual species'!B960:E960)&gt;=1,1,IF(SUM('Actual species'!B960:E960)="X",1,0))</f>
        <v>0</v>
      </c>
      <c r="C960" s="2">
        <f>IF(SUM('Actual species'!F960)&gt;=1,1,IF(SUM('Actual species'!F960)="X",1,0))</f>
        <v>0</v>
      </c>
      <c r="D960" s="2">
        <f>IF(SUM('Actual species'!G960)&gt;=1,1,IF(SUM('Actual species'!G960)="X",1,0))</f>
        <v>0</v>
      </c>
      <c r="E960" s="2">
        <f>IF(SUM('Actual species'!H960)&gt;=1,1,IF(SUM('Actual species'!H960)="X",1,0))</f>
        <v>0</v>
      </c>
      <c r="F960" s="2">
        <f>IF(SUM('Actual species'!I960)&gt;=1,1,IF(SUM('Actual species'!I960)="X",1,0))</f>
        <v>0</v>
      </c>
      <c r="G960" s="2">
        <f>IF(SUM('Actual species'!J960)&gt;=1,1,IF(SUM('Actual species'!J960)="X",1,0))</f>
        <v>0</v>
      </c>
      <c r="H960" s="2">
        <f>IF(SUM('Actual species'!K960)&gt;=1,1,IF(SUM('Actual species'!K960)="X",1,0))</f>
        <v>0</v>
      </c>
      <c r="I960" s="2">
        <f>IF(SUM('Actual species'!L960)&gt;=1,1,IF(SUM('Actual species'!L960)="X",1,0))</f>
        <v>0</v>
      </c>
      <c r="J960" s="2">
        <f>IF(SUM('Actual species'!M960)&gt;=1,1,IF(SUM('Actual species'!M960)="X",1,0))</f>
        <v>0</v>
      </c>
      <c r="K960" s="2">
        <f>IF(SUM('Actual species'!N960)&gt;=1,1,IF(SUM('Actual species'!N960)="X",1,0))</f>
        <v>0</v>
      </c>
      <c r="L960" s="2">
        <f>IF(SUM('Actual species'!O960)&gt;=1,1,IF(SUM('Actual species'!O960)="X",1,0))</f>
        <v>0</v>
      </c>
      <c r="M960" s="2">
        <f>IF(SUM('Actual species'!P960)&gt;=1,1,IF(SUM('Actual species'!P960)="X",1,0))</f>
        <v>0</v>
      </c>
      <c r="N960" s="2">
        <f>IF(SUM('Actual species'!Q960)&gt;=1,1,IF(SUM('Actual species'!Q960)="X",1,0))</f>
        <v>0</v>
      </c>
      <c r="O960" s="2">
        <f>IF(SUM('Actual species'!R960)&gt;=1,1,IF(SUM('Actual species'!R960)="X",1,0))</f>
        <v>0</v>
      </c>
      <c r="P960" s="2">
        <f>IF(SUM('Actual species'!S960)&gt;=1,1,IF(SUM('Actual species'!S960)="X",1,0))</f>
        <v>0</v>
      </c>
      <c r="Q960" s="2">
        <f>IF(SUM('Actual species'!T960)&gt;=1,1,IF(SUM('Actual species'!T960)="X",1,0))</f>
        <v>0</v>
      </c>
      <c r="R960" s="2">
        <f>IF(SUM('Actual species'!U960)&gt;=1,1,IF(SUM('Actual species'!U960)="X",1,0))</f>
        <v>0</v>
      </c>
    </row>
    <row r="961" spans="1:18" x14ac:dyDescent="0.3">
      <c r="A961" s="113" t="str">
        <f>'Actual species'!A961</f>
        <v>Throbalium obenbergerianum</v>
      </c>
      <c r="B961" s="66">
        <f>IF(SUM('Actual species'!B961:E961)&gt;=1,1,IF(SUM('Actual species'!B961:E961)="X",1,0))</f>
        <v>0</v>
      </c>
      <c r="C961" s="2">
        <f>IF(SUM('Actual species'!F961)&gt;=1,1,IF(SUM('Actual species'!F961)="X",1,0))</f>
        <v>0</v>
      </c>
      <c r="D961" s="2">
        <f>IF(SUM('Actual species'!G961)&gt;=1,1,IF(SUM('Actual species'!G961)="X",1,0))</f>
        <v>0</v>
      </c>
      <c r="E961" s="2">
        <f>IF(SUM('Actual species'!H961)&gt;=1,1,IF(SUM('Actual species'!H961)="X",1,0))</f>
        <v>0</v>
      </c>
      <c r="F961" s="2">
        <f>IF(SUM('Actual species'!I961)&gt;=1,1,IF(SUM('Actual species'!I961)="X",1,0))</f>
        <v>0</v>
      </c>
      <c r="G961" s="2">
        <f>IF(SUM('Actual species'!J961)&gt;=1,1,IF(SUM('Actual species'!J961)="X",1,0))</f>
        <v>0</v>
      </c>
      <c r="H961" s="2">
        <f>IF(SUM('Actual species'!K961)&gt;=1,1,IF(SUM('Actual species'!K961)="X",1,0))</f>
        <v>0</v>
      </c>
      <c r="I961" s="2">
        <f>IF(SUM('Actual species'!L961)&gt;=1,1,IF(SUM('Actual species'!L961)="X",1,0))</f>
        <v>0</v>
      </c>
      <c r="J961" s="2">
        <f>IF(SUM('Actual species'!M961)&gt;=1,1,IF(SUM('Actual species'!M961)="X",1,0))</f>
        <v>0</v>
      </c>
      <c r="K961" s="2">
        <f>IF(SUM('Actual species'!N961)&gt;=1,1,IF(SUM('Actual species'!N961)="X",1,0))</f>
        <v>0</v>
      </c>
      <c r="L961" s="2">
        <f>IF(SUM('Actual species'!O961)&gt;=1,1,IF(SUM('Actual species'!O961)="X",1,0))</f>
        <v>0</v>
      </c>
      <c r="M961" s="2">
        <f>IF(SUM('Actual species'!P961)&gt;=1,1,IF(SUM('Actual species'!P961)="X",1,0))</f>
        <v>0</v>
      </c>
      <c r="N961" s="2">
        <f>IF(SUM('Actual species'!Q961)&gt;=1,1,IF(SUM('Actual species'!Q961)="X",1,0))</f>
        <v>0</v>
      </c>
      <c r="O961" s="2">
        <f>IF(SUM('Actual species'!R961)&gt;=1,1,IF(SUM('Actual species'!R961)="X",1,0))</f>
        <v>0</v>
      </c>
      <c r="P961" s="2">
        <f>IF(SUM('Actual species'!S961)&gt;=1,1,IF(SUM('Actual species'!S961)="X",1,0))</f>
        <v>0</v>
      </c>
      <c r="Q961" s="2">
        <f>IF(SUM('Actual species'!T961)&gt;=1,1,IF(SUM('Actual species'!T961)="X",1,0))</f>
        <v>0</v>
      </c>
      <c r="R961" s="2">
        <f>IF(SUM('Actual species'!U961)&gt;=1,1,IF(SUM('Actual species'!U961)="X",1,0))</f>
        <v>0</v>
      </c>
    </row>
    <row r="962" spans="1:18" x14ac:dyDescent="0.3">
      <c r="A962" s="113" t="str">
        <f>'Actual species'!A962</f>
        <v>Staphylininae</v>
      </c>
      <c r="B962" s="66">
        <f>IF(SUM('Actual species'!B962:E962)&gt;=1,1,IF(SUM('Actual species'!B962:E962)="X",1,0))</f>
        <v>0</v>
      </c>
      <c r="C962" s="2">
        <f>IF(SUM('Actual species'!F962)&gt;=1,1,IF(SUM('Actual species'!F962)="X",1,0))</f>
        <v>0</v>
      </c>
      <c r="D962" s="2">
        <f>IF(SUM('Actual species'!G962)&gt;=1,1,IF(SUM('Actual species'!G962)="X",1,0))</f>
        <v>0</v>
      </c>
      <c r="E962" s="2">
        <f>IF(SUM('Actual species'!H962)&gt;=1,1,IF(SUM('Actual species'!H962)="X",1,0))</f>
        <v>0</v>
      </c>
      <c r="F962" s="2">
        <f>IF(SUM('Actual species'!I962)&gt;=1,1,IF(SUM('Actual species'!I962)="X",1,0))</f>
        <v>0</v>
      </c>
      <c r="G962" s="2">
        <f>IF(SUM('Actual species'!J962)&gt;=1,1,IF(SUM('Actual species'!J962)="X",1,0))</f>
        <v>0</v>
      </c>
      <c r="H962" s="2">
        <f>IF(SUM('Actual species'!K962)&gt;=1,1,IF(SUM('Actual species'!K962)="X",1,0))</f>
        <v>0</v>
      </c>
      <c r="I962" s="2">
        <f>IF(SUM('Actual species'!L962)&gt;=1,1,IF(SUM('Actual species'!L962)="X",1,0))</f>
        <v>0</v>
      </c>
      <c r="J962" s="2">
        <f>IF(SUM('Actual species'!M962)&gt;=1,1,IF(SUM('Actual species'!M962)="X",1,0))</f>
        <v>0</v>
      </c>
      <c r="K962" s="2">
        <f>IF(SUM('Actual species'!N962)&gt;=1,1,IF(SUM('Actual species'!N962)="X",1,0))</f>
        <v>0</v>
      </c>
      <c r="L962" s="2">
        <f>IF(SUM('Actual species'!O962)&gt;=1,1,IF(SUM('Actual species'!O962)="X",1,0))</f>
        <v>0</v>
      </c>
      <c r="M962" s="2">
        <f>IF(SUM('Actual species'!P962)&gt;=1,1,IF(SUM('Actual species'!P962)="X",1,0))</f>
        <v>0</v>
      </c>
      <c r="N962" s="2">
        <f>IF(SUM('Actual species'!Q962)&gt;=1,1,IF(SUM('Actual species'!Q962)="X",1,0))</f>
        <v>0</v>
      </c>
      <c r="O962" s="2">
        <f>IF(SUM('Actual species'!R962)&gt;=1,1,IF(SUM('Actual species'!R962)="X",1,0))</f>
        <v>0</v>
      </c>
      <c r="P962" s="2">
        <f>IF(SUM('Actual species'!S962)&gt;=1,1,IF(SUM('Actual species'!S962)="X",1,0))</f>
        <v>0</v>
      </c>
      <c r="Q962" s="2">
        <f>IF(SUM('Actual species'!T962)&gt;=1,1,IF(SUM('Actual species'!T962)="X",1,0))</f>
        <v>0</v>
      </c>
      <c r="R962" s="2">
        <f>IF(SUM('Actual species'!U962)&gt;=1,1,IF(SUM('Actual species'!U962)="X",1,0))</f>
        <v>0</v>
      </c>
    </row>
    <row r="963" spans="1:18" x14ac:dyDescent="0.3">
      <c r="A963" s="113" t="str">
        <f>'Actual species'!A963</f>
        <v>Acylophorus glaberrimus</v>
      </c>
      <c r="B963" s="66">
        <f>IF(SUM('Actual species'!B963:E963)&gt;=1,1,IF(SUM('Actual species'!B963:E963)="X",1,0))</f>
        <v>0</v>
      </c>
      <c r="C963" s="2">
        <f>IF(SUM('Actual species'!F963)&gt;=1,1,IF(SUM('Actual species'!F963)="X",1,0))</f>
        <v>0</v>
      </c>
      <c r="D963" s="2">
        <f>IF(SUM('Actual species'!G963)&gt;=1,1,IF(SUM('Actual species'!G963)="X",1,0))</f>
        <v>0</v>
      </c>
      <c r="E963" s="2">
        <f>IF(SUM('Actual species'!H963)&gt;=1,1,IF(SUM('Actual species'!H963)="X",1,0))</f>
        <v>0</v>
      </c>
      <c r="F963" s="2">
        <f>IF(SUM('Actual species'!I963)&gt;=1,1,IF(SUM('Actual species'!I963)="X",1,0))</f>
        <v>1</v>
      </c>
      <c r="G963" s="2">
        <f>IF(SUM('Actual species'!J963)&gt;=1,1,IF(SUM('Actual species'!J963)="X",1,0))</f>
        <v>0</v>
      </c>
      <c r="H963" s="2">
        <f>IF(SUM('Actual species'!K963)&gt;=1,1,IF(SUM('Actual species'!K963)="X",1,0))</f>
        <v>0</v>
      </c>
      <c r="I963" s="2">
        <f>IF(SUM('Actual species'!L963)&gt;=1,1,IF(SUM('Actual species'!L963)="X",1,0))</f>
        <v>0</v>
      </c>
      <c r="J963" s="2">
        <f>IF(SUM('Actual species'!M963)&gt;=1,1,IF(SUM('Actual species'!M963)="X",1,0))</f>
        <v>0</v>
      </c>
      <c r="K963" s="2">
        <f>IF(SUM('Actual species'!N963)&gt;=1,1,IF(SUM('Actual species'!N963)="X",1,0))</f>
        <v>0</v>
      </c>
      <c r="L963" s="2">
        <f>IF(SUM('Actual species'!O963)&gt;=1,1,IF(SUM('Actual species'!O963)="X",1,0))</f>
        <v>0</v>
      </c>
      <c r="M963" s="2">
        <f>IF(SUM('Actual species'!P963)&gt;=1,1,IF(SUM('Actual species'!P963)="X",1,0))</f>
        <v>0</v>
      </c>
      <c r="N963" s="2">
        <f>IF(SUM('Actual species'!Q963)&gt;=1,1,IF(SUM('Actual species'!Q963)="X",1,0))</f>
        <v>0</v>
      </c>
      <c r="O963" s="2">
        <f>IF(SUM('Actual species'!R963)&gt;=1,1,IF(SUM('Actual species'!R963)="X",1,0))</f>
        <v>0</v>
      </c>
      <c r="P963" s="2">
        <f>IF(SUM('Actual species'!S963)&gt;=1,1,IF(SUM('Actual species'!S963)="X",1,0))</f>
        <v>0</v>
      </c>
      <c r="Q963" s="2">
        <f>IF(SUM('Actual species'!T963)&gt;=1,1,IF(SUM('Actual species'!T963)="X",1,0))</f>
        <v>0</v>
      </c>
      <c r="R963" s="2">
        <f>IF(SUM('Actual species'!U963)&gt;=1,1,IF(SUM('Actual species'!U963)="X",1,0))</f>
        <v>0</v>
      </c>
    </row>
    <row r="964" spans="1:18" x14ac:dyDescent="0.3">
      <c r="A964" s="113" t="str">
        <f>'Actual species'!A964</f>
        <v>Astrapaeus ulmi</v>
      </c>
      <c r="B964" s="66">
        <f>IF(SUM('Actual species'!B964:E964)&gt;=1,1,IF(SUM('Actual species'!B964:E964)="X",1,0))</f>
        <v>0</v>
      </c>
      <c r="C964" s="2">
        <f>IF(SUM('Actual species'!F964)&gt;=1,1,IF(SUM('Actual species'!F964)="X",1,0))</f>
        <v>0</v>
      </c>
      <c r="D964" s="2">
        <f>IF(SUM('Actual species'!G964)&gt;=1,1,IF(SUM('Actual species'!G964)="X",1,0))</f>
        <v>0</v>
      </c>
      <c r="E964" s="2">
        <f>IF(SUM('Actual species'!H964)&gt;=1,1,IF(SUM('Actual species'!H964)="X",1,0))</f>
        <v>1</v>
      </c>
      <c r="F964" s="2">
        <f>IF(SUM('Actual species'!I964)&gt;=1,1,IF(SUM('Actual species'!I964)="X",1,0))</f>
        <v>1</v>
      </c>
      <c r="G964" s="2">
        <f>IF(SUM('Actual species'!J964)&gt;=1,1,IF(SUM('Actual species'!J964)="X",1,0))</f>
        <v>0</v>
      </c>
      <c r="H964" s="2">
        <f>IF(SUM('Actual species'!K964)&gt;=1,1,IF(SUM('Actual species'!K964)="X",1,0))</f>
        <v>0</v>
      </c>
      <c r="I964" s="2">
        <f>IF(SUM('Actual species'!L964)&gt;=1,1,IF(SUM('Actual species'!L964)="X",1,0))</f>
        <v>0</v>
      </c>
      <c r="J964" s="2">
        <f>IF(SUM('Actual species'!M964)&gt;=1,1,IF(SUM('Actual species'!M964)="X",1,0))</f>
        <v>1</v>
      </c>
      <c r="K964" s="2">
        <f>IF(SUM('Actual species'!N964)&gt;=1,1,IF(SUM('Actual species'!N964)="X",1,0))</f>
        <v>0</v>
      </c>
      <c r="L964" s="2">
        <f>IF(SUM('Actual species'!O964)&gt;=1,1,IF(SUM('Actual species'!O964)="X",1,0))</f>
        <v>0</v>
      </c>
      <c r="M964" s="2">
        <f>IF(SUM('Actual species'!P964)&gt;=1,1,IF(SUM('Actual species'!P964)="X",1,0))</f>
        <v>0</v>
      </c>
      <c r="N964" s="2">
        <f>IF(SUM('Actual species'!Q964)&gt;=1,1,IF(SUM('Actual species'!Q964)="X",1,0))</f>
        <v>0</v>
      </c>
      <c r="O964" s="2">
        <f>IF(SUM('Actual species'!R964)&gt;=1,1,IF(SUM('Actual species'!R964)="X",1,0))</f>
        <v>0</v>
      </c>
      <c r="P964" s="2">
        <f>IF(SUM('Actual species'!S964)&gt;=1,1,IF(SUM('Actual species'!S964)="X",1,0))</f>
        <v>0</v>
      </c>
      <c r="Q964" s="2">
        <f>IF(SUM('Actual species'!T964)&gt;=1,1,IF(SUM('Actual species'!T964)="X",1,0))</f>
        <v>0</v>
      </c>
      <c r="R964" s="2">
        <f>IF(SUM('Actual species'!U964)&gt;=1,1,IF(SUM('Actual species'!U964)="X",1,0))</f>
        <v>0</v>
      </c>
    </row>
    <row r="965" spans="1:18" x14ac:dyDescent="0.3">
      <c r="A965" s="113" t="str">
        <f>'Actual species'!A965</f>
        <v>Atrecus affinis</v>
      </c>
      <c r="B965" s="66">
        <f>IF(SUM('Actual species'!B965:E965)&gt;=1,1,IF(SUM('Actual species'!B965:E965)="X",1,0))</f>
        <v>0</v>
      </c>
      <c r="C965" s="2">
        <f>IF(SUM('Actual species'!F965)&gt;=1,1,IF(SUM('Actual species'!F965)="X",1,0))</f>
        <v>0</v>
      </c>
      <c r="D965" s="2">
        <f>IF(SUM('Actual species'!G965)&gt;=1,1,IF(SUM('Actual species'!G965)="X",1,0))</f>
        <v>0</v>
      </c>
      <c r="E965" s="2">
        <f>IF(SUM('Actual species'!H965)&gt;=1,1,IF(SUM('Actual species'!H965)="X",1,0))</f>
        <v>0</v>
      </c>
      <c r="F965" s="2">
        <f>IF(SUM('Actual species'!I965)&gt;=1,1,IF(SUM('Actual species'!I965)="X",1,0))</f>
        <v>0</v>
      </c>
      <c r="G965" s="2">
        <f>IF(SUM('Actual species'!J965)&gt;=1,1,IF(SUM('Actual species'!J965)="X",1,0))</f>
        <v>0</v>
      </c>
      <c r="H965" s="2">
        <f>IF(SUM('Actual species'!K965)&gt;=1,1,IF(SUM('Actual species'!K965)="X",1,0))</f>
        <v>0</v>
      </c>
      <c r="I965" s="2">
        <f>IF(SUM('Actual species'!L965)&gt;=1,1,IF(SUM('Actual species'!L965)="X",1,0))</f>
        <v>0</v>
      </c>
      <c r="J965" s="2">
        <f>IF(SUM('Actual species'!M965)&gt;=1,1,IF(SUM('Actual species'!M965)="X",1,0))</f>
        <v>0</v>
      </c>
      <c r="K965" s="2">
        <f>IF(SUM('Actual species'!N965)&gt;=1,1,IF(SUM('Actual species'!N965)="X",1,0))</f>
        <v>0</v>
      </c>
      <c r="L965" s="2">
        <f>IF(SUM('Actual species'!O965)&gt;=1,1,IF(SUM('Actual species'!O965)="X",1,0))</f>
        <v>0</v>
      </c>
      <c r="M965" s="2">
        <f>IF(SUM('Actual species'!P965)&gt;=1,1,IF(SUM('Actual species'!P965)="X",1,0))</f>
        <v>0</v>
      </c>
      <c r="N965" s="2">
        <f>IF(SUM('Actual species'!Q965)&gt;=1,1,IF(SUM('Actual species'!Q965)="X",1,0))</f>
        <v>0</v>
      </c>
      <c r="O965" s="2">
        <f>IF(SUM('Actual species'!R965)&gt;=1,1,IF(SUM('Actual species'!R965)="X",1,0))</f>
        <v>1</v>
      </c>
      <c r="P965" s="2">
        <f>IF(SUM('Actual species'!S965)&gt;=1,1,IF(SUM('Actual species'!S965)="X",1,0))</f>
        <v>1</v>
      </c>
      <c r="Q965" s="2">
        <f>IF(SUM('Actual species'!T965)&gt;=1,1,IF(SUM('Actual species'!T965)="X",1,0))</f>
        <v>0</v>
      </c>
      <c r="R965" s="2">
        <f>IF(SUM('Actual species'!U965)&gt;=1,1,IF(SUM('Actual species'!U965)="X",1,0))</f>
        <v>0</v>
      </c>
    </row>
    <row r="966" spans="1:18" x14ac:dyDescent="0.3">
      <c r="A966" s="113" t="str">
        <f>'Actual species'!A966</f>
        <v>Bisnius fimetarius</v>
      </c>
      <c r="B966" s="66">
        <f>IF(SUM('Actual species'!B966:E966)&gt;=1,1,IF(SUM('Actual species'!B966:E966)="X",1,0))</f>
        <v>0</v>
      </c>
      <c r="C966" s="2">
        <f>IF(SUM('Actual species'!F966)&gt;=1,1,IF(SUM('Actual species'!F966)="X",1,0))</f>
        <v>0</v>
      </c>
      <c r="D966" s="2">
        <f>IF(SUM('Actual species'!G966)&gt;=1,1,IF(SUM('Actual species'!G966)="X",1,0))</f>
        <v>0</v>
      </c>
      <c r="E966" s="2">
        <f>IF(SUM('Actual species'!H966)&gt;=1,1,IF(SUM('Actual species'!H966)="X",1,0))</f>
        <v>0</v>
      </c>
      <c r="F966" s="2">
        <f>IF(SUM('Actual species'!I966)&gt;=1,1,IF(SUM('Actual species'!I966)="X",1,0))</f>
        <v>0</v>
      </c>
      <c r="G966" s="2">
        <f>IF(SUM('Actual species'!J966)&gt;=1,1,IF(SUM('Actual species'!J966)="X",1,0))</f>
        <v>0</v>
      </c>
      <c r="H966" s="2">
        <f>IF(SUM('Actual species'!K966)&gt;=1,1,IF(SUM('Actual species'!K966)="X",1,0))</f>
        <v>1</v>
      </c>
      <c r="I966" s="2">
        <f>IF(SUM('Actual species'!L966)&gt;=1,1,IF(SUM('Actual species'!L966)="X",1,0))</f>
        <v>0</v>
      </c>
      <c r="J966" s="2">
        <f>IF(SUM('Actual species'!M966)&gt;=1,1,IF(SUM('Actual species'!M966)="X",1,0))</f>
        <v>0</v>
      </c>
      <c r="K966" s="2">
        <f>IF(SUM('Actual species'!N966)&gt;=1,1,IF(SUM('Actual species'!N966)="X",1,0))</f>
        <v>0</v>
      </c>
      <c r="L966" s="2">
        <f>IF(SUM('Actual species'!O966)&gt;=1,1,IF(SUM('Actual species'!O966)="X",1,0))</f>
        <v>0</v>
      </c>
      <c r="M966" s="2">
        <f>IF(SUM('Actual species'!P966)&gt;=1,1,IF(SUM('Actual species'!P966)="X",1,0))</f>
        <v>0</v>
      </c>
      <c r="N966" s="2">
        <f>IF(SUM('Actual species'!Q966)&gt;=1,1,IF(SUM('Actual species'!Q966)="X",1,0))</f>
        <v>0</v>
      </c>
      <c r="O966" s="2">
        <f>IF(SUM('Actual species'!R966)&gt;=1,1,IF(SUM('Actual species'!R966)="X",1,0))</f>
        <v>0</v>
      </c>
      <c r="P966" s="2">
        <f>IF(SUM('Actual species'!S966)&gt;=1,1,IF(SUM('Actual species'!S966)="X",1,0))</f>
        <v>0</v>
      </c>
      <c r="Q966" s="2">
        <f>IF(SUM('Actual species'!T966)&gt;=1,1,IF(SUM('Actual species'!T966)="X",1,0))</f>
        <v>0</v>
      </c>
      <c r="R966" s="2">
        <f>IF(SUM('Actual species'!U966)&gt;=1,1,IF(SUM('Actual species'!U966)="X",1,0))</f>
        <v>0</v>
      </c>
    </row>
    <row r="967" spans="1:18" x14ac:dyDescent="0.3">
      <c r="A967" s="113" t="str">
        <f>'Actual species'!A967</f>
        <v>Bisnius sordidus</v>
      </c>
      <c r="B967" s="66">
        <f>IF(SUM('Actual species'!B967:E967)&gt;=1,1,IF(SUM('Actual species'!B967:E967)="X",1,0))</f>
        <v>0</v>
      </c>
      <c r="C967" s="2">
        <f>IF(SUM('Actual species'!F967)&gt;=1,1,IF(SUM('Actual species'!F967)="X",1,0))</f>
        <v>0</v>
      </c>
      <c r="D967" s="2">
        <f>IF(SUM('Actual species'!G967)&gt;=1,1,IF(SUM('Actual species'!G967)="X",1,0))</f>
        <v>0</v>
      </c>
      <c r="E967" s="2">
        <f>IF(SUM('Actual species'!H967)&gt;=1,1,IF(SUM('Actual species'!H967)="X",1,0))</f>
        <v>0</v>
      </c>
      <c r="F967" s="2">
        <f>IF(SUM('Actual species'!I967)&gt;=1,1,IF(SUM('Actual species'!I967)="X",1,0))</f>
        <v>0</v>
      </c>
      <c r="G967" s="2">
        <f>IF(SUM('Actual species'!J967)&gt;=1,1,IF(SUM('Actual species'!J967)="X",1,0))</f>
        <v>0</v>
      </c>
      <c r="H967" s="2">
        <f>IF(SUM('Actual species'!K967)&gt;=1,1,IF(SUM('Actual species'!K967)="X",1,0))</f>
        <v>1</v>
      </c>
      <c r="I967" s="2">
        <f>IF(SUM('Actual species'!L967)&gt;=1,1,IF(SUM('Actual species'!L967)="X",1,0))</f>
        <v>0</v>
      </c>
      <c r="J967" s="2">
        <f>IF(SUM('Actual species'!M967)&gt;=1,1,IF(SUM('Actual species'!M967)="X",1,0))</f>
        <v>1</v>
      </c>
      <c r="K967" s="2">
        <f>IF(SUM('Actual species'!N967)&gt;=1,1,IF(SUM('Actual species'!N967)="X",1,0))</f>
        <v>0</v>
      </c>
      <c r="L967" s="2">
        <f>IF(SUM('Actual species'!O967)&gt;=1,1,IF(SUM('Actual species'!O967)="X",1,0))</f>
        <v>0</v>
      </c>
      <c r="M967" s="2">
        <f>IF(SUM('Actual species'!P967)&gt;=1,1,IF(SUM('Actual species'!P967)="X",1,0))</f>
        <v>0</v>
      </c>
      <c r="N967" s="2">
        <f>IF(SUM('Actual species'!Q967)&gt;=1,1,IF(SUM('Actual species'!Q967)="X",1,0))</f>
        <v>0</v>
      </c>
      <c r="O967" s="2">
        <f>IF(SUM('Actual species'!R967)&gt;=1,1,IF(SUM('Actual species'!R967)="X",1,0))</f>
        <v>0</v>
      </c>
      <c r="P967" s="2">
        <f>IF(SUM('Actual species'!S967)&gt;=1,1,IF(SUM('Actual species'!S967)="X",1,0))</f>
        <v>0</v>
      </c>
      <c r="Q967" s="2">
        <f>IF(SUM('Actual species'!T967)&gt;=1,1,IF(SUM('Actual species'!T967)="X",1,0))</f>
        <v>0</v>
      </c>
      <c r="R967" s="2">
        <f>IF(SUM('Actual species'!U967)&gt;=1,1,IF(SUM('Actual species'!U967)="X",1,0))</f>
        <v>0</v>
      </c>
    </row>
    <row r="968" spans="1:18" x14ac:dyDescent="0.3">
      <c r="A968" s="113" t="str">
        <f>'Actual species'!A968</f>
        <v>Cafius cicatricosus</v>
      </c>
      <c r="B968" s="66">
        <f>IF(SUM('Actual species'!B968:E968)&gt;=1,1,IF(SUM('Actual species'!B968:E968)="X",1,0))</f>
        <v>0</v>
      </c>
      <c r="C968" s="2">
        <f>IF(SUM('Actual species'!F968)&gt;=1,1,IF(SUM('Actual species'!F968)="X",1,0))</f>
        <v>0</v>
      </c>
      <c r="D968" s="2">
        <f>IF(SUM('Actual species'!G968)&gt;=1,1,IF(SUM('Actual species'!G968)="X",1,0))</f>
        <v>0</v>
      </c>
      <c r="E968" s="2">
        <f>IF(SUM('Actual species'!H968)&gt;=1,1,IF(SUM('Actual species'!H968)="X",1,0))</f>
        <v>0</v>
      </c>
      <c r="F968" s="2">
        <f>IF(SUM('Actual species'!I968)&gt;=1,1,IF(SUM('Actual species'!I968)="X",1,0))</f>
        <v>0</v>
      </c>
      <c r="G968" s="2">
        <f>IF(SUM('Actual species'!J968)&gt;=1,1,IF(SUM('Actual species'!J968)="X",1,0))</f>
        <v>0</v>
      </c>
      <c r="H968" s="2">
        <f>IF(SUM('Actual species'!K968)&gt;=1,1,IF(SUM('Actual species'!K968)="X",1,0))</f>
        <v>0</v>
      </c>
      <c r="I968" s="2">
        <f>IF(SUM('Actual species'!L968)&gt;=1,1,IF(SUM('Actual species'!L968)="X",1,0))</f>
        <v>0</v>
      </c>
      <c r="J968" s="2">
        <f>IF(SUM('Actual species'!M968)&gt;=1,1,IF(SUM('Actual species'!M968)="X",1,0))</f>
        <v>0</v>
      </c>
      <c r="K968" s="2">
        <f>IF(SUM('Actual species'!N968)&gt;=1,1,IF(SUM('Actual species'!N968)="X",1,0))</f>
        <v>0</v>
      </c>
      <c r="L968" s="2">
        <f>IF(SUM('Actual species'!O968)&gt;=1,1,IF(SUM('Actual species'!O968)="X",1,0))</f>
        <v>0</v>
      </c>
      <c r="M968" s="2">
        <f>IF(SUM('Actual species'!P968)&gt;=1,1,IF(SUM('Actual species'!P968)="X",1,0))</f>
        <v>0</v>
      </c>
      <c r="N968" s="2">
        <f>IF(SUM('Actual species'!Q968)&gt;=1,1,IF(SUM('Actual species'!Q968)="X",1,0))</f>
        <v>0</v>
      </c>
      <c r="O968" s="2">
        <f>IF(SUM('Actual species'!R968)&gt;=1,1,IF(SUM('Actual species'!R968)="X",1,0))</f>
        <v>0</v>
      </c>
      <c r="P968" s="2">
        <f>IF(SUM('Actual species'!S968)&gt;=1,1,IF(SUM('Actual species'!S968)="X",1,0))</f>
        <v>0</v>
      </c>
      <c r="Q968" s="2">
        <f>IF(SUM('Actual species'!T968)&gt;=1,1,IF(SUM('Actual species'!T968)="X",1,0))</f>
        <v>0</v>
      </c>
      <c r="R968" s="2">
        <f>IF(SUM('Actual species'!U968)&gt;=1,1,IF(SUM('Actual species'!U968)="X",1,0))</f>
        <v>0</v>
      </c>
    </row>
    <row r="969" spans="1:18" x14ac:dyDescent="0.3">
      <c r="A969" s="113" t="str">
        <f>'Actual species'!A969</f>
        <v>Cafius xantholoma</v>
      </c>
      <c r="B969" s="66">
        <f>IF(SUM('Actual species'!B969:E969)&gt;=1,1,IF(SUM('Actual species'!B969:E969)="X",1,0))</f>
        <v>1</v>
      </c>
      <c r="C969" s="2">
        <f>IF(SUM('Actual species'!F969)&gt;=1,1,IF(SUM('Actual species'!F969)="X",1,0))</f>
        <v>0</v>
      </c>
      <c r="D969" s="2">
        <f>IF(SUM('Actual species'!G969)&gt;=1,1,IF(SUM('Actual species'!G969)="X",1,0))</f>
        <v>0</v>
      </c>
      <c r="E969" s="2">
        <f>IF(SUM('Actual species'!H969)&gt;=1,1,IF(SUM('Actual species'!H969)="X",1,0))</f>
        <v>0</v>
      </c>
      <c r="F969" s="2">
        <f>IF(SUM('Actual species'!I969)&gt;=1,1,IF(SUM('Actual species'!I969)="X",1,0))</f>
        <v>0</v>
      </c>
      <c r="G969" s="2">
        <f>IF(SUM('Actual species'!J969)&gt;=1,1,IF(SUM('Actual species'!J969)="X",1,0))</f>
        <v>0</v>
      </c>
      <c r="H969" s="2">
        <f>IF(SUM('Actual species'!K969)&gt;=1,1,IF(SUM('Actual species'!K969)="X",1,0))</f>
        <v>0</v>
      </c>
      <c r="I969" s="2">
        <f>IF(SUM('Actual species'!L969)&gt;=1,1,IF(SUM('Actual species'!L969)="X",1,0))</f>
        <v>0</v>
      </c>
      <c r="J969" s="2">
        <f>IF(SUM('Actual species'!M969)&gt;=1,1,IF(SUM('Actual species'!M969)="X",1,0))</f>
        <v>0</v>
      </c>
      <c r="K969" s="2">
        <f>IF(SUM('Actual species'!N969)&gt;=1,1,IF(SUM('Actual species'!N969)="X",1,0))</f>
        <v>0</v>
      </c>
      <c r="L969" s="2">
        <f>IF(SUM('Actual species'!O969)&gt;=1,1,IF(SUM('Actual species'!O969)="X",1,0))</f>
        <v>0</v>
      </c>
      <c r="M969" s="2">
        <f>IF(SUM('Actual species'!P969)&gt;=1,1,IF(SUM('Actual species'!P969)="X",1,0))</f>
        <v>0</v>
      </c>
      <c r="N969" s="2">
        <f>IF(SUM('Actual species'!Q969)&gt;=1,1,IF(SUM('Actual species'!Q969)="X",1,0))</f>
        <v>0</v>
      </c>
      <c r="O969" s="2">
        <f>IF(SUM('Actual species'!R969)&gt;=1,1,IF(SUM('Actual species'!R969)="X",1,0))</f>
        <v>0</v>
      </c>
      <c r="P969" s="2">
        <f>IF(SUM('Actual species'!S969)&gt;=1,1,IF(SUM('Actual species'!S969)="X",1,0))</f>
        <v>0</v>
      </c>
      <c r="Q969" s="2">
        <f>IF(SUM('Actual species'!T969)&gt;=1,1,IF(SUM('Actual species'!T969)="X",1,0))</f>
        <v>0</v>
      </c>
      <c r="R969" s="2">
        <f>IF(SUM('Actual species'!U969)&gt;=1,1,IF(SUM('Actual species'!U969)="X",1,0))</f>
        <v>0</v>
      </c>
    </row>
    <row r="970" spans="1:18" x14ac:dyDescent="0.3">
      <c r="A970" s="113" t="str">
        <f>'Actual species'!A970</f>
        <v>Creophilus maxillosus</v>
      </c>
      <c r="B970" s="66">
        <f>IF(SUM('Actual species'!B970:E970)&gt;=1,1,IF(SUM('Actual species'!B970:E970)="X",1,0))</f>
        <v>1</v>
      </c>
      <c r="C970" s="2">
        <f>IF(SUM('Actual species'!F970)&gt;=1,1,IF(SUM('Actual species'!F970)="X",1,0))</f>
        <v>0</v>
      </c>
      <c r="D970" s="2">
        <f>IF(SUM('Actual species'!G970)&gt;=1,1,IF(SUM('Actual species'!G970)="X",1,0))</f>
        <v>0</v>
      </c>
      <c r="E970" s="2">
        <f>IF(SUM('Actual species'!H970)&gt;=1,1,IF(SUM('Actual species'!H970)="X",1,0))</f>
        <v>0</v>
      </c>
      <c r="F970" s="2">
        <f>IF(SUM('Actual species'!I970)&gt;=1,1,IF(SUM('Actual species'!I970)="X",1,0))</f>
        <v>1</v>
      </c>
      <c r="G970" s="2">
        <f>IF(SUM('Actual species'!J970)&gt;=1,1,IF(SUM('Actual species'!J970)="X",1,0))</f>
        <v>0</v>
      </c>
      <c r="H970" s="2">
        <f>IF(SUM('Actual species'!K970)&gt;=1,1,IF(SUM('Actual species'!K970)="X",1,0))</f>
        <v>0</v>
      </c>
      <c r="I970" s="2">
        <f>IF(SUM('Actual species'!L970)&gt;=1,1,IF(SUM('Actual species'!L970)="X",1,0))</f>
        <v>0</v>
      </c>
      <c r="J970" s="2">
        <f>IF(SUM('Actual species'!M970)&gt;=1,1,IF(SUM('Actual species'!M970)="X",1,0))</f>
        <v>0</v>
      </c>
      <c r="K970" s="2">
        <f>IF(SUM('Actual species'!N970)&gt;=1,1,IF(SUM('Actual species'!N970)="X",1,0))</f>
        <v>0</v>
      </c>
      <c r="L970" s="2">
        <f>IF(SUM('Actual species'!O970)&gt;=1,1,IF(SUM('Actual species'!O970)="X",1,0))</f>
        <v>0</v>
      </c>
      <c r="M970" s="2">
        <f>IF(SUM('Actual species'!P970)&gt;=1,1,IF(SUM('Actual species'!P970)="X",1,0))</f>
        <v>0</v>
      </c>
      <c r="N970" s="2">
        <f>IF(SUM('Actual species'!Q970)&gt;=1,1,IF(SUM('Actual species'!Q970)="X",1,0))</f>
        <v>0</v>
      </c>
      <c r="O970" s="2">
        <f>IF(SUM('Actual species'!R970)&gt;=1,1,IF(SUM('Actual species'!R970)="X",1,0))</f>
        <v>0</v>
      </c>
      <c r="P970" s="2">
        <f>IF(SUM('Actual species'!S970)&gt;=1,1,IF(SUM('Actual species'!S970)="X",1,0))</f>
        <v>0</v>
      </c>
      <c r="Q970" s="2">
        <f>IF(SUM('Actual species'!T970)&gt;=1,1,IF(SUM('Actual species'!T970)="X",1,0))</f>
        <v>0</v>
      </c>
      <c r="R970" s="2">
        <f>IF(SUM('Actual species'!U970)&gt;=1,1,IF(SUM('Actual species'!U970)="X",1,0))</f>
        <v>0</v>
      </c>
    </row>
    <row r="971" spans="1:18" x14ac:dyDescent="0.3">
      <c r="A971" s="113" t="str">
        <f>'Actual species'!A971</f>
        <v>Dinothenarus flavocephalus</v>
      </c>
      <c r="B971" s="66">
        <f>IF(SUM('Actual species'!B971:E971)&gt;=1,1,IF(SUM('Actual species'!B971:E971)="X",1,0))</f>
        <v>0</v>
      </c>
      <c r="C971" s="2">
        <f>IF(SUM('Actual species'!F971)&gt;=1,1,IF(SUM('Actual species'!F971)="X",1,0))</f>
        <v>1</v>
      </c>
      <c r="D971" s="2">
        <f>IF(SUM('Actual species'!G971)&gt;=1,1,IF(SUM('Actual species'!G971)="X",1,0))</f>
        <v>0</v>
      </c>
      <c r="E971" s="2">
        <f>IF(SUM('Actual species'!H971)&gt;=1,1,IF(SUM('Actual species'!H971)="X",1,0))</f>
        <v>0</v>
      </c>
      <c r="F971" s="2">
        <f>IF(SUM('Actual species'!I971)&gt;=1,1,IF(SUM('Actual species'!I971)="X",1,0))</f>
        <v>0</v>
      </c>
      <c r="G971" s="2">
        <f>IF(SUM('Actual species'!J971)&gt;=1,1,IF(SUM('Actual species'!J971)="X",1,0))</f>
        <v>0</v>
      </c>
      <c r="H971" s="2">
        <f>IF(SUM('Actual species'!K971)&gt;=1,1,IF(SUM('Actual species'!K971)="X",1,0))</f>
        <v>1</v>
      </c>
      <c r="I971" s="2">
        <f>IF(SUM('Actual species'!L971)&gt;=1,1,IF(SUM('Actual species'!L971)="X",1,0))</f>
        <v>0</v>
      </c>
      <c r="J971" s="2">
        <f>IF(SUM('Actual species'!M971)&gt;=1,1,IF(SUM('Actual species'!M971)="X",1,0))</f>
        <v>0</v>
      </c>
      <c r="K971" s="2">
        <f>IF(SUM('Actual species'!N971)&gt;=1,1,IF(SUM('Actual species'!N971)="X",1,0))</f>
        <v>0</v>
      </c>
      <c r="L971" s="2">
        <f>IF(SUM('Actual species'!O971)&gt;=1,1,IF(SUM('Actual species'!O971)="X",1,0))</f>
        <v>0</v>
      </c>
      <c r="M971" s="2">
        <f>IF(SUM('Actual species'!P971)&gt;=1,1,IF(SUM('Actual species'!P971)="X",1,0))</f>
        <v>0</v>
      </c>
      <c r="N971" s="2">
        <f>IF(SUM('Actual species'!Q971)&gt;=1,1,IF(SUM('Actual species'!Q971)="X",1,0))</f>
        <v>0</v>
      </c>
      <c r="O971" s="2">
        <f>IF(SUM('Actual species'!R971)&gt;=1,1,IF(SUM('Actual species'!R971)="X",1,0))</f>
        <v>0</v>
      </c>
      <c r="P971" s="2">
        <f>IF(SUM('Actual species'!S971)&gt;=1,1,IF(SUM('Actual species'!S971)="X",1,0))</f>
        <v>0</v>
      </c>
      <c r="Q971" s="2">
        <f>IF(SUM('Actual species'!T971)&gt;=1,1,IF(SUM('Actual species'!T971)="X",1,0))</f>
        <v>0</v>
      </c>
      <c r="R971" s="2">
        <f>IF(SUM('Actual species'!U971)&gt;=1,1,IF(SUM('Actual species'!U971)="X",1,0))</f>
        <v>0</v>
      </c>
    </row>
    <row r="972" spans="1:18" x14ac:dyDescent="0.3">
      <c r="A972" s="113" t="str">
        <f>'Actual species'!A972</f>
        <v>Erichsonius rivularis</v>
      </c>
      <c r="B972" s="66">
        <f>IF(SUM('Actual species'!B972:E972)&gt;=1,1,IF(SUM('Actual species'!B972:E972)="X",1,0))</f>
        <v>0</v>
      </c>
      <c r="C972" s="2">
        <f>IF(SUM('Actual species'!F972)&gt;=1,1,IF(SUM('Actual species'!F972)="X",1,0))</f>
        <v>0</v>
      </c>
      <c r="D972" s="2">
        <f>IF(SUM('Actual species'!G972)&gt;=1,1,IF(SUM('Actual species'!G972)="X",1,0))</f>
        <v>0</v>
      </c>
      <c r="E972" s="2">
        <f>IF(SUM('Actual species'!H972)&gt;=1,1,IF(SUM('Actual species'!H972)="X",1,0))</f>
        <v>0</v>
      </c>
      <c r="F972" s="2">
        <f>IF(SUM('Actual species'!I972)&gt;=1,1,IF(SUM('Actual species'!I972)="X",1,0))</f>
        <v>0</v>
      </c>
      <c r="G972" s="2">
        <f>IF(SUM('Actual species'!J972)&gt;=1,1,IF(SUM('Actual species'!J972)="X",1,0))</f>
        <v>0</v>
      </c>
      <c r="H972" s="2">
        <f>IF(SUM('Actual species'!K972)&gt;=1,1,IF(SUM('Actual species'!K972)="X",1,0))</f>
        <v>0</v>
      </c>
      <c r="I972" s="2">
        <f>IF(SUM('Actual species'!L972)&gt;=1,1,IF(SUM('Actual species'!L972)="X",1,0))</f>
        <v>0</v>
      </c>
      <c r="J972" s="2">
        <f>IF(SUM('Actual species'!M972)&gt;=1,1,IF(SUM('Actual species'!M972)="X",1,0))</f>
        <v>0</v>
      </c>
      <c r="K972" s="2">
        <f>IF(SUM('Actual species'!N972)&gt;=1,1,IF(SUM('Actual species'!N972)="X",1,0))</f>
        <v>0</v>
      </c>
      <c r="L972" s="2">
        <f>IF(SUM('Actual species'!O972)&gt;=1,1,IF(SUM('Actual species'!O972)="X",1,0))</f>
        <v>0</v>
      </c>
      <c r="M972" s="2">
        <f>IF(SUM('Actual species'!P972)&gt;=1,1,IF(SUM('Actual species'!P972)="X",1,0))</f>
        <v>0</v>
      </c>
      <c r="N972" s="2">
        <f>IF(SUM('Actual species'!Q972)&gt;=1,1,IF(SUM('Actual species'!Q972)="X",1,0))</f>
        <v>1</v>
      </c>
      <c r="O972" s="2">
        <f>IF(SUM('Actual species'!R972)&gt;=1,1,IF(SUM('Actual species'!R972)="X",1,0))</f>
        <v>0</v>
      </c>
      <c r="P972" s="2">
        <f>IF(SUM('Actual species'!S972)&gt;=1,1,IF(SUM('Actual species'!S972)="X",1,0))</f>
        <v>0</v>
      </c>
      <c r="Q972" s="2">
        <f>IF(SUM('Actual species'!T972)&gt;=1,1,IF(SUM('Actual species'!T972)="X",1,0))</f>
        <v>0</v>
      </c>
      <c r="R972" s="2">
        <f>IF(SUM('Actual species'!U972)&gt;=1,1,IF(SUM('Actual species'!U972)="X",1,0))</f>
        <v>0</v>
      </c>
    </row>
    <row r="973" spans="1:18" x14ac:dyDescent="0.3">
      <c r="A973" s="113" t="str">
        <f>'Actual species'!A973</f>
        <v>Erichsonius subopacus</v>
      </c>
      <c r="B973" s="66">
        <f>IF(SUM('Actual species'!B973:E973)&gt;=1,1,IF(SUM('Actual species'!B973:E973)="X",1,0))</f>
        <v>1</v>
      </c>
      <c r="C973" s="2">
        <f>IF(SUM('Actual species'!F973)&gt;=1,1,IF(SUM('Actual species'!F973)="X",1,0))</f>
        <v>0</v>
      </c>
      <c r="D973" s="2">
        <f>IF(SUM('Actual species'!G973)&gt;=1,1,IF(SUM('Actual species'!G973)="X",1,0))</f>
        <v>1</v>
      </c>
      <c r="E973" s="2">
        <f>IF(SUM('Actual species'!H973)&gt;=1,1,IF(SUM('Actual species'!H973)="X",1,0))</f>
        <v>1</v>
      </c>
      <c r="F973" s="2">
        <f>IF(SUM('Actual species'!I973)&gt;=1,1,IF(SUM('Actual species'!I973)="X",1,0))</f>
        <v>1</v>
      </c>
      <c r="G973" s="2">
        <f>IF(SUM('Actual species'!J973)&gt;=1,1,IF(SUM('Actual species'!J973)="X",1,0))</f>
        <v>0</v>
      </c>
      <c r="H973" s="2">
        <f>IF(SUM('Actual species'!K973)&gt;=1,1,IF(SUM('Actual species'!K973)="X",1,0))</f>
        <v>0</v>
      </c>
      <c r="I973" s="2">
        <f>IF(SUM('Actual species'!L973)&gt;=1,1,IF(SUM('Actual species'!L973)="X",1,0))</f>
        <v>0</v>
      </c>
      <c r="J973" s="2">
        <f>IF(SUM('Actual species'!M973)&gt;=1,1,IF(SUM('Actual species'!M973)="X",1,0))</f>
        <v>1</v>
      </c>
      <c r="K973" s="2">
        <f>IF(SUM('Actual species'!N973)&gt;=1,1,IF(SUM('Actual species'!N973)="X",1,0))</f>
        <v>0</v>
      </c>
      <c r="L973" s="2">
        <f>IF(SUM('Actual species'!O973)&gt;=1,1,IF(SUM('Actual species'!O973)="X",1,0))</f>
        <v>0</v>
      </c>
      <c r="M973" s="2">
        <f>IF(SUM('Actual species'!P973)&gt;=1,1,IF(SUM('Actual species'!P973)="X",1,0))</f>
        <v>0</v>
      </c>
      <c r="N973" s="2">
        <f>IF(SUM('Actual species'!Q973)&gt;=1,1,IF(SUM('Actual species'!Q973)="X",1,0))</f>
        <v>0</v>
      </c>
      <c r="O973" s="2">
        <f>IF(SUM('Actual species'!R973)&gt;=1,1,IF(SUM('Actual species'!R973)="X",1,0))</f>
        <v>0</v>
      </c>
      <c r="P973" s="2">
        <f>IF(SUM('Actual species'!S973)&gt;=1,1,IF(SUM('Actual species'!S973)="X",1,0))</f>
        <v>0</v>
      </c>
      <c r="Q973" s="2">
        <f>IF(SUM('Actual species'!T973)&gt;=1,1,IF(SUM('Actual species'!T973)="X",1,0))</f>
        <v>0</v>
      </c>
      <c r="R973" s="2">
        <f>IF(SUM('Actual species'!U973)&gt;=1,1,IF(SUM('Actual species'!U973)="X",1,0))</f>
        <v>0</v>
      </c>
    </row>
    <row r="974" spans="1:18" x14ac:dyDescent="0.3">
      <c r="A974" s="113" t="str">
        <f>'Actual species'!A974</f>
        <v>Gabrius astutoides</v>
      </c>
      <c r="B974" s="66">
        <f>IF(SUM('Actual species'!B974:E974)&gt;=1,1,IF(SUM('Actual species'!B974:E974)="X",1,0))</f>
        <v>0</v>
      </c>
      <c r="C974" s="2">
        <f>IF(SUM('Actual species'!F974)&gt;=1,1,IF(SUM('Actual species'!F974)="X",1,0))</f>
        <v>0</v>
      </c>
      <c r="D974" s="2">
        <f>IF(SUM('Actual species'!G974)&gt;=1,1,IF(SUM('Actual species'!G974)="X",1,0))</f>
        <v>0</v>
      </c>
      <c r="E974" s="2">
        <f>IF(SUM('Actual species'!H974)&gt;=1,1,IF(SUM('Actual species'!H974)="X",1,0))</f>
        <v>1</v>
      </c>
      <c r="F974" s="2">
        <f>IF(SUM('Actual species'!I974)&gt;=1,1,IF(SUM('Actual species'!I974)="X",1,0))</f>
        <v>0</v>
      </c>
      <c r="G974" s="2">
        <f>IF(SUM('Actual species'!J974)&gt;=1,1,IF(SUM('Actual species'!J974)="X",1,0))</f>
        <v>0</v>
      </c>
      <c r="H974" s="2">
        <f>IF(SUM('Actual species'!K974)&gt;=1,1,IF(SUM('Actual species'!K974)="X",1,0))</f>
        <v>0</v>
      </c>
      <c r="I974" s="2">
        <f>IF(SUM('Actual species'!L974)&gt;=1,1,IF(SUM('Actual species'!L974)="X",1,0))</f>
        <v>0</v>
      </c>
      <c r="J974" s="2">
        <f>IF(SUM('Actual species'!M974)&gt;=1,1,IF(SUM('Actual species'!M974)="X",1,0))</f>
        <v>0</v>
      </c>
      <c r="K974" s="2">
        <f>IF(SUM('Actual species'!N974)&gt;=1,1,IF(SUM('Actual species'!N974)="X",1,0))</f>
        <v>0</v>
      </c>
      <c r="L974" s="2">
        <f>IF(SUM('Actual species'!O974)&gt;=1,1,IF(SUM('Actual species'!O974)="X",1,0))</f>
        <v>0</v>
      </c>
      <c r="M974" s="2">
        <f>IF(SUM('Actual species'!P974)&gt;=1,1,IF(SUM('Actual species'!P974)="X",1,0))</f>
        <v>0</v>
      </c>
      <c r="N974" s="2">
        <f>IF(SUM('Actual species'!Q974)&gt;=1,1,IF(SUM('Actual species'!Q974)="X",1,0))</f>
        <v>0</v>
      </c>
      <c r="O974" s="2">
        <f>IF(SUM('Actual species'!R974)&gt;=1,1,IF(SUM('Actual species'!R974)="X",1,0))</f>
        <v>1</v>
      </c>
      <c r="P974" s="2">
        <f>IF(SUM('Actual species'!S974)&gt;=1,1,IF(SUM('Actual species'!S974)="X",1,0))</f>
        <v>0</v>
      </c>
      <c r="Q974" s="2">
        <f>IF(SUM('Actual species'!T974)&gt;=1,1,IF(SUM('Actual species'!T974)="X",1,0))</f>
        <v>0</v>
      </c>
      <c r="R974" s="2">
        <f>IF(SUM('Actual species'!U974)&gt;=1,1,IF(SUM('Actual species'!U974)="X",1,0))</f>
        <v>0</v>
      </c>
    </row>
    <row r="975" spans="1:18" x14ac:dyDescent="0.3">
      <c r="A975" s="113" t="str">
        <f>'Actual species'!A975</f>
        <v xml:space="preserve">Gabrius cf. nigritulus </v>
      </c>
      <c r="B975" s="66">
        <f>IF(SUM('Actual species'!B975:E975)&gt;=1,1,IF(SUM('Actual species'!B975:E975)="X",1,0))</f>
        <v>0</v>
      </c>
      <c r="C975" s="2">
        <f>IF(SUM('Actual species'!F975)&gt;=1,1,IF(SUM('Actual species'!F975)="X",1,0))</f>
        <v>0</v>
      </c>
      <c r="D975" s="2">
        <f>IF(SUM('Actual species'!G975)&gt;=1,1,IF(SUM('Actual species'!G975)="X",1,0))</f>
        <v>0</v>
      </c>
      <c r="E975" s="2">
        <f>IF(SUM('Actual species'!H975)&gt;=1,1,IF(SUM('Actual species'!H975)="X",1,0))</f>
        <v>0</v>
      </c>
      <c r="F975" s="2">
        <f>IF(SUM('Actual species'!I975)&gt;=1,1,IF(SUM('Actual species'!I975)="X",1,0))</f>
        <v>0</v>
      </c>
      <c r="G975" s="2">
        <f>IF(SUM('Actual species'!J975)&gt;=1,1,IF(SUM('Actual species'!J975)="X",1,0))</f>
        <v>1</v>
      </c>
      <c r="H975" s="2">
        <f>IF(SUM('Actual species'!K975)&gt;=1,1,IF(SUM('Actual species'!K975)="X",1,0))</f>
        <v>0</v>
      </c>
      <c r="I975" s="2">
        <f>IF(SUM('Actual species'!L975)&gt;=1,1,IF(SUM('Actual species'!L975)="X",1,0))</f>
        <v>0</v>
      </c>
      <c r="J975" s="2">
        <f>IF(SUM('Actual species'!M975)&gt;=1,1,IF(SUM('Actual species'!M975)="X",1,0))</f>
        <v>0</v>
      </c>
      <c r="K975" s="2">
        <f>IF(SUM('Actual species'!N975)&gt;=1,1,IF(SUM('Actual species'!N975)="X",1,0))</f>
        <v>0</v>
      </c>
      <c r="L975" s="2">
        <f>IF(SUM('Actual species'!O975)&gt;=1,1,IF(SUM('Actual species'!O975)="X",1,0))</f>
        <v>0</v>
      </c>
      <c r="M975" s="2">
        <f>IF(SUM('Actual species'!P975)&gt;=1,1,IF(SUM('Actual species'!P975)="X",1,0))</f>
        <v>0</v>
      </c>
      <c r="N975" s="2">
        <f>IF(SUM('Actual species'!Q975)&gt;=1,1,IF(SUM('Actual species'!Q975)="X",1,0))</f>
        <v>0</v>
      </c>
      <c r="O975" s="2">
        <f>IF(SUM('Actual species'!R975)&gt;=1,1,IF(SUM('Actual species'!R975)="X",1,0))</f>
        <v>0</v>
      </c>
      <c r="P975" s="2">
        <f>IF(SUM('Actual species'!S975)&gt;=1,1,IF(SUM('Actual species'!S975)="X",1,0))</f>
        <v>0</v>
      </c>
      <c r="Q975" s="2">
        <f>IF(SUM('Actual species'!T975)&gt;=1,1,IF(SUM('Actual species'!T975)="X",1,0))</f>
        <v>0</v>
      </c>
      <c r="R975" s="2">
        <f>IF(SUM('Actual species'!U975)&gt;=1,1,IF(SUM('Actual species'!U975)="X",1,0))</f>
        <v>0</v>
      </c>
    </row>
    <row r="976" spans="1:18" x14ac:dyDescent="0.3">
      <c r="A976" s="113" t="str">
        <f>'Actual species'!A976</f>
        <v>Gabrius exspectatus</v>
      </c>
      <c r="B976" s="66">
        <f>IF(SUM('Actual species'!B976:E976)&gt;=1,1,IF(SUM('Actual species'!B976:E976)="X",1,0))</f>
        <v>0</v>
      </c>
      <c r="C976" s="2">
        <f>IF(SUM('Actual species'!F976)&gt;=1,1,IF(SUM('Actual species'!F976)="X",1,0))</f>
        <v>0</v>
      </c>
      <c r="D976" s="2">
        <f>IF(SUM('Actual species'!G976)&gt;=1,1,IF(SUM('Actual species'!G976)="X",1,0))</f>
        <v>0</v>
      </c>
      <c r="E976" s="2">
        <f>IF(SUM('Actual species'!H976)&gt;=1,1,IF(SUM('Actual species'!H976)="X",1,0))</f>
        <v>0</v>
      </c>
      <c r="F976" s="2">
        <f>IF(SUM('Actual species'!I976)&gt;=1,1,IF(SUM('Actual species'!I976)="X",1,0))</f>
        <v>0</v>
      </c>
      <c r="G976" s="2">
        <f>IF(SUM('Actual species'!J976)&gt;=1,1,IF(SUM('Actual species'!J976)="X",1,0))</f>
        <v>0</v>
      </c>
      <c r="H976" s="2">
        <f>IF(SUM('Actual species'!K976)&gt;=1,1,IF(SUM('Actual species'!K976)="X",1,0))</f>
        <v>0</v>
      </c>
      <c r="I976" s="2">
        <f>IF(SUM('Actual species'!L976)&gt;=1,1,IF(SUM('Actual species'!L976)="X",1,0))</f>
        <v>0</v>
      </c>
      <c r="J976" s="2">
        <f>IF(SUM('Actual species'!M976)&gt;=1,1,IF(SUM('Actual species'!M976)="X",1,0))</f>
        <v>0</v>
      </c>
      <c r="K976" s="2">
        <f>IF(SUM('Actual species'!N976)&gt;=1,1,IF(SUM('Actual species'!N976)="X",1,0))</f>
        <v>0</v>
      </c>
      <c r="L976" s="2">
        <f>IF(SUM('Actual species'!O976)&gt;=1,1,IF(SUM('Actual species'!O976)="X",1,0))</f>
        <v>0</v>
      </c>
      <c r="M976" s="2">
        <f>IF(SUM('Actual species'!P976)&gt;=1,1,IF(SUM('Actual species'!P976)="X",1,0))</f>
        <v>0</v>
      </c>
      <c r="N976" s="2">
        <f>IF(SUM('Actual species'!Q976)&gt;=1,1,IF(SUM('Actual species'!Q976)="X",1,0))</f>
        <v>0</v>
      </c>
      <c r="O976" s="2">
        <f>IF(SUM('Actual species'!R976)&gt;=1,1,IF(SUM('Actual species'!R976)="X",1,0))</f>
        <v>1</v>
      </c>
      <c r="P976" s="2">
        <f>IF(SUM('Actual species'!S976)&gt;=1,1,IF(SUM('Actual species'!S976)="X",1,0))</f>
        <v>1</v>
      </c>
      <c r="Q976" s="2">
        <f>IF(SUM('Actual species'!T976)&gt;=1,1,IF(SUM('Actual species'!T976)="X",1,0))</f>
        <v>0</v>
      </c>
      <c r="R976" s="2">
        <f>IF(SUM('Actual species'!U976)&gt;=1,1,IF(SUM('Actual species'!U976)="X",1,0))</f>
        <v>0</v>
      </c>
    </row>
    <row r="977" spans="1:18" x14ac:dyDescent="0.3">
      <c r="A977" s="113" t="str">
        <f>'Actual species'!A977</f>
        <v>Gabrius graecus</v>
      </c>
      <c r="B977" s="66">
        <f>IF(SUM('Actual species'!B977:E977)&gt;=1,1,IF(SUM('Actual species'!B977:E977)="X",1,0))</f>
        <v>0</v>
      </c>
      <c r="C977" s="2">
        <f>IF(SUM('Actual species'!F977)&gt;=1,1,IF(SUM('Actual species'!F977)="X",1,0))</f>
        <v>0</v>
      </c>
      <c r="D977" s="2">
        <f>IF(SUM('Actual species'!G977)&gt;=1,1,IF(SUM('Actual species'!G977)="X",1,0))</f>
        <v>0</v>
      </c>
      <c r="E977" s="2">
        <f>IF(SUM('Actual species'!H977)&gt;=1,1,IF(SUM('Actual species'!H977)="X",1,0))</f>
        <v>0</v>
      </c>
      <c r="F977" s="2">
        <f>IF(SUM('Actual species'!I977)&gt;=1,1,IF(SUM('Actual species'!I977)="X",1,0))</f>
        <v>0</v>
      </c>
      <c r="G977" s="2">
        <f>IF(SUM('Actual species'!J977)&gt;=1,1,IF(SUM('Actual species'!J977)="X",1,0))</f>
        <v>0</v>
      </c>
      <c r="H977" s="2">
        <f>IF(SUM('Actual species'!K977)&gt;=1,1,IF(SUM('Actual species'!K977)="X",1,0))</f>
        <v>0</v>
      </c>
      <c r="I977" s="2">
        <f>IF(SUM('Actual species'!L977)&gt;=1,1,IF(SUM('Actual species'!L977)="X",1,0))</f>
        <v>0</v>
      </c>
      <c r="J977" s="2">
        <f>IF(SUM('Actual species'!M977)&gt;=1,1,IF(SUM('Actual species'!M977)="X",1,0))</f>
        <v>0</v>
      </c>
      <c r="K977" s="2">
        <f>IF(SUM('Actual species'!N977)&gt;=1,1,IF(SUM('Actual species'!N977)="X",1,0))</f>
        <v>0</v>
      </c>
      <c r="L977" s="2">
        <f>IF(SUM('Actual species'!O977)&gt;=1,1,IF(SUM('Actual species'!O977)="X",1,0))</f>
        <v>0</v>
      </c>
      <c r="M977" s="2">
        <f>IF(SUM('Actual species'!P977)&gt;=1,1,IF(SUM('Actual species'!P977)="X",1,0))</f>
        <v>0</v>
      </c>
      <c r="N977" s="2">
        <f>IF(SUM('Actual species'!Q977)&gt;=1,1,IF(SUM('Actual species'!Q977)="X",1,0))</f>
        <v>0</v>
      </c>
      <c r="O977" s="2">
        <f>IF(SUM('Actual species'!R977)&gt;=1,1,IF(SUM('Actual species'!R977)="X",1,0))</f>
        <v>0</v>
      </c>
      <c r="P977" s="2">
        <f>IF(SUM('Actual species'!S977)&gt;=1,1,IF(SUM('Actual species'!S977)="X",1,0))</f>
        <v>0</v>
      </c>
      <c r="Q977" s="2">
        <f>IF(SUM('Actual species'!T977)&gt;=1,1,IF(SUM('Actual species'!T977)="X",1,0))</f>
        <v>0</v>
      </c>
      <c r="R977" s="2">
        <f>IF(SUM('Actual species'!U977)&gt;=1,1,IF(SUM('Actual species'!U977)="X",1,0))</f>
        <v>0</v>
      </c>
    </row>
    <row r="978" spans="1:18" x14ac:dyDescent="0.3">
      <c r="A978" s="113" t="str">
        <f>'Actual species'!A978</f>
        <v>Gabrius latro</v>
      </c>
      <c r="B978" s="66">
        <f>IF(SUM('Actual species'!B978:E978)&gt;=1,1,IF(SUM('Actual species'!B978:E978)="X",1,0))</f>
        <v>0</v>
      </c>
      <c r="C978" s="2">
        <f>IF(SUM('Actual species'!F978)&gt;=1,1,IF(SUM('Actual species'!F978)="X",1,0))</f>
        <v>0</v>
      </c>
      <c r="D978" s="2">
        <f>IF(SUM('Actual species'!G978)&gt;=1,1,IF(SUM('Actual species'!G978)="X",1,0))</f>
        <v>0</v>
      </c>
      <c r="E978" s="2">
        <f>IF(SUM('Actual species'!H978)&gt;=1,1,IF(SUM('Actual species'!H978)="X",1,0))</f>
        <v>0</v>
      </c>
      <c r="F978" s="2">
        <f>IF(SUM('Actual species'!I978)&gt;=1,1,IF(SUM('Actual species'!I978)="X",1,0))</f>
        <v>1</v>
      </c>
      <c r="G978" s="2">
        <f>IF(SUM('Actual species'!J978)&gt;=1,1,IF(SUM('Actual species'!J978)="X",1,0))</f>
        <v>0</v>
      </c>
      <c r="H978" s="2">
        <f>IF(SUM('Actual species'!K978)&gt;=1,1,IF(SUM('Actual species'!K978)="X",1,0))</f>
        <v>0</v>
      </c>
      <c r="I978" s="2">
        <f>IF(SUM('Actual species'!L978)&gt;=1,1,IF(SUM('Actual species'!L978)="X",1,0))</f>
        <v>0</v>
      </c>
      <c r="J978" s="2">
        <f>IF(SUM('Actual species'!M978)&gt;=1,1,IF(SUM('Actual species'!M978)="X",1,0))</f>
        <v>0</v>
      </c>
      <c r="K978" s="2">
        <f>IF(SUM('Actual species'!N978)&gt;=1,1,IF(SUM('Actual species'!N978)="X",1,0))</f>
        <v>0</v>
      </c>
      <c r="L978" s="2">
        <f>IF(SUM('Actual species'!O978)&gt;=1,1,IF(SUM('Actual species'!O978)="X",1,0))</f>
        <v>0</v>
      </c>
      <c r="M978" s="2">
        <f>IF(SUM('Actual species'!P978)&gt;=1,1,IF(SUM('Actual species'!P978)="X",1,0))</f>
        <v>0</v>
      </c>
      <c r="N978" s="2">
        <f>IF(SUM('Actual species'!Q978)&gt;=1,1,IF(SUM('Actual species'!Q978)="X",1,0))</f>
        <v>0</v>
      </c>
      <c r="O978" s="2">
        <f>IF(SUM('Actual species'!R978)&gt;=1,1,IF(SUM('Actual species'!R978)="X",1,0))</f>
        <v>0</v>
      </c>
      <c r="P978" s="2">
        <f>IF(SUM('Actual species'!S978)&gt;=1,1,IF(SUM('Actual species'!S978)="X",1,0))</f>
        <v>0</v>
      </c>
      <c r="Q978" s="2">
        <f>IF(SUM('Actual species'!T978)&gt;=1,1,IF(SUM('Actual species'!T978)="X",1,0))</f>
        <v>0</v>
      </c>
      <c r="R978" s="2">
        <f>IF(SUM('Actual species'!U978)&gt;=1,1,IF(SUM('Actual species'!U978)="X",1,0))</f>
        <v>0</v>
      </c>
    </row>
    <row r="979" spans="1:18" x14ac:dyDescent="0.3">
      <c r="A979" s="113" t="str">
        <f>'Actual species'!A979</f>
        <v>Gabrius nigritulus</v>
      </c>
      <c r="B979" s="66">
        <f>IF(SUM('Actual species'!B979:E979)&gt;=1,1,IF(SUM('Actual species'!B979:E979)="X",1,0))</f>
        <v>0</v>
      </c>
      <c r="C979" s="2">
        <f>IF(SUM('Actual species'!F979)&gt;=1,1,IF(SUM('Actual species'!F979)="X",1,0))</f>
        <v>0</v>
      </c>
      <c r="D979" s="2">
        <f>IF(SUM('Actual species'!G979)&gt;=1,1,IF(SUM('Actual species'!G979)="X",1,0))</f>
        <v>0</v>
      </c>
      <c r="E979" s="2">
        <f>IF(SUM('Actual species'!H979)&gt;=1,1,IF(SUM('Actual species'!H979)="X",1,0))</f>
        <v>1</v>
      </c>
      <c r="F979" s="2">
        <f>IF(SUM('Actual species'!I979)&gt;=1,1,IF(SUM('Actual species'!I979)="X",1,0))</f>
        <v>1</v>
      </c>
      <c r="G979" s="2">
        <f>IF(SUM('Actual species'!J979)&gt;=1,1,IF(SUM('Actual species'!J979)="X",1,0))</f>
        <v>1</v>
      </c>
      <c r="H979" s="2">
        <f>IF(SUM('Actual species'!K979)&gt;=1,1,IF(SUM('Actual species'!K979)="X",1,0))</f>
        <v>0</v>
      </c>
      <c r="I979" s="2">
        <f>IF(SUM('Actual species'!L979)&gt;=1,1,IF(SUM('Actual species'!L979)="X",1,0))</f>
        <v>0</v>
      </c>
      <c r="J979" s="2">
        <f>IF(SUM('Actual species'!M979)&gt;=1,1,IF(SUM('Actual species'!M979)="X",1,0))</f>
        <v>0</v>
      </c>
      <c r="K979" s="2">
        <f>IF(SUM('Actual species'!N979)&gt;=1,1,IF(SUM('Actual species'!N979)="X",1,0))</f>
        <v>0</v>
      </c>
      <c r="L979" s="2">
        <f>IF(SUM('Actual species'!O979)&gt;=1,1,IF(SUM('Actual species'!O979)="X",1,0))</f>
        <v>1</v>
      </c>
      <c r="M979" s="2">
        <f>IF(SUM('Actual species'!P979)&gt;=1,1,IF(SUM('Actual species'!P979)="X",1,0))</f>
        <v>0</v>
      </c>
      <c r="N979" s="2">
        <f>IF(SUM('Actual species'!Q979)&gt;=1,1,IF(SUM('Actual species'!Q979)="X",1,0))</f>
        <v>0</v>
      </c>
      <c r="O979" s="2">
        <f>IF(SUM('Actual species'!R979)&gt;=1,1,IF(SUM('Actual species'!R979)="X",1,0))</f>
        <v>0</v>
      </c>
      <c r="P979" s="2">
        <f>IF(SUM('Actual species'!S979)&gt;=1,1,IF(SUM('Actual species'!S979)="X",1,0))</f>
        <v>0</v>
      </c>
      <c r="Q979" s="2">
        <f>IF(SUM('Actual species'!T979)&gt;=1,1,IF(SUM('Actual species'!T979)="X",1,0))</f>
        <v>0</v>
      </c>
      <c r="R979" s="2">
        <f>IF(SUM('Actual species'!U979)&gt;=1,1,IF(SUM('Actual species'!U979)="X",1,0))</f>
        <v>0</v>
      </c>
    </row>
    <row r="980" spans="1:18" x14ac:dyDescent="0.3">
      <c r="A980" s="113" t="str">
        <f>'Actual species'!A980</f>
        <v>Gabrius obenbergeri</v>
      </c>
      <c r="B980" s="66">
        <f>IF(SUM('Actual species'!B980:E980)&gt;=1,1,IF(SUM('Actual species'!B980:E980)="X",1,0))</f>
        <v>0</v>
      </c>
      <c r="C980" s="2">
        <f>IF(SUM('Actual species'!F980)&gt;=1,1,IF(SUM('Actual species'!F980)="X",1,0))</f>
        <v>0</v>
      </c>
      <c r="D980" s="2">
        <f>IF(SUM('Actual species'!G980)&gt;=1,1,IF(SUM('Actual species'!G980)="X",1,0))</f>
        <v>0</v>
      </c>
      <c r="E980" s="2">
        <f>IF(SUM('Actual species'!H980)&gt;=1,1,IF(SUM('Actual species'!H980)="X",1,0))</f>
        <v>0</v>
      </c>
      <c r="F980" s="2">
        <f>IF(SUM('Actual species'!I980)&gt;=1,1,IF(SUM('Actual species'!I980)="X",1,0))</f>
        <v>0</v>
      </c>
      <c r="G980" s="2">
        <f>IF(SUM('Actual species'!J980)&gt;=1,1,IF(SUM('Actual species'!J980)="X",1,0))</f>
        <v>0</v>
      </c>
      <c r="H980" s="2">
        <f>IF(SUM('Actual species'!K980)&gt;=1,1,IF(SUM('Actual species'!K980)="X",1,0))</f>
        <v>0</v>
      </c>
      <c r="I980" s="2">
        <f>IF(SUM('Actual species'!L980)&gt;=1,1,IF(SUM('Actual species'!L980)="X",1,0))</f>
        <v>0</v>
      </c>
      <c r="J980" s="2">
        <f>IF(SUM('Actual species'!M980)&gt;=1,1,IF(SUM('Actual species'!M980)="X",1,0))</f>
        <v>0</v>
      </c>
      <c r="K980" s="2">
        <f>IF(SUM('Actual species'!N980)&gt;=1,1,IF(SUM('Actual species'!N980)="X",1,0))</f>
        <v>0</v>
      </c>
      <c r="L980" s="2">
        <f>IF(SUM('Actual species'!O980)&gt;=1,1,IF(SUM('Actual species'!O980)="X",1,0))</f>
        <v>0</v>
      </c>
      <c r="M980" s="2">
        <f>IF(SUM('Actual species'!P980)&gt;=1,1,IF(SUM('Actual species'!P980)="X",1,0))</f>
        <v>0</v>
      </c>
      <c r="N980" s="2">
        <f>IF(SUM('Actual species'!Q980)&gt;=1,1,IF(SUM('Actual species'!Q980)="X",1,0))</f>
        <v>1</v>
      </c>
      <c r="O980" s="2">
        <f>IF(SUM('Actual species'!R980)&gt;=1,1,IF(SUM('Actual species'!R980)="X",1,0))</f>
        <v>0</v>
      </c>
      <c r="P980" s="2">
        <f>IF(SUM('Actual species'!S980)&gt;=1,1,IF(SUM('Actual species'!S980)="X",1,0))</f>
        <v>1</v>
      </c>
      <c r="Q980" s="2">
        <f>IF(SUM('Actual species'!T980)&gt;=1,1,IF(SUM('Actual species'!T980)="X",1,0))</f>
        <v>0</v>
      </c>
      <c r="R980" s="2">
        <f>IF(SUM('Actual species'!U980)&gt;=1,1,IF(SUM('Actual species'!U980)="X",1,0))</f>
        <v>0</v>
      </c>
    </row>
    <row r="981" spans="1:18" x14ac:dyDescent="0.3">
      <c r="A981" s="113" t="str">
        <f>'Actual species'!A981</f>
        <v>Gabrius ravasinii</v>
      </c>
      <c r="B981" s="66">
        <f>IF(SUM('Actual species'!B981:E981)&gt;=1,1,IF(SUM('Actual species'!B981:E981)="X",1,0))</f>
        <v>0</v>
      </c>
      <c r="C981" s="2">
        <f>IF(SUM('Actual species'!F981)&gt;=1,1,IF(SUM('Actual species'!F981)="X",1,0))</f>
        <v>0</v>
      </c>
      <c r="D981" s="2">
        <f>IF(SUM('Actual species'!G981)&gt;=1,1,IF(SUM('Actual species'!G981)="X",1,0))</f>
        <v>0</v>
      </c>
      <c r="E981" s="2">
        <f>IF(SUM('Actual species'!H981)&gt;=1,1,IF(SUM('Actual species'!H981)="X",1,0))</f>
        <v>0</v>
      </c>
      <c r="F981" s="2">
        <f>IF(SUM('Actual species'!I981)&gt;=1,1,IF(SUM('Actual species'!I981)="X",1,0))</f>
        <v>0</v>
      </c>
      <c r="G981" s="2">
        <f>IF(SUM('Actual species'!J981)&gt;=1,1,IF(SUM('Actual species'!J981)="X",1,0))</f>
        <v>0</v>
      </c>
      <c r="H981" s="2">
        <f>IF(SUM('Actual species'!K981)&gt;=1,1,IF(SUM('Actual species'!K981)="X",1,0))</f>
        <v>0</v>
      </c>
      <c r="I981" s="2">
        <f>IF(SUM('Actual species'!L981)&gt;=1,1,IF(SUM('Actual species'!L981)="X",1,0))</f>
        <v>0</v>
      </c>
      <c r="J981" s="2">
        <f>IF(SUM('Actual species'!M981)&gt;=1,1,IF(SUM('Actual species'!M981)="X",1,0))</f>
        <v>0</v>
      </c>
      <c r="K981" s="2">
        <f>IF(SUM('Actual species'!N981)&gt;=1,1,IF(SUM('Actual species'!N981)="X",1,0))</f>
        <v>0</v>
      </c>
      <c r="L981" s="2">
        <f>IF(SUM('Actual species'!O981)&gt;=1,1,IF(SUM('Actual species'!O981)="X",1,0))</f>
        <v>0</v>
      </c>
      <c r="M981" s="2">
        <f>IF(SUM('Actual species'!P981)&gt;=1,1,IF(SUM('Actual species'!P981)="X",1,0))</f>
        <v>0</v>
      </c>
      <c r="N981" s="2">
        <f>IF(SUM('Actual species'!Q981)&gt;=1,1,IF(SUM('Actual species'!Q981)="X",1,0))</f>
        <v>1</v>
      </c>
      <c r="O981" s="2">
        <f>IF(SUM('Actual species'!R981)&gt;=1,1,IF(SUM('Actual species'!R981)="X",1,0))</f>
        <v>0</v>
      </c>
      <c r="P981" s="2">
        <f>IF(SUM('Actual species'!S981)&gt;=1,1,IF(SUM('Actual species'!S981)="X",1,0))</f>
        <v>0</v>
      </c>
      <c r="Q981" s="2">
        <f>IF(SUM('Actual species'!T981)&gt;=1,1,IF(SUM('Actual species'!T981)="X",1,0))</f>
        <v>0</v>
      </c>
      <c r="R981" s="2">
        <f>IF(SUM('Actual species'!U981)&gt;=1,1,IF(SUM('Actual species'!U981)="X",1,0))</f>
        <v>0</v>
      </c>
    </row>
    <row r="982" spans="1:18" x14ac:dyDescent="0.3">
      <c r="A982" s="113" t="str">
        <f>'Actual species'!A982</f>
        <v>Gabrius sp.</v>
      </c>
      <c r="B982" s="66">
        <f>IF(SUM('Actual species'!B982:E982)&gt;=1,1,IF(SUM('Actual species'!B982:E982)="X",1,0))</f>
        <v>0</v>
      </c>
      <c r="C982" s="2">
        <f>IF(SUM('Actual species'!F982)&gt;=1,1,IF(SUM('Actual species'!F982)="X",1,0))</f>
        <v>0</v>
      </c>
      <c r="D982" s="2">
        <f>IF(SUM('Actual species'!G982)&gt;=1,1,IF(SUM('Actual species'!G982)="X",1,0))</f>
        <v>0</v>
      </c>
      <c r="E982" s="2">
        <f>IF(SUM('Actual species'!H982)&gt;=1,1,IF(SUM('Actual species'!H982)="X",1,0))</f>
        <v>0</v>
      </c>
      <c r="F982" s="2">
        <f>IF(SUM('Actual species'!I982)&gt;=1,1,IF(SUM('Actual species'!I982)="X",1,0))</f>
        <v>0</v>
      </c>
      <c r="G982" s="2">
        <f>IF(SUM('Actual species'!J982)&gt;=1,1,IF(SUM('Actual species'!J982)="X",1,0))</f>
        <v>0</v>
      </c>
      <c r="H982" s="2">
        <f>IF(SUM('Actual species'!K982)&gt;=1,1,IF(SUM('Actual species'!K982)="X",1,0))</f>
        <v>0</v>
      </c>
      <c r="I982" s="2">
        <f>IF(SUM('Actual species'!L982)&gt;=1,1,IF(SUM('Actual species'!L982)="X",1,0))</f>
        <v>0</v>
      </c>
      <c r="J982" s="2">
        <f>IF(SUM('Actual species'!M982)&gt;=1,1,IF(SUM('Actual species'!M982)="X",1,0))</f>
        <v>0</v>
      </c>
      <c r="K982" s="2">
        <f>IF(SUM('Actual species'!N982)&gt;=1,1,IF(SUM('Actual species'!N982)="X",1,0))</f>
        <v>0</v>
      </c>
      <c r="L982" s="2">
        <f>IF(SUM('Actual species'!O982)&gt;=1,1,IF(SUM('Actual species'!O982)="X",1,0))</f>
        <v>0</v>
      </c>
      <c r="M982" s="2">
        <f>IF(SUM('Actual species'!P982)&gt;=1,1,IF(SUM('Actual species'!P982)="X",1,0))</f>
        <v>0</v>
      </c>
      <c r="N982" s="2">
        <f>IF(SUM('Actual species'!Q982)&gt;=1,1,IF(SUM('Actual species'!Q982)="X",1,0))</f>
        <v>0</v>
      </c>
      <c r="O982" s="2">
        <f>IF(SUM('Actual species'!R982)&gt;=1,1,IF(SUM('Actual species'!R982)="X",1,0))</f>
        <v>0</v>
      </c>
      <c r="P982" s="2">
        <f>IF(SUM('Actual species'!S982)&gt;=1,1,IF(SUM('Actual species'!S982)="X",1,0))</f>
        <v>1</v>
      </c>
      <c r="Q982" s="2">
        <f>IF(SUM('Actual species'!T982)&gt;=1,1,IF(SUM('Actual species'!T982)="X",1,0))</f>
        <v>0</v>
      </c>
      <c r="R982" s="2">
        <f>IF(SUM('Actual species'!U982)&gt;=1,1,IF(SUM('Actual species'!U982)="X",1,0))</f>
        <v>0</v>
      </c>
    </row>
    <row r="983" spans="1:18" x14ac:dyDescent="0.3">
      <c r="A983" s="113" t="str">
        <f>'Actual species'!A983</f>
        <v>Gabrius sp. (Female)</v>
      </c>
      <c r="B983" s="66">
        <f>IF(SUM('Actual species'!B983:E983)&gt;=1,1,IF(SUM('Actual species'!B983:E983)="X",1,0))</f>
        <v>1</v>
      </c>
      <c r="C983" s="2">
        <f>IF(SUM('Actual species'!F983)&gt;=1,1,IF(SUM('Actual species'!F983)="X",1,0))</f>
        <v>0</v>
      </c>
      <c r="D983" s="2">
        <f>IF(SUM('Actual species'!G983)&gt;=1,1,IF(SUM('Actual species'!G983)="X",1,0))</f>
        <v>0</v>
      </c>
      <c r="E983" s="2">
        <f>IF(SUM('Actual species'!H983)&gt;=1,1,IF(SUM('Actual species'!H983)="X",1,0))</f>
        <v>0</v>
      </c>
      <c r="F983" s="2">
        <f>IF(SUM('Actual species'!I983)&gt;=1,1,IF(SUM('Actual species'!I983)="X",1,0))</f>
        <v>0</v>
      </c>
      <c r="G983" s="2">
        <f>IF(SUM('Actual species'!J983)&gt;=1,1,IF(SUM('Actual species'!J983)="X",1,0))</f>
        <v>0</v>
      </c>
      <c r="H983" s="2">
        <f>IF(SUM('Actual species'!K983)&gt;=1,1,IF(SUM('Actual species'!K983)="X",1,0))</f>
        <v>0</v>
      </c>
      <c r="I983" s="2">
        <f>IF(SUM('Actual species'!L983)&gt;=1,1,IF(SUM('Actual species'!L983)="X",1,0))</f>
        <v>0</v>
      </c>
      <c r="J983" s="2">
        <f>IF(SUM('Actual species'!M983)&gt;=1,1,IF(SUM('Actual species'!M983)="X",1,0))</f>
        <v>1</v>
      </c>
      <c r="K983" s="2">
        <f>IF(SUM('Actual species'!N983)&gt;=1,1,IF(SUM('Actual species'!N983)="X",1,0))</f>
        <v>0</v>
      </c>
      <c r="L983" s="2">
        <f>IF(SUM('Actual species'!O983)&gt;=1,1,IF(SUM('Actual species'!O983)="X",1,0))</f>
        <v>0</v>
      </c>
      <c r="M983" s="2">
        <f>IF(SUM('Actual species'!P983)&gt;=1,1,IF(SUM('Actual species'!P983)="X",1,0))</f>
        <v>1</v>
      </c>
      <c r="N983" s="2">
        <f>IF(SUM('Actual species'!Q983)&gt;=1,1,IF(SUM('Actual species'!Q983)="X",1,0))</f>
        <v>0</v>
      </c>
      <c r="O983" s="2">
        <f>IF(SUM('Actual species'!R983)&gt;=1,1,IF(SUM('Actual species'!R983)="X",1,0))</f>
        <v>0</v>
      </c>
      <c r="P983" s="2">
        <f>IF(SUM('Actual species'!S983)&gt;=1,1,IF(SUM('Actual species'!S983)="X",1,0))</f>
        <v>0</v>
      </c>
      <c r="Q983" s="2">
        <f>IF(SUM('Actual species'!T983)&gt;=1,1,IF(SUM('Actual species'!T983)="X",1,0))</f>
        <v>0</v>
      </c>
      <c r="R983" s="2">
        <f>IF(SUM('Actual species'!U983)&gt;=1,1,IF(SUM('Actual species'!U983)="X",1,0))</f>
        <v>0</v>
      </c>
    </row>
    <row r="984" spans="1:18" x14ac:dyDescent="0.3">
      <c r="A984" s="113" t="str">
        <f>'Actual species'!A984</f>
        <v>Gabrius splendidulus</v>
      </c>
      <c r="B984" s="66">
        <f>IF(SUM('Actual species'!B984:E984)&gt;=1,1,IF(SUM('Actual species'!B984:E984)="X",1,0))</f>
        <v>0</v>
      </c>
      <c r="C984" s="2">
        <f>IF(SUM('Actual species'!F984)&gt;=1,1,IF(SUM('Actual species'!F984)="X",1,0))</f>
        <v>0</v>
      </c>
      <c r="D984" s="2">
        <f>IF(SUM('Actual species'!G984)&gt;=1,1,IF(SUM('Actual species'!G984)="X",1,0))</f>
        <v>0</v>
      </c>
      <c r="E984" s="2">
        <f>IF(SUM('Actual species'!H984)&gt;=1,1,IF(SUM('Actual species'!H984)="X",1,0))</f>
        <v>0</v>
      </c>
      <c r="F984" s="2">
        <f>IF(SUM('Actual species'!I984)&gt;=1,1,IF(SUM('Actual species'!I984)="X",1,0))</f>
        <v>0</v>
      </c>
      <c r="G984" s="2">
        <f>IF(SUM('Actual species'!J984)&gt;=1,1,IF(SUM('Actual species'!J984)="X",1,0))</f>
        <v>0</v>
      </c>
      <c r="H984" s="2">
        <f>IF(SUM('Actual species'!K984)&gt;=1,1,IF(SUM('Actual species'!K984)="X",1,0))</f>
        <v>0</v>
      </c>
      <c r="I984" s="2">
        <f>IF(SUM('Actual species'!L984)&gt;=1,1,IF(SUM('Actual species'!L984)="X",1,0))</f>
        <v>0</v>
      </c>
      <c r="J984" s="2">
        <f>IF(SUM('Actual species'!M984)&gt;=1,1,IF(SUM('Actual species'!M984)="X",1,0))</f>
        <v>0</v>
      </c>
      <c r="K984" s="2">
        <f>IF(SUM('Actual species'!N984)&gt;=1,1,IF(SUM('Actual species'!N984)="X",1,0))</f>
        <v>0</v>
      </c>
      <c r="L984" s="2">
        <f>IF(SUM('Actual species'!O984)&gt;=1,1,IF(SUM('Actual species'!O984)="X",1,0))</f>
        <v>0</v>
      </c>
      <c r="M984" s="2">
        <f>IF(SUM('Actual species'!P984)&gt;=1,1,IF(SUM('Actual species'!P984)="X",1,0))</f>
        <v>0</v>
      </c>
      <c r="N984" s="2">
        <f>IF(SUM('Actual species'!Q984)&gt;=1,1,IF(SUM('Actual species'!Q984)="X",1,0))</f>
        <v>0</v>
      </c>
      <c r="O984" s="2">
        <f>IF(SUM('Actual species'!R984)&gt;=1,1,IF(SUM('Actual species'!R984)="X",1,0))</f>
        <v>0</v>
      </c>
      <c r="P984" s="2">
        <f>IF(SUM('Actual species'!S984)&gt;=1,1,IF(SUM('Actual species'!S984)="X",1,0))</f>
        <v>0</v>
      </c>
      <c r="Q984" s="2">
        <f>IF(SUM('Actual species'!T984)&gt;=1,1,IF(SUM('Actual species'!T984)="X",1,0))</f>
        <v>0</v>
      </c>
      <c r="R984" s="2">
        <f>IF(SUM('Actual species'!U984)&gt;=1,1,IF(SUM('Actual species'!U984)="X",1,0))</f>
        <v>0</v>
      </c>
    </row>
    <row r="985" spans="1:18" x14ac:dyDescent="0.3">
      <c r="A985" s="113" t="str">
        <f>'Actual species'!A985</f>
        <v xml:space="preserve">Gabrius subnigritulus </v>
      </c>
      <c r="B985" s="66">
        <f>IF(SUM('Actual species'!B985:E985)&gt;=1,1,IF(SUM('Actual species'!B985:E985)="X",1,0))</f>
        <v>0</v>
      </c>
      <c r="C985" s="2">
        <f>IF(SUM('Actual species'!F985)&gt;=1,1,IF(SUM('Actual species'!F985)="X",1,0))</f>
        <v>0</v>
      </c>
      <c r="D985" s="2">
        <f>IF(SUM('Actual species'!G985)&gt;=1,1,IF(SUM('Actual species'!G985)="X",1,0))</f>
        <v>1</v>
      </c>
      <c r="E985" s="2">
        <f>IF(SUM('Actual species'!H985)&gt;=1,1,IF(SUM('Actual species'!H985)="X",1,0))</f>
        <v>0</v>
      </c>
      <c r="F985" s="2">
        <f>IF(SUM('Actual species'!I985)&gt;=1,1,IF(SUM('Actual species'!I985)="X",1,0))</f>
        <v>0</v>
      </c>
      <c r="G985" s="2">
        <f>IF(SUM('Actual species'!J985)&gt;=1,1,IF(SUM('Actual species'!J985)="X",1,0))</f>
        <v>0</v>
      </c>
      <c r="H985" s="2">
        <f>IF(SUM('Actual species'!K985)&gt;=1,1,IF(SUM('Actual species'!K985)="X",1,0))</f>
        <v>0</v>
      </c>
      <c r="I985" s="2">
        <f>IF(SUM('Actual species'!L985)&gt;=1,1,IF(SUM('Actual species'!L985)="X",1,0))</f>
        <v>0</v>
      </c>
      <c r="J985" s="2">
        <f>IF(SUM('Actual species'!M985)&gt;=1,1,IF(SUM('Actual species'!M985)="X",1,0))</f>
        <v>0</v>
      </c>
      <c r="K985" s="2">
        <f>IF(SUM('Actual species'!N985)&gt;=1,1,IF(SUM('Actual species'!N985)="X",1,0))</f>
        <v>0</v>
      </c>
      <c r="L985" s="2">
        <f>IF(SUM('Actual species'!O985)&gt;=1,1,IF(SUM('Actual species'!O985)="X",1,0))</f>
        <v>0</v>
      </c>
      <c r="M985" s="2">
        <f>IF(SUM('Actual species'!P985)&gt;=1,1,IF(SUM('Actual species'!P985)="X",1,0))</f>
        <v>0</v>
      </c>
      <c r="N985" s="2">
        <f>IF(SUM('Actual species'!Q985)&gt;=1,1,IF(SUM('Actual species'!Q985)="X",1,0))</f>
        <v>0</v>
      </c>
      <c r="O985" s="2">
        <f>IF(SUM('Actual species'!R985)&gt;=1,1,IF(SUM('Actual species'!R985)="X",1,0))</f>
        <v>0</v>
      </c>
      <c r="P985" s="2">
        <f>IF(SUM('Actual species'!S985)&gt;=1,1,IF(SUM('Actual species'!S985)="X",1,0))</f>
        <v>0</v>
      </c>
      <c r="Q985" s="2">
        <f>IF(SUM('Actual species'!T985)&gt;=1,1,IF(SUM('Actual species'!T985)="X",1,0))</f>
        <v>0</v>
      </c>
      <c r="R985" s="2">
        <f>IF(SUM('Actual species'!U985)&gt;=1,1,IF(SUM('Actual species'!U985)="X",1,0))</f>
        <v>0</v>
      </c>
    </row>
    <row r="986" spans="1:18" x14ac:dyDescent="0.3">
      <c r="A986" s="113" t="str">
        <f>'Actual species'!A986</f>
        <v>Gabrius toxotes</v>
      </c>
      <c r="B986" s="66">
        <f>IF(SUM('Actual species'!B986:E986)&gt;=1,1,IF(SUM('Actual species'!B986:E986)="X",1,0))</f>
        <v>0</v>
      </c>
      <c r="C986" s="2">
        <f>IF(SUM('Actual species'!F986)&gt;=1,1,IF(SUM('Actual species'!F986)="X",1,0))</f>
        <v>0</v>
      </c>
      <c r="D986" s="2">
        <f>IF(SUM('Actual species'!G986)&gt;=1,1,IF(SUM('Actual species'!G986)="X",1,0))</f>
        <v>0</v>
      </c>
      <c r="E986" s="2">
        <f>IF(SUM('Actual species'!H986)&gt;=1,1,IF(SUM('Actual species'!H986)="X",1,0))</f>
        <v>0</v>
      </c>
      <c r="F986" s="2">
        <f>IF(SUM('Actual species'!I986)&gt;=1,1,IF(SUM('Actual species'!I986)="X",1,0))</f>
        <v>0</v>
      </c>
      <c r="G986" s="2">
        <f>IF(SUM('Actual species'!J986)&gt;=1,1,IF(SUM('Actual species'!J986)="X",1,0))</f>
        <v>0</v>
      </c>
      <c r="H986" s="2">
        <f>IF(SUM('Actual species'!K986)&gt;=1,1,IF(SUM('Actual species'!K986)="X",1,0))</f>
        <v>0</v>
      </c>
      <c r="I986" s="2">
        <f>IF(SUM('Actual species'!L986)&gt;=1,1,IF(SUM('Actual species'!L986)="X",1,0))</f>
        <v>0</v>
      </c>
      <c r="J986" s="2">
        <f>IF(SUM('Actual species'!M986)&gt;=1,1,IF(SUM('Actual species'!M986)="X",1,0))</f>
        <v>0</v>
      </c>
      <c r="K986" s="2">
        <f>IF(SUM('Actual species'!N986)&gt;=1,1,IF(SUM('Actual species'!N986)="X",1,0))</f>
        <v>0</v>
      </c>
      <c r="L986" s="2">
        <f>IF(SUM('Actual species'!O986)&gt;=1,1,IF(SUM('Actual species'!O986)="X",1,0))</f>
        <v>0</v>
      </c>
      <c r="M986" s="2">
        <f>IF(SUM('Actual species'!P986)&gt;=1,1,IF(SUM('Actual species'!P986)="X",1,0))</f>
        <v>0</v>
      </c>
      <c r="N986" s="2">
        <f>IF(SUM('Actual species'!Q986)&gt;=1,1,IF(SUM('Actual species'!Q986)="X",1,0))</f>
        <v>0</v>
      </c>
      <c r="O986" s="2">
        <f>IF(SUM('Actual species'!R986)&gt;=1,1,IF(SUM('Actual species'!R986)="X",1,0))</f>
        <v>0</v>
      </c>
      <c r="P986" s="2">
        <f>IF(SUM('Actual species'!S986)&gt;=1,1,IF(SUM('Actual species'!S986)="X",1,0))</f>
        <v>1</v>
      </c>
      <c r="Q986" s="2">
        <f>IF(SUM('Actual species'!T986)&gt;=1,1,IF(SUM('Actual species'!T986)="X",1,0))</f>
        <v>0</v>
      </c>
      <c r="R986" s="2">
        <f>IF(SUM('Actual species'!U986)&gt;=1,1,IF(SUM('Actual species'!U986)="X",1,0))</f>
        <v>0</v>
      </c>
    </row>
    <row r="987" spans="1:18" x14ac:dyDescent="0.3">
      <c r="A987" s="113" t="str">
        <f>'Actual species'!A987</f>
        <v>Gabronthus maritimus</v>
      </c>
      <c r="B987" s="66">
        <f>IF(SUM('Actual species'!B987:E987)&gt;=1,1,IF(SUM('Actual species'!B987:E987)="X",1,0))</f>
        <v>0</v>
      </c>
      <c r="C987" s="2">
        <f>IF(SUM('Actual species'!F987)&gt;=1,1,IF(SUM('Actual species'!F987)="X",1,0))</f>
        <v>0</v>
      </c>
      <c r="D987" s="2">
        <f>IF(SUM('Actual species'!G987)&gt;=1,1,IF(SUM('Actual species'!G987)="X",1,0))</f>
        <v>0</v>
      </c>
      <c r="E987" s="2">
        <f>IF(SUM('Actual species'!H987)&gt;=1,1,IF(SUM('Actual species'!H987)="X",1,0))</f>
        <v>0</v>
      </c>
      <c r="F987" s="2">
        <f>IF(SUM('Actual species'!I987)&gt;=1,1,IF(SUM('Actual species'!I987)="X",1,0))</f>
        <v>1</v>
      </c>
      <c r="G987" s="2">
        <f>IF(SUM('Actual species'!J987)&gt;=1,1,IF(SUM('Actual species'!J987)="X",1,0))</f>
        <v>0</v>
      </c>
      <c r="H987" s="2">
        <f>IF(SUM('Actual species'!K987)&gt;=1,1,IF(SUM('Actual species'!K987)="X",1,0))</f>
        <v>0</v>
      </c>
      <c r="I987" s="2">
        <f>IF(SUM('Actual species'!L987)&gt;=1,1,IF(SUM('Actual species'!L987)="X",1,0))</f>
        <v>0</v>
      </c>
      <c r="J987" s="2">
        <f>IF(SUM('Actual species'!M987)&gt;=1,1,IF(SUM('Actual species'!M987)="X",1,0))</f>
        <v>1</v>
      </c>
      <c r="K987" s="2">
        <f>IF(SUM('Actual species'!N987)&gt;=1,1,IF(SUM('Actual species'!N987)="X",1,0))</f>
        <v>0</v>
      </c>
      <c r="L987" s="2">
        <f>IF(SUM('Actual species'!O987)&gt;=1,1,IF(SUM('Actual species'!O987)="X",1,0))</f>
        <v>0</v>
      </c>
      <c r="M987" s="2">
        <f>IF(SUM('Actual species'!P987)&gt;=1,1,IF(SUM('Actual species'!P987)="X",1,0))</f>
        <v>0</v>
      </c>
      <c r="N987" s="2">
        <f>IF(SUM('Actual species'!Q987)&gt;=1,1,IF(SUM('Actual species'!Q987)="X",1,0))</f>
        <v>0</v>
      </c>
      <c r="O987" s="2">
        <f>IF(SUM('Actual species'!R987)&gt;=1,1,IF(SUM('Actual species'!R987)="X",1,0))</f>
        <v>0</v>
      </c>
      <c r="P987" s="2">
        <f>IF(SUM('Actual species'!S987)&gt;=1,1,IF(SUM('Actual species'!S987)="X",1,0))</f>
        <v>0</v>
      </c>
      <c r="Q987" s="2">
        <f>IF(SUM('Actual species'!T987)&gt;=1,1,IF(SUM('Actual species'!T987)="X",1,0))</f>
        <v>0</v>
      </c>
      <c r="R987" s="2">
        <f>IF(SUM('Actual species'!U987)&gt;=1,1,IF(SUM('Actual species'!U987)="X",1,0))</f>
        <v>0</v>
      </c>
    </row>
    <row r="988" spans="1:18" x14ac:dyDescent="0.3">
      <c r="A988" s="113" t="str">
        <f>'Actual species'!A988</f>
        <v>Gauropterus fulgidus</v>
      </c>
      <c r="B988" s="66">
        <f>IF(SUM('Actual species'!B988:E988)&gt;=1,1,IF(SUM('Actual species'!B988:E988)="X",1,0))</f>
        <v>0</v>
      </c>
      <c r="C988" s="2">
        <f>IF(SUM('Actual species'!F988)&gt;=1,1,IF(SUM('Actual species'!F988)="X",1,0))</f>
        <v>0</v>
      </c>
      <c r="D988" s="2">
        <f>IF(SUM('Actual species'!G988)&gt;=1,1,IF(SUM('Actual species'!G988)="X",1,0))</f>
        <v>0</v>
      </c>
      <c r="E988" s="2">
        <f>IF(SUM('Actual species'!H988)&gt;=1,1,IF(SUM('Actual species'!H988)="X",1,0))</f>
        <v>0</v>
      </c>
      <c r="F988" s="2">
        <f>IF(SUM('Actual species'!I988)&gt;=1,1,IF(SUM('Actual species'!I988)="X",1,0))</f>
        <v>0</v>
      </c>
      <c r="G988" s="2">
        <f>IF(SUM('Actual species'!J988)&gt;=1,1,IF(SUM('Actual species'!J988)="X",1,0))</f>
        <v>0</v>
      </c>
      <c r="H988" s="2">
        <f>IF(SUM('Actual species'!K988)&gt;=1,1,IF(SUM('Actual species'!K988)="X",1,0))</f>
        <v>0</v>
      </c>
      <c r="I988" s="2">
        <f>IF(SUM('Actual species'!L988)&gt;=1,1,IF(SUM('Actual species'!L988)="X",1,0))</f>
        <v>0</v>
      </c>
      <c r="J988" s="2">
        <f>IF(SUM('Actual species'!M988)&gt;=1,1,IF(SUM('Actual species'!M988)="X",1,0))</f>
        <v>0</v>
      </c>
      <c r="K988" s="2">
        <f>IF(SUM('Actual species'!N988)&gt;=1,1,IF(SUM('Actual species'!N988)="X",1,0))</f>
        <v>0</v>
      </c>
      <c r="L988" s="2">
        <f>IF(SUM('Actual species'!O988)&gt;=1,1,IF(SUM('Actual species'!O988)="X",1,0))</f>
        <v>0</v>
      </c>
      <c r="M988" s="2">
        <f>IF(SUM('Actual species'!P988)&gt;=1,1,IF(SUM('Actual species'!P988)="X",1,0))</f>
        <v>0</v>
      </c>
      <c r="N988" s="2">
        <f>IF(SUM('Actual species'!Q988)&gt;=1,1,IF(SUM('Actual species'!Q988)="X",1,0))</f>
        <v>0</v>
      </c>
      <c r="O988" s="2">
        <f>IF(SUM('Actual species'!R988)&gt;=1,1,IF(SUM('Actual species'!R988)="X",1,0))</f>
        <v>0</v>
      </c>
      <c r="P988" s="2">
        <f>IF(SUM('Actual species'!S988)&gt;=1,1,IF(SUM('Actual species'!S988)="X",1,0))</f>
        <v>0</v>
      </c>
      <c r="Q988" s="2">
        <f>IF(SUM('Actual species'!T988)&gt;=1,1,IF(SUM('Actual species'!T988)="X",1,0))</f>
        <v>0</v>
      </c>
      <c r="R988" s="2">
        <f>IF(SUM('Actual species'!U988)&gt;=1,1,IF(SUM('Actual species'!U988)="X",1,0))</f>
        <v>0</v>
      </c>
    </row>
    <row r="989" spans="1:18" x14ac:dyDescent="0.3">
      <c r="A989" s="113" t="str">
        <f>'Actual species'!A989</f>
        <v>Gauropterus sanguinipennis</v>
      </c>
      <c r="B989" s="66">
        <f>IF(SUM('Actual species'!B989:E989)&gt;=1,1,IF(SUM('Actual species'!B989:E989)="X",1,0))</f>
        <v>0</v>
      </c>
      <c r="C989" s="2">
        <f>IF(SUM('Actual species'!F989)&gt;=1,1,IF(SUM('Actual species'!F989)="X",1,0))</f>
        <v>0</v>
      </c>
      <c r="D989" s="2">
        <f>IF(SUM('Actual species'!G989)&gt;=1,1,IF(SUM('Actual species'!G989)="X",1,0))</f>
        <v>0</v>
      </c>
      <c r="E989" s="2">
        <f>IF(SUM('Actual species'!H989)&gt;=1,1,IF(SUM('Actual species'!H989)="X",1,0))</f>
        <v>0</v>
      </c>
      <c r="F989" s="2">
        <f>IF(SUM('Actual species'!I989)&gt;=1,1,IF(SUM('Actual species'!I989)="X",1,0))</f>
        <v>1</v>
      </c>
      <c r="G989" s="2">
        <f>IF(SUM('Actual species'!J989)&gt;=1,1,IF(SUM('Actual species'!J989)="X",1,0))</f>
        <v>0</v>
      </c>
      <c r="H989" s="2">
        <f>IF(SUM('Actual species'!K989)&gt;=1,1,IF(SUM('Actual species'!K989)="X",1,0))</f>
        <v>0</v>
      </c>
      <c r="I989" s="2">
        <f>IF(SUM('Actual species'!L989)&gt;=1,1,IF(SUM('Actual species'!L989)="X",1,0))</f>
        <v>0</v>
      </c>
      <c r="J989" s="2">
        <f>IF(SUM('Actual species'!M989)&gt;=1,1,IF(SUM('Actual species'!M989)="X",1,0))</f>
        <v>0</v>
      </c>
      <c r="K989" s="2">
        <f>IF(SUM('Actual species'!N989)&gt;=1,1,IF(SUM('Actual species'!N989)="X",1,0))</f>
        <v>0</v>
      </c>
      <c r="L989" s="2">
        <f>IF(SUM('Actual species'!O989)&gt;=1,1,IF(SUM('Actual species'!O989)="X",1,0))</f>
        <v>0</v>
      </c>
      <c r="M989" s="2">
        <f>IF(SUM('Actual species'!P989)&gt;=1,1,IF(SUM('Actual species'!P989)="X",1,0))</f>
        <v>0</v>
      </c>
      <c r="N989" s="2">
        <f>IF(SUM('Actual species'!Q989)&gt;=1,1,IF(SUM('Actual species'!Q989)="X",1,0))</f>
        <v>0</v>
      </c>
      <c r="O989" s="2">
        <f>IF(SUM('Actual species'!R989)&gt;=1,1,IF(SUM('Actual species'!R989)="X",1,0))</f>
        <v>0</v>
      </c>
      <c r="P989" s="2">
        <f>IF(SUM('Actual species'!S989)&gt;=1,1,IF(SUM('Actual species'!S989)="X",1,0))</f>
        <v>0</v>
      </c>
      <c r="Q989" s="2">
        <f>IF(SUM('Actual species'!T989)&gt;=1,1,IF(SUM('Actual species'!T989)="X",1,0))</f>
        <v>0</v>
      </c>
      <c r="R989" s="2">
        <f>IF(SUM('Actual species'!U989)&gt;=1,1,IF(SUM('Actual species'!U989)="X",1,0))</f>
        <v>0</v>
      </c>
    </row>
    <row r="990" spans="1:18" x14ac:dyDescent="0.3">
      <c r="A990" s="113" t="str">
        <f>'Actual species'!A990</f>
        <v>Gyrohypnus angustatus</v>
      </c>
      <c r="B990" s="66">
        <f>IF(SUM('Actual species'!B990:E990)&gt;=1,1,IF(SUM('Actual species'!B990:E990)="X",1,0))</f>
        <v>0</v>
      </c>
      <c r="C990" s="2">
        <f>IF(SUM('Actual species'!F990)&gt;=1,1,IF(SUM('Actual species'!F990)="X",1,0))</f>
        <v>0</v>
      </c>
      <c r="D990" s="2">
        <f>IF(SUM('Actual species'!G990)&gt;=1,1,IF(SUM('Actual species'!G990)="X",1,0))</f>
        <v>1</v>
      </c>
      <c r="E990" s="2">
        <f>IF(SUM('Actual species'!H990)&gt;=1,1,IF(SUM('Actual species'!H990)="X",1,0))</f>
        <v>0</v>
      </c>
      <c r="F990" s="2">
        <f>IF(SUM('Actual species'!I990)&gt;=1,1,IF(SUM('Actual species'!I990)="X",1,0))</f>
        <v>1</v>
      </c>
      <c r="G990" s="2">
        <f>IF(SUM('Actual species'!J990)&gt;=1,1,IF(SUM('Actual species'!J990)="X",1,0))</f>
        <v>1</v>
      </c>
      <c r="H990" s="2">
        <f>IF(SUM('Actual species'!K990)&gt;=1,1,IF(SUM('Actual species'!K990)="X",1,0))</f>
        <v>0</v>
      </c>
      <c r="I990" s="2">
        <f>IF(SUM('Actual species'!L990)&gt;=1,1,IF(SUM('Actual species'!L990)="X",1,0))</f>
        <v>0</v>
      </c>
      <c r="J990" s="2">
        <f>IF(SUM('Actual species'!M990)&gt;=1,1,IF(SUM('Actual species'!M990)="X",1,0))</f>
        <v>0</v>
      </c>
      <c r="K990" s="2">
        <f>IF(SUM('Actual species'!N990)&gt;=1,1,IF(SUM('Actual species'!N990)="X",1,0))</f>
        <v>0</v>
      </c>
      <c r="L990" s="2">
        <f>IF(SUM('Actual species'!O990)&gt;=1,1,IF(SUM('Actual species'!O990)="X",1,0))</f>
        <v>0</v>
      </c>
      <c r="M990" s="2">
        <f>IF(SUM('Actual species'!P990)&gt;=1,1,IF(SUM('Actual species'!P990)="X",1,0))</f>
        <v>0</v>
      </c>
      <c r="N990" s="2">
        <f>IF(SUM('Actual species'!Q990)&gt;=1,1,IF(SUM('Actual species'!Q990)="X",1,0))</f>
        <v>0</v>
      </c>
      <c r="O990" s="2">
        <f>IF(SUM('Actual species'!R990)&gt;=1,1,IF(SUM('Actual species'!R990)="X",1,0))</f>
        <v>0</v>
      </c>
      <c r="P990" s="2">
        <f>IF(SUM('Actual species'!S990)&gt;=1,1,IF(SUM('Actual species'!S990)="X",1,0))</f>
        <v>1</v>
      </c>
      <c r="Q990" s="2">
        <f>IF(SUM('Actual species'!T990)&gt;=1,1,IF(SUM('Actual species'!T990)="X",1,0))</f>
        <v>0</v>
      </c>
      <c r="R990" s="2">
        <f>IF(SUM('Actual species'!U990)&gt;=1,1,IF(SUM('Actual species'!U990)="X",1,0))</f>
        <v>0</v>
      </c>
    </row>
    <row r="991" spans="1:18" x14ac:dyDescent="0.3">
      <c r="A991" s="113" t="str">
        <f>'Actual species'!A991</f>
        <v>Gyrohypnus fracticornis</v>
      </c>
      <c r="B991" s="66">
        <f>IF(SUM('Actual species'!B991:E991)&gt;=1,1,IF(SUM('Actual species'!B991:E991)="X",1,0))</f>
        <v>0</v>
      </c>
      <c r="C991" s="2">
        <f>IF(SUM('Actual species'!F991)&gt;=1,1,IF(SUM('Actual species'!F991)="X",1,0))</f>
        <v>0</v>
      </c>
      <c r="D991" s="2">
        <f>IF(SUM('Actual species'!G991)&gt;=1,1,IF(SUM('Actual species'!G991)="X",1,0))</f>
        <v>1</v>
      </c>
      <c r="E991" s="2">
        <f>IF(SUM('Actual species'!H991)&gt;=1,1,IF(SUM('Actual species'!H991)="X",1,0))</f>
        <v>0</v>
      </c>
      <c r="F991" s="2">
        <f>IF(SUM('Actual species'!I991)&gt;=1,1,IF(SUM('Actual species'!I991)="X",1,0))</f>
        <v>0</v>
      </c>
      <c r="G991" s="2">
        <f>IF(SUM('Actual species'!J991)&gt;=1,1,IF(SUM('Actual species'!J991)="X",1,0))</f>
        <v>0</v>
      </c>
      <c r="H991" s="2">
        <f>IF(SUM('Actual species'!K991)&gt;=1,1,IF(SUM('Actual species'!K991)="X",1,0))</f>
        <v>0</v>
      </c>
      <c r="I991" s="2">
        <f>IF(SUM('Actual species'!L991)&gt;=1,1,IF(SUM('Actual species'!L991)="X",1,0))</f>
        <v>0</v>
      </c>
      <c r="J991" s="2">
        <f>IF(SUM('Actual species'!M991)&gt;=1,1,IF(SUM('Actual species'!M991)="X",1,0))</f>
        <v>0</v>
      </c>
      <c r="K991" s="2">
        <f>IF(SUM('Actual species'!N991)&gt;=1,1,IF(SUM('Actual species'!N991)="X",1,0))</f>
        <v>0</v>
      </c>
      <c r="L991" s="2">
        <f>IF(SUM('Actual species'!O991)&gt;=1,1,IF(SUM('Actual species'!O991)="X",1,0))</f>
        <v>0</v>
      </c>
      <c r="M991" s="2">
        <f>IF(SUM('Actual species'!P991)&gt;=1,1,IF(SUM('Actual species'!P991)="X",1,0))</f>
        <v>0</v>
      </c>
      <c r="N991" s="2">
        <f>IF(SUM('Actual species'!Q991)&gt;=1,1,IF(SUM('Actual species'!Q991)="X",1,0))</f>
        <v>0</v>
      </c>
      <c r="O991" s="2">
        <f>IF(SUM('Actual species'!R991)&gt;=1,1,IF(SUM('Actual species'!R991)="X",1,0))</f>
        <v>0</v>
      </c>
      <c r="P991" s="2">
        <f>IF(SUM('Actual species'!S991)&gt;=1,1,IF(SUM('Actual species'!S991)="X",1,0))</f>
        <v>0</v>
      </c>
      <c r="Q991" s="2">
        <f>IF(SUM('Actual species'!T991)&gt;=1,1,IF(SUM('Actual species'!T991)="X",1,0))</f>
        <v>0</v>
      </c>
      <c r="R991" s="2">
        <f>IF(SUM('Actual species'!U991)&gt;=1,1,IF(SUM('Actual species'!U991)="X",1,0))</f>
        <v>0</v>
      </c>
    </row>
    <row r="992" spans="1:18" x14ac:dyDescent="0.3">
      <c r="A992" s="113" t="str">
        <f>'Actual species'!A992</f>
        <v>Gyrohypnus liber</v>
      </c>
      <c r="B992" s="66">
        <f>IF(SUM('Actual species'!B992:E992)&gt;=1,1,IF(SUM('Actual species'!B992:E992)="X",1,0))</f>
        <v>0</v>
      </c>
      <c r="C992" s="2">
        <f>IF(SUM('Actual species'!F992)&gt;=1,1,IF(SUM('Actual species'!F992)="X",1,0))</f>
        <v>0</v>
      </c>
      <c r="D992" s="2">
        <f>IF(SUM('Actual species'!G992)&gt;=1,1,IF(SUM('Actual species'!G992)="X",1,0))</f>
        <v>0</v>
      </c>
      <c r="E992" s="2">
        <f>IF(SUM('Actual species'!H992)&gt;=1,1,IF(SUM('Actual species'!H992)="X",1,0))</f>
        <v>0</v>
      </c>
      <c r="F992" s="2">
        <f>IF(SUM('Actual species'!I992)&gt;=1,1,IF(SUM('Actual species'!I992)="X",1,0))</f>
        <v>0</v>
      </c>
      <c r="G992" s="2">
        <f>IF(SUM('Actual species'!J992)&gt;=1,1,IF(SUM('Actual species'!J992)="X",1,0))</f>
        <v>0</v>
      </c>
      <c r="H992" s="2">
        <f>IF(SUM('Actual species'!K992)&gt;=1,1,IF(SUM('Actual species'!K992)="X",1,0))</f>
        <v>0</v>
      </c>
      <c r="I992" s="2">
        <f>IF(SUM('Actual species'!L992)&gt;=1,1,IF(SUM('Actual species'!L992)="X",1,0))</f>
        <v>0</v>
      </c>
      <c r="J992" s="2">
        <f>IF(SUM('Actual species'!M992)&gt;=1,1,IF(SUM('Actual species'!M992)="X",1,0))</f>
        <v>0</v>
      </c>
      <c r="K992" s="2">
        <f>IF(SUM('Actual species'!N992)&gt;=1,1,IF(SUM('Actual species'!N992)="X",1,0))</f>
        <v>0</v>
      </c>
      <c r="L992" s="2">
        <f>IF(SUM('Actual species'!O992)&gt;=1,1,IF(SUM('Actual species'!O992)="X",1,0))</f>
        <v>0</v>
      </c>
      <c r="M992" s="2">
        <f>IF(SUM('Actual species'!P992)&gt;=1,1,IF(SUM('Actual species'!P992)="X",1,0))</f>
        <v>0</v>
      </c>
      <c r="N992" s="2">
        <f>IF(SUM('Actual species'!Q992)&gt;=1,1,IF(SUM('Actual species'!Q992)="X",1,0))</f>
        <v>0</v>
      </c>
      <c r="O992" s="2">
        <f>IF(SUM('Actual species'!R992)&gt;=1,1,IF(SUM('Actual species'!R992)="X",1,0))</f>
        <v>0</v>
      </c>
      <c r="P992" s="2">
        <f>IF(SUM('Actual species'!S992)&gt;=1,1,IF(SUM('Actual species'!S992)="X",1,0))</f>
        <v>0</v>
      </c>
      <c r="Q992" s="2">
        <f>IF(SUM('Actual species'!T992)&gt;=1,1,IF(SUM('Actual species'!T992)="X",1,0))</f>
        <v>0</v>
      </c>
      <c r="R992" s="2">
        <f>IF(SUM('Actual species'!U992)&gt;=1,1,IF(SUM('Actual species'!U992)="X",1,0))</f>
        <v>1</v>
      </c>
    </row>
    <row r="993" spans="1:18" x14ac:dyDescent="0.3">
      <c r="A993" s="113" t="str">
        <f>'Actual species'!A993</f>
        <v>Heterothops binotatus</v>
      </c>
      <c r="B993" s="66">
        <f>IF(SUM('Actual species'!B993:E993)&gt;=1,1,IF(SUM('Actual species'!B993:E993)="X",1,0))</f>
        <v>0</v>
      </c>
      <c r="C993" s="2">
        <f>IF(SUM('Actual species'!F993)&gt;=1,1,IF(SUM('Actual species'!F993)="X",1,0))</f>
        <v>0</v>
      </c>
      <c r="D993" s="2">
        <f>IF(SUM('Actual species'!G993)&gt;=1,1,IF(SUM('Actual species'!G993)="X",1,0))</f>
        <v>0</v>
      </c>
      <c r="E993" s="2">
        <f>IF(SUM('Actual species'!H993)&gt;=1,1,IF(SUM('Actual species'!H993)="X",1,0))</f>
        <v>0</v>
      </c>
      <c r="F993" s="2">
        <f>IF(SUM('Actual species'!I993)&gt;=1,1,IF(SUM('Actual species'!I993)="X",1,0))</f>
        <v>0</v>
      </c>
      <c r="G993" s="2">
        <f>IF(SUM('Actual species'!J993)&gt;=1,1,IF(SUM('Actual species'!J993)="X",1,0))</f>
        <v>0</v>
      </c>
      <c r="H993" s="2">
        <f>IF(SUM('Actual species'!K993)&gt;=1,1,IF(SUM('Actual species'!K993)="X",1,0))</f>
        <v>0</v>
      </c>
      <c r="I993" s="2">
        <f>IF(SUM('Actual species'!L993)&gt;=1,1,IF(SUM('Actual species'!L993)="X",1,0))</f>
        <v>0</v>
      </c>
      <c r="J993" s="2">
        <f>IF(SUM('Actual species'!M993)&gt;=1,1,IF(SUM('Actual species'!M993)="X",1,0))</f>
        <v>0</v>
      </c>
      <c r="K993" s="2">
        <f>IF(SUM('Actual species'!N993)&gt;=1,1,IF(SUM('Actual species'!N993)="X",1,0))</f>
        <v>0</v>
      </c>
      <c r="L993" s="2">
        <f>IF(SUM('Actual species'!O993)&gt;=1,1,IF(SUM('Actual species'!O993)="X",1,0))</f>
        <v>0</v>
      </c>
      <c r="M993" s="2">
        <f>IF(SUM('Actual species'!P993)&gt;=1,1,IF(SUM('Actual species'!P993)="X",1,0))</f>
        <v>0</v>
      </c>
      <c r="N993" s="2">
        <f>IF(SUM('Actual species'!Q993)&gt;=1,1,IF(SUM('Actual species'!Q993)="X",1,0))</f>
        <v>0</v>
      </c>
      <c r="O993" s="2">
        <f>IF(SUM('Actual species'!R993)&gt;=1,1,IF(SUM('Actual species'!R993)="X",1,0))</f>
        <v>0</v>
      </c>
      <c r="P993" s="2">
        <f>IF(SUM('Actual species'!S993)&gt;=1,1,IF(SUM('Actual species'!S993)="X",1,0))</f>
        <v>0</v>
      </c>
      <c r="Q993" s="2">
        <f>IF(SUM('Actual species'!T993)&gt;=1,1,IF(SUM('Actual species'!T993)="X",1,0))</f>
        <v>0</v>
      </c>
      <c r="R993" s="2">
        <f>IF(SUM('Actual species'!U993)&gt;=1,1,IF(SUM('Actual species'!U993)="X",1,0))</f>
        <v>0</v>
      </c>
    </row>
    <row r="994" spans="1:18" x14ac:dyDescent="0.3">
      <c r="A994" s="113" t="str">
        <f>'Actual species'!A994</f>
        <v>Heterothops cf. Minutus</v>
      </c>
      <c r="B994" s="66">
        <f>IF(SUM('Actual species'!B994:E994)&gt;=1,1,IF(SUM('Actual species'!B994:E994)="X",1,0))</f>
        <v>0</v>
      </c>
      <c r="C994" s="2">
        <f>IF(SUM('Actual species'!F994)&gt;=1,1,IF(SUM('Actual species'!F994)="X",1,0))</f>
        <v>0</v>
      </c>
      <c r="D994" s="2">
        <f>IF(SUM('Actual species'!G994)&gt;=1,1,IF(SUM('Actual species'!G994)="X",1,0))</f>
        <v>0</v>
      </c>
      <c r="E994" s="2">
        <f>IF(SUM('Actual species'!H994)&gt;=1,1,IF(SUM('Actual species'!H994)="X",1,0))</f>
        <v>0</v>
      </c>
      <c r="F994" s="2">
        <f>IF(SUM('Actual species'!I994)&gt;=1,1,IF(SUM('Actual species'!I994)="X",1,0))</f>
        <v>0</v>
      </c>
      <c r="G994" s="2">
        <f>IF(SUM('Actual species'!J994)&gt;=1,1,IF(SUM('Actual species'!J994)="X",1,0))</f>
        <v>1</v>
      </c>
      <c r="H994" s="2">
        <f>IF(SUM('Actual species'!K994)&gt;=1,1,IF(SUM('Actual species'!K994)="X",1,0))</f>
        <v>0</v>
      </c>
      <c r="I994" s="2">
        <f>IF(SUM('Actual species'!L994)&gt;=1,1,IF(SUM('Actual species'!L994)="X",1,0))</f>
        <v>0</v>
      </c>
      <c r="J994" s="2">
        <f>IF(SUM('Actual species'!M994)&gt;=1,1,IF(SUM('Actual species'!M994)="X",1,0))</f>
        <v>0</v>
      </c>
      <c r="K994" s="2">
        <f>IF(SUM('Actual species'!N994)&gt;=1,1,IF(SUM('Actual species'!N994)="X",1,0))</f>
        <v>0</v>
      </c>
      <c r="L994" s="2">
        <f>IF(SUM('Actual species'!O994)&gt;=1,1,IF(SUM('Actual species'!O994)="X",1,0))</f>
        <v>0</v>
      </c>
      <c r="M994" s="2">
        <f>IF(SUM('Actual species'!P994)&gt;=1,1,IF(SUM('Actual species'!P994)="X",1,0))</f>
        <v>0</v>
      </c>
      <c r="N994" s="2">
        <f>IF(SUM('Actual species'!Q994)&gt;=1,1,IF(SUM('Actual species'!Q994)="X",1,0))</f>
        <v>0</v>
      </c>
      <c r="O994" s="2">
        <f>IF(SUM('Actual species'!R994)&gt;=1,1,IF(SUM('Actual species'!R994)="X",1,0))</f>
        <v>0</v>
      </c>
      <c r="P994" s="2">
        <f>IF(SUM('Actual species'!S994)&gt;=1,1,IF(SUM('Actual species'!S994)="X",1,0))</f>
        <v>0</v>
      </c>
      <c r="Q994" s="2">
        <f>IF(SUM('Actual species'!T994)&gt;=1,1,IF(SUM('Actual species'!T994)="X",1,0))</f>
        <v>0</v>
      </c>
      <c r="R994" s="2">
        <f>IF(SUM('Actual species'!U994)&gt;=1,1,IF(SUM('Actual species'!U994)="X",1,0))</f>
        <v>0</v>
      </c>
    </row>
    <row r="995" spans="1:18" x14ac:dyDescent="0.3">
      <c r="A995" s="113" t="str">
        <f>'Actual species'!A995</f>
        <v>Heterothops dissimilis</v>
      </c>
      <c r="B995" s="66">
        <f>IF(SUM('Actual species'!B995:E995)&gt;=1,1,IF(SUM('Actual species'!B995:E995)="X",1,0))</f>
        <v>0</v>
      </c>
      <c r="C995" s="2">
        <f>IF(SUM('Actual species'!F995)&gt;=1,1,IF(SUM('Actual species'!F995)="X",1,0))</f>
        <v>1</v>
      </c>
      <c r="D995" s="2">
        <f>IF(SUM('Actual species'!G995)&gt;=1,1,IF(SUM('Actual species'!G995)="X",1,0))</f>
        <v>0</v>
      </c>
      <c r="E995" s="2">
        <f>IF(SUM('Actual species'!H995)&gt;=1,1,IF(SUM('Actual species'!H995)="X",1,0))</f>
        <v>0</v>
      </c>
      <c r="F995" s="2">
        <f>IF(SUM('Actual species'!I995)&gt;=1,1,IF(SUM('Actual species'!I995)="X",1,0))</f>
        <v>0</v>
      </c>
      <c r="G995" s="2">
        <f>IF(SUM('Actual species'!J995)&gt;=1,1,IF(SUM('Actual species'!J995)="X",1,0))</f>
        <v>0</v>
      </c>
      <c r="H995" s="2">
        <f>IF(SUM('Actual species'!K995)&gt;=1,1,IF(SUM('Actual species'!K995)="X",1,0))</f>
        <v>0</v>
      </c>
      <c r="I995" s="2">
        <f>IF(SUM('Actual species'!L995)&gt;=1,1,IF(SUM('Actual species'!L995)="X",1,0))</f>
        <v>0</v>
      </c>
      <c r="J995" s="2">
        <f>IF(SUM('Actual species'!M995)&gt;=1,1,IF(SUM('Actual species'!M995)="X",1,0))</f>
        <v>0</v>
      </c>
      <c r="K995" s="2">
        <f>IF(SUM('Actual species'!N995)&gt;=1,1,IF(SUM('Actual species'!N995)="X",1,0))</f>
        <v>0</v>
      </c>
      <c r="L995" s="2">
        <f>IF(SUM('Actual species'!O995)&gt;=1,1,IF(SUM('Actual species'!O995)="X",1,0))</f>
        <v>0</v>
      </c>
      <c r="M995" s="2">
        <f>IF(SUM('Actual species'!P995)&gt;=1,1,IF(SUM('Actual species'!P995)="X",1,0))</f>
        <v>0</v>
      </c>
      <c r="N995" s="2">
        <f>IF(SUM('Actual species'!Q995)&gt;=1,1,IF(SUM('Actual species'!Q995)="X",1,0))</f>
        <v>0</v>
      </c>
      <c r="O995" s="2">
        <f>IF(SUM('Actual species'!R995)&gt;=1,1,IF(SUM('Actual species'!R995)="X",1,0))</f>
        <v>0</v>
      </c>
      <c r="P995" s="2">
        <f>IF(SUM('Actual species'!S995)&gt;=1,1,IF(SUM('Actual species'!S995)="X",1,0))</f>
        <v>1</v>
      </c>
      <c r="Q995" s="2">
        <f>IF(SUM('Actual species'!T995)&gt;=1,1,IF(SUM('Actual species'!T995)="X",1,0))</f>
        <v>0</v>
      </c>
      <c r="R995" s="2">
        <f>IF(SUM('Actual species'!U995)&gt;=1,1,IF(SUM('Actual species'!U995)="X",1,0))</f>
        <v>0</v>
      </c>
    </row>
    <row r="996" spans="1:18" x14ac:dyDescent="0.3">
      <c r="A996" s="113" t="str">
        <f>'Actual species'!A996</f>
        <v>Heterothops minutus</v>
      </c>
      <c r="B996" s="66">
        <f>IF(SUM('Actual species'!B996:E996)&gt;=1,1,IF(SUM('Actual species'!B996:E996)="X",1,0))</f>
        <v>0</v>
      </c>
      <c r="C996" s="2">
        <f>IF(SUM('Actual species'!F996)&gt;=1,1,IF(SUM('Actual species'!F996)="X",1,0))</f>
        <v>0</v>
      </c>
      <c r="D996" s="2">
        <f>IF(SUM('Actual species'!G996)&gt;=1,1,IF(SUM('Actual species'!G996)="X",1,0))</f>
        <v>0</v>
      </c>
      <c r="E996" s="2">
        <f>IF(SUM('Actual species'!H996)&gt;=1,1,IF(SUM('Actual species'!H996)="X",1,0))</f>
        <v>1</v>
      </c>
      <c r="F996" s="2">
        <f>IF(SUM('Actual species'!I996)&gt;=1,1,IF(SUM('Actual species'!I996)="X",1,0))</f>
        <v>0</v>
      </c>
      <c r="G996" s="2">
        <f>IF(SUM('Actual species'!J996)&gt;=1,1,IF(SUM('Actual species'!J996)="X",1,0))</f>
        <v>0</v>
      </c>
      <c r="H996" s="2">
        <f>IF(SUM('Actual species'!K996)&gt;=1,1,IF(SUM('Actual species'!K996)="X",1,0))</f>
        <v>0</v>
      </c>
      <c r="I996" s="2">
        <f>IF(SUM('Actual species'!L996)&gt;=1,1,IF(SUM('Actual species'!L996)="X",1,0))</f>
        <v>0</v>
      </c>
      <c r="J996" s="2">
        <f>IF(SUM('Actual species'!M996)&gt;=1,1,IF(SUM('Actual species'!M996)="X",1,0))</f>
        <v>0</v>
      </c>
      <c r="K996" s="2">
        <f>IF(SUM('Actual species'!N996)&gt;=1,1,IF(SUM('Actual species'!N996)="X",1,0))</f>
        <v>0</v>
      </c>
      <c r="L996" s="2">
        <f>IF(SUM('Actual species'!O996)&gt;=1,1,IF(SUM('Actual species'!O996)="X",1,0))</f>
        <v>0</v>
      </c>
      <c r="M996" s="2">
        <f>IF(SUM('Actual species'!P996)&gt;=1,1,IF(SUM('Actual species'!P996)="X",1,0))</f>
        <v>0</v>
      </c>
      <c r="N996" s="2">
        <f>IF(SUM('Actual species'!Q996)&gt;=1,1,IF(SUM('Actual species'!Q996)="X",1,0))</f>
        <v>0</v>
      </c>
      <c r="O996" s="2">
        <f>IF(SUM('Actual species'!R996)&gt;=1,1,IF(SUM('Actual species'!R996)="X",1,0))</f>
        <v>0</v>
      </c>
      <c r="P996" s="2">
        <f>IF(SUM('Actual species'!S996)&gt;=1,1,IF(SUM('Actual species'!S996)="X",1,0))</f>
        <v>1</v>
      </c>
      <c r="Q996" s="2">
        <f>IF(SUM('Actual species'!T996)&gt;=1,1,IF(SUM('Actual species'!T996)="X",1,0))</f>
        <v>0</v>
      </c>
      <c r="R996" s="2">
        <f>IF(SUM('Actual species'!U996)&gt;=1,1,IF(SUM('Actual species'!U996)="X",1,0))</f>
        <v>0</v>
      </c>
    </row>
    <row r="997" spans="1:18" x14ac:dyDescent="0.3">
      <c r="A997" s="113" t="str">
        <f>'Actual species'!A997</f>
        <v xml:space="preserve">Hypnogyra sp. </v>
      </c>
      <c r="B997" s="66">
        <f>IF(SUM('Actual species'!B997:E997)&gt;=1,1,IF(SUM('Actual species'!B997:E997)="X",1,0))</f>
        <v>0</v>
      </c>
      <c r="C997" s="2">
        <f>IF(SUM('Actual species'!F997)&gt;=1,1,IF(SUM('Actual species'!F997)="X",1,0))</f>
        <v>1</v>
      </c>
      <c r="D997" s="2">
        <f>IF(SUM('Actual species'!G997)&gt;=1,1,IF(SUM('Actual species'!G997)="X",1,0))</f>
        <v>0</v>
      </c>
      <c r="E997" s="2">
        <f>IF(SUM('Actual species'!H997)&gt;=1,1,IF(SUM('Actual species'!H997)="X",1,0))</f>
        <v>0</v>
      </c>
      <c r="F997" s="2">
        <f>IF(SUM('Actual species'!I997)&gt;=1,1,IF(SUM('Actual species'!I997)="X",1,0))</f>
        <v>0</v>
      </c>
      <c r="G997" s="2">
        <f>IF(SUM('Actual species'!J997)&gt;=1,1,IF(SUM('Actual species'!J997)="X",1,0))</f>
        <v>0</v>
      </c>
      <c r="H997" s="2">
        <f>IF(SUM('Actual species'!K997)&gt;=1,1,IF(SUM('Actual species'!K997)="X",1,0))</f>
        <v>0</v>
      </c>
      <c r="I997" s="2">
        <f>IF(SUM('Actual species'!L997)&gt;=1,1,IF(SUM('Actual species'!L997)="X",1,0))</f>
        <v>0</v>
      </c>
      <c r="J997" s="2">
        <f>IF(SUM('Actual species'!M997)&gt;=1,1,IF(SUM('Actual species'!M997)="X",1,0))</f>
        <v>0</v>
      </c>
      <c r="K997" s="2">
        <f>IF(SUM('Actual species'!N997)&gt;=1,1,IF(SUM('Actual species'!N997)="X",1,0))</f>
        <v>0</v>
      </c>
      <c r="L997" s="2">
        <f>IF(SUM('Actual species'!O997)&gt;=1,1,IF(SUM('Actual species'!O997)="X",1,0))</f>
        <v>0</v>
      </c>
      <c r="M997" s="2">
        <f>IF(SUM('Actual species'!P997)&gt;=1,1,IF(SUM('Actual species'!P997)="X",1,0))</f>
        <v>0</v>
      </c>
      <c r="N997" s="2">
        <f>IF(SUM('Actual species'!Q997)&gt;=1,1,IF(SUM('Actual species'!Q997)="X",1,0))</f>
        <v>0</v>
      </c>
      <c r="O997" s="2">
        <f>IF(SUM('Actual species'!R997)&gt;=1,1,IF(SUM('Actual species'!R997)="X",1,0))</f>
        <v>0</v>
      </c>
      <c r="P997" s="2">
        <f>IF(SUM('Actual species'!S997)&gt;=1,1,IF(SUM('Actual species'!S997)="X",1,0))</f>
        <v>0</v>
      </c>
      <c r="Q997" s="2">
        <f>IF(SUM('Actual species'!T997)&gt;=1,1,IF(SUM('Actual species'!T997)="X",1,0))</f>
        <v>0</v>
      </c>
      <c r="R997" s="2">
        <f>IF(SUM('Actual species'!U997)&gt;=1,1,IF(SUM('Actual species'!U997)="X",1,0))</f>
        <v>0</v>
      </c>
    </row>
    <row r="998" spans="1:18" x14ac:dyDescent="0.3">
      <c r="A998" s="113" t="str">
        <f>'Actual species'!A998</f>
        <v>Hypnogyra sp. 2.</v>
      </c>
      <c r="B998" s="66">
        <f>IF(SUM('Actual species'!B998:E998)&gt;=1,1,IF(SUM('Actual species'!B998:E998)="X",1,0))</f>
        <v>0</v>
      </c>
      <c r="C998" s="2">
        <f>IF(SUM('Actual species'!F998)&gt;=1,1,IF(SUM('Actual species'!F998)="X",1,0))</f>
        <v>1</v>
      </c>
      <c r="D998" s="2">
        <f>IF(SUM('Actual species'!G998)&gt;=1,1,IF(SUM('Actual species'!G998)="X",1,0))</f>
        <v>0</v>
      </c>
      <c r="E998" s="2">
        <f>IF(SUM('Actual species'!H998)&gt;=1,1,IF(SUM('Actual species'!H998)="X",1,0))</f>
        <v>0</v>
      </c>
      <c r="F998" s="2">
        <f>IF(SUM('Actual species'!I998)&gt;=1,1,IF(SUM('Actual species'!I998)="X",1,0))</f>
        <v>0</v>
      </c>
      <c r="G998" s="2">
        <f>IF(SUM('Actual species'!J998)&gt;=1,1,IF(SUM('Actual species'!J998)="X",1,0))</f>
        <v>0</v>
      </c>
      <c r="H998" s="2">
        <f>IF(SUM('Actual species'!K998)&gt;=1,1,IF(SUM('Actual species'!K998)="X",1,0))</f>
        <v>0</v>
      </c>
      <c r="I998" s="2">
        <f>IF(SUM('Actual species'!L998)&gt;=1,1,IF(SUM('Actual species'!L998)="X",1,0))</f>
        <v>0</v>
      </c>
      <c r="J998" s="2">
        <f>IF(SUM('Actual species'!M998)&gt;=1,1,IF(SUM('Actual species'!M998)="X",1,0))</f>
        <v>0</v>
      </c>
      <c r="K998" s="2">
        <f>IF(SUM('Actual species'!N998)&gt;=1,1,IF(SUM('Actual species'!N998)="X",1,0))</f>
        <v>0</v>
      </c>
      <c r="L998" s="2">
        <f>IF(SUM('Actual species'!O998)&gt;=1,1,IF(SUM('Actual species'!O998)="X",1,0))</f>
        <v>0</v>
      </c>
      <c r="M998" s="2">
        <f>IF(SUM('Actual species'!P998)&gt;=1,1,IF(SUM('Actual species'!P998)="X",1,0))</f>
        <v>0</v>
      </c>
      <c r="N998" s="2">
        <f>IF(SUM('Actual species'!Q998)&gt;=1,1,IF(SUM('Actual species'!Q998)="X",1,0))</f>
        <v>0</v>
      </c>
      <c r="O998" s="2">
        <f>IF(SUM('Actual species'!R998)&gt;=1,1,IF(SUM('Actual species'!R998)="X",1,0))</f>
        <v>0</v>
      </c>
      <c r="P998" s="2">
        <f>IF(SUM('Actual species'!S998)&gt;=1,1,IF(SUM('Actual species'!S998)="X",1,0))</f>
        <v>0</v>
      </c>
      <c r="Q998" s="2">
        <f>IF(SUM('Actual species'!T998)&gt;=1,1,IF(SUM('Actual species'!T998)="X",1,0))</f>
        <v>0</v>
      </c>
      <c r="R998" s="2">
        <f>IF(SUM('Actual species'!U998)&gt;=1,1,IF(SUM('Actual species'!U998)="X",1,0))</f>
        <v>0</v>
      </c>
    </row>
    <row r="999" spans="1:18" x14ac:dyDescent="0.3">
      <c r="A999" s="113" t="str">
        <f>'Actual species'!A999</f>
        <v>Leptacinus batychrus</v>
      </c>
      <c r="B999" s="66">
        <f>IF(SUM('Actual species'!B999:E999)&gt;=1,1,IF(SUM('Actual species'!B999:E999)="X",1,0))</f>
        <v>0</v>
      </c>
      <c r="C999" s="2">
        <f>IF(SUM('Actual species'!F999)&gt;=1,1,IF(SUM('Actual species'!F999)="X",1,0))</f>
        <v>0</v>
      </c>
      <c r="D999" s="2">
        <f>IF(SUM('Actual species'!G999)&gt;=1,1,IF(SUM('Actual species'!G999)="X",1,0))</f>
        <v>0</v>
      </c>
      <c r="E999" s="2">
        <f>IF(SUM('Actual species'!H999)&gt;=1,1,IF(SUM('Actual species'!H999)="X",1,0))</f>
        <v>0</v>
      </c>
      <c r="F999" s="2">
        <f>IF(SUM('Actual species'!I999)&gt;=1,1,IF(SUM('Actual species'!I999)="X",1,0))</f>
        <v>0</v>
      </c>
      <c r="G999" s="2">
        <f>IF(SUM('Actual species'!J999)&gt;=1,1,IF(SUM('Actual species'!J999)="X",1,0))</f>
        <v>0</v>
      </c>
      <c r="H999" s="2">
        <f>IF(SUM('Actual species'!K999)&gt;=1,1,IF(SUM('Actual species'!K999)="X",1,0))</f>
        <v>0</v>
      </c>
      <c r="I999" s="2">
        <f>IF(SUM('Actual species'!L999)&gt;=1,1,IF(SUM('Actual species'!L999)="X",1,0))</f>
        <v>0</v>
      </c>
      <c r="J999" s="2">
        <f>IF(SUM('Actual species'!M999)&gt;=1,1,IF(SUM('Actual species'!M999)="X",1,0))</f>
        <v>1</v>
      </c>
      <c r="K999" s="2">
        <f>IF(SUM('Actual species'!N999)&gt;=1,1,IF(SUM('Actual species'!N999)="X",1,0))</f>
        <v>0</v>
      </c>
      <c r="L999" s="2">
        <f>IF(SUM('Actual species'!O999)&gt;=1,1,IF(SUM('Actual species'!O999)="X",1,0))</f>
        <v>0</v>
      </c>
      <c r="M999" s="2">
        <f>IF(SUM('Actual species'!P999)&gt;=1,1,IF(SUM('Actual species'!P999)="X",1,0))</f>
        <v>0</v>
      </c>
      <c r="N999" s="2">
        <f>IF(SUM('Actual species'!Q999)&gt;=1,1,IF(SUM('Actual species'!Q999)="X",1,0))</f>
        <v>0</v>
      </c>
      <c r="O999" s="2">
        <f>IF(SUM('Actual species'!R999)&gt;=1,1,IF(SUM('Actual species'!R999)="X",1,0))</f>
        <v>0</v>
      </c>
      <c r="P999" s="2">
        <f>IF(SUM('Actual species'!S999)&gt;=1,1,IF(SUM('Actual species'!S999)="X",1,0))</f>
        <v>0</v>
      </c>
      <c r="Q999" s="2">
        <f>IF(SUM('Actual species'!T999)&gt;=1,1,IF(SUM('Actual species'!T999)="X",1,0))</f>
        <v>0</v>
      </c>
      <c r="R999" s="2">
        <f>IF(SUM('Actual species'!U999)&gt;=1,1,IF(SUM('Actual species'!U999)="X",1,0))</f>
        <v>0</v>
      </c>
    </row>
    <row r="1000" spans="1:18" x14ac:dyDescent="0.3">
      <c r="A1000" s="113" t="str">
        <f>'Actual species'!A1000</f>
        <v>Leptacinus othioides</v>
      </c>
      <c r="B1000" s="66">
        <f>IF(SUM('Actual species'!B1000:E1000)&gt;=1,1,IF(SUM('Actual species'!B1000:E1000)="X",1,0))</f>
        <v>0</v>
      </c>
      <c r="C1000" s="2">
        <f>IF(SUM('Actual species'!F1000)&gt;=1,1,IF(SUM('Actual species'!F1000)="X",1,0))</f>
        <v>0</v>
      </c>
      <c r="D1000" s="2">
        <f>IF(SUM('Actual species'!G1000)&gt;=1,1,IF(SUM('Actual species'!G1000)="X",1,0))</f>
        <v>0</v>
      </c>
      <c r="E1000" s="2">
        <f>IF(SUM('Actual species'!H1000)&gt;=1,1,IF(SUM('Actual species'!H1000)="X",1,0))</f>
        <v>0</v>
      </c>
      <c r="F1000" s="2">
        <f>IF(SUM('Actual species'!I1000)&gt;=1,1,IF(SUM('Actual species'!I1000)="X",1,0))</f>
        <v>0</v>
      </c>
      <c r="G1000" s="2">
        <f>IF(SUM('Actual species'!J1000)&gt;=1,1,IF(SUM('Actual species'!J1000)="X",1,0))</f>
        <v>0</v>
      </c>
      <c r="H1000" s="2">
        <f>IF(SUM('Actual species'!K1000)&gt;=1,1,IF(SUM('Actual species'!K1000)="X",1,0))</f>
        <v>0</v>
      </c>
      <c r="I1000" s="2">
        <f>IF(SUM('Actual species'!L1000)&gt;=1,1,IF(SUM('Actual species'!L1000)="X",1,0))</f>
        <v>0</v>
      </c>
      <c r="J1000" s="2">
        <f>IF(SUM('Actual species'!M1000)&gt;=1,1,IF(SUM('Actual species'!M1000)="X",1,0))</f>
        <v>1</v>
      </c>
      <c r="K1000" s="2">
        <f>IF(SUM('Actual species'!N1000)&gt;=1,1,IF(SUM('Actual species'!N1000)="X",1,0))</f>
        <v>0</v>
      </c>
      <c r="L1000" s="2">
        <f>IF(SUM('Actual species'!O1000)&gt;=1,1,IF(SUM('Actual species'!O1000)="X",1,0))</f>
        <v>0</v>
      </c>
      <c r="M1000" s="2">
        <f>IF(SUM('Actual species'!P1000)&gt;=1,1,IF(SUM('Actual species'!P1000)="X",1,0))</f>
        <v>0</v>
      </c>
      <c r="N1000" s="2">
        <f>IF(SUM('Actual species'!Q1000)&gt;=1,1,IF(SUM('Actual species'!Q1000)="X",1,0))</f>
        <v>0</v>
      </c>
      <c r="O1000" s="2">
        <f>IF(SUM('Actual species'!R1000)&gt;=1,1,IF(SUM('Actual species'!R1000)="X",1,0))</f>
        <v>0</v>
      </c>
      <c r="P1000" s="2">
        <f>IF(SUM('Actual species'!S1000)&gt;=1,1,IF(SUM('Actual species'!S1000)="X",1,0))</f>
        <v>0</v>
      </c>
      <c r="Q1000" s="2">
        <f>IF(SUM('Actual species'!T1000)&gt;=1,1,IF(SUM('Actual species'!T1000)="X",1,0))</f>
        <v>0</v>
      </c>
      <c r="R1000" s="2">
        <f>IF(SUM('Actual species'!U1000)&gt;=1,1,IF(SUM('Actual species'!U1000)="X",1,0))</f>
        <v>0</v>
      </c>
    </row>
    <row r="1001" spans="1:18" x14ac:dyDescent="0.3">
      <c r="A1001" s="113" t="str">
        <f>'Actual species'!A1001</f>
        <v>Leptacinus pusillus</v>
      </c>
      <c r="B1001" s="66">
        <f>IF(SUM('Actual species'!B1001:E1001)&gt;=1,1,IF(SUM('Actual species'!B1001:E1001)="X",1,0))</f>
        <v>0</v>
      </c>
      <c r="C1001" s="2">
        <f>IF(SUM('Actual species'!F1001)&gt;=1,1,IF(SUM('Actual species'!F1001)="X",1,0))</f>
        <v>0</v>
      </c>
      <c r="D1001" s="2">
        <f>IF(SUM('Actual species'!G1001)&gt;=1,1,IF(SUM('Actual species'!G1001)="X",1,0))</f>
        <v>0</v>
      </c>
      <c r="E1001" s="2">
        <f>IF(SUM('Actual species'!H1001)&gt;=1,1,IF(SUM('Actual species'!H1001)="X",1,0))</f>
        <v>0</v>
      </c>
      <c r="F1001" s="2">
        <f>IF(SUM('Actual species'!I1001)&gt;=1,1,IF(SUM('Actual species'!I1001)="X",1,0))</f>
        <v>0</v>
      </c>
      <c r="G1001" s="2">
        <f>IF(SUM('Actual species'!J1001)&gt;=1,1,IF(SUM('Actual species'!J1001)="X",1,0))</f>
        <v>0</v>
      </c>
      <c r="H1001" s="2">
        <f>IF(SUM('Actual species'!K1001)&gt;=1,1,IF(SUM('Actual species'!K1001)="X",1,0))</f>
        <v>0</v>
      </c>
      <c r="I1001" s="2">
        <f>IF(SUM('Actual species'!L1001)&gt;=1,1,IF(SUM('Actual species'!L1001)="X",1,0))</f>
        <v>0</v>
      </c>
      <c r="J1001" s="2">
        <f>IF(SUM('Actual species'!M1001)&gt;=1,1,IF(SUM('Actual species'!M1001)="X",1,0))</f>
        <v>0</v>
      </c>
      <c r="K1001" s="2">
        <f>IF(SUM('Actual species'!N1001)&gt;=1,1,IF(SUM('Actual species'!N1001)="X",1,0))</f>
        <v>0</v>
      </c>
      <c r="L1001" s="2">
        <f>IF(SUM('Actual species'!O1001)&gt;=1,1,IF(SUM('Actual species'!O1001)="X",1,0))</f>
        <v>0</v>
      </c>
      <c r="M1001" s="2">
        <f>IF(SUM('Actual species'!P1001)&gt;=1,1,IF(SUM('Actual species'!P1001)="X",1,0))</f>
        <v>0</v>
      </c>
      <c r="N1001" s="2">
        <f>IF(SUM('Actual species'!Q1001)&gt;=1,1,IF(SUM('Actual species'!Q1001)="X",1,0))</f>
        <v>0</v>
      </c>
      <c r="O1001" s="2">
        <f>IF(SUM('Actual species'!R1001)&gt;=1,1,IF(SUM('Actual species'!R1001)="X",1,0))</f>
        <v>1</v>
      </c>
      <c r="P1001" s="2">
        <f>IF(SUM('Actual species'!S1001)&gt;=1,1,IF(SUM('Actual species'!S1001)="X",1,0))</f>
        <v>0</v>
      </c>
      <c r="Q1001" s="2">
        <f>IF(SUM('Actual species'!T1001)&gt;=1,1,IF(SUM('Actual species'!T1001)="X",1,0))</f>
        <v>0</v>
      </c>
      <c r="R1001" s="2">
        <f>IF(SUM('Actual species'!U1001)&gt;=1,1,IF(SUM('Actual species'!U1001)="X",1,0))</f>
        <v>0</v>
      </c>
    </row>
    <row r="1002" spans="1:18" x14ac:dyDescent="0.3">
      <c r="A1002" s="113" t="str">
        <f>'Actual species'!A1002</f>
        <v>Megalinus flavocinctus</v>
      </c>
      <c r="B1002" s="66">
        <f>IF(SUM('Actual species'!B1002:E1002)&gt;=1,1,IF(SUM('Actual species'!B1002:E1002)="X",1,0))</f>
        <v>0</v>
      </c>
      <c r="C1002" s="2">
        <f>IF(SUM('Actual species'!F1002)&gt;=1,1,IF(SUM('Actual species'!F1002)="X",1,0))</f>
        <v>0</v>
      </c>
      <c r="D1002" s="2">
        <f>IF(SUM('Actual species'!G1002)&gt;=1,1,IF(SUM('Actual species'!G1002)="X",1,0))</f>
        <v>0</v>
      </c>
      <c r="E1002" s="2">
        <f>IF(SUM('Actual species'!H1002)&gt;=1,1,IF(SUM('Actual species'!H1002)="X",1,0))</f>
        <v>0</v>
      </c>
      <c r="F1002" s="2">
        <f>IF(SUM('Actual species'!I1002)&gt;=1,1,IF(SUM('Actual species'!I1002)="X",1,0))</f>
        <v>0</v>
      </c>
      <c r="G1002" s="2">
        <f>IF(SUM('Actual species'!J1002)&gt;=1,1,IF(SUM('Actual species'!J1002)="X",1,0))</f>
        <v>1</v>
      </c>
      <c r="H1002" s="2">
        <f>IF(SUM('Actual species'!K1002)&gt;=1,1,IF(SUM('Actual species'!K1002)="X",1,0))</f>
        <v>0</v>
      </c>
      <c r="I1002" s="2">
        <f>IF(SUM('Actual species'!L1002)&gt;=1,1,IF(SUM('Actual species'!L1002)="X",1,0))</f>
        <v>0</v>
      </c>
      <c r="J1002" s="2">
        <f>IF(SUM('Actual species'!M1002)&gt;=1,1,IF(SUM('Actual species'!M1002)="X",1,0))</f>
        <v>1</v>
      </c>
      <c r="K1002" s="2">
        <f>IF(SUM('Actual species'!N1002)&gt;=1,1,IF(SUM('Actual species'!N1002)="X",1,0))</f>
        <v>0</v>
      </c>
      <c r="L1002" s="2">
        <f>IF(SUM('Actual species'!O1002)&gt;=1,1,IF(SUM('Actual species'!O1002)="X",1,0))</f>
        <v>0</v>
      </c>
      <c r="M1002" s="2">
        <f>IF(SUM('Actual species'!P1002)&gt;=1,1,IF(SUM('Actual species'!P1002)="X",1,0))</f>
        <v>0</v>
      </c>
      <c r="N1002" s="2">
        <f>IF(SUM('Actual species'!Q1002)&gt;=1,1,IF(SUM('Actual species'!Q1002)="X",1,0))</f>
        <v>0</v>
      </c>
      <c r="O1002" s="2">
        <f>IF(SUM('Actual species'!R1002)&gt;=1,1,IF(SUM('Actual species'!R1002)="X",1,0))</f>
        <v>0</v>
      </c>
      <c r="P1002" s="2">
        <f>IF(SUM('Actual species'!S1002)&gt;=1,1,IF(SUM('Actual species'!S1002)="X",1,0))</f>
        <v>0</v>
      </c>
      <c r="Q1002" s="2">
        <f>IF(SUM('Actual species'!T1002)&gt;=1,1,IF(SUM('Actual species'!T1002)="X",1,0))</f>
        <v>0</v>
      </c>
      <c r="R1002" s="2">
        <f>IF(SUM('Actual species'!U1002)&gt;=1,1,IF(SUM('Actual species'!U1002)="X",1,0))</f>
        <v>0</v>
      </c>
    </row>
    <row r="1003" spans="1:18" x14ac:dyDescent="0.3">
      <c r="A1003" s="113" t="str">
        <f>'Actual species'!A1003</f>
        <v>Megalinus glabratus</v>
      </c>
      <c r="B1003" s="66">
        <f>IF(SUM('Actual species'!B1003:E1003)&gt;=1,1,IF(SUM('Actual species'!B1003:E1003)="X",1,0))</f>
        <v>0</v>
      </c>
      <c r="C1003" s="2">
        <f>IF(SUM('Actual species'!F1003)&gt;=1,1,IF(SUM('Actual species'!F1003)="X",1,0))</f>
        <v>0</v>
      </c>
      <c r="D1003" s="2">
        <f>IF(SUM('Actual species'!G1003)&gt;=1,1,IF(SUM('Actual species'!G1003)="X",1,0))</f>
        <v>0</v>
      </c>
      <c r="E1003" s="2">
        <f>IF(SUM('Actual species'!H1003)&gt;=1,1,IF(SUM('Actual species'!H1003)="X",1,0))</f>
        <v>0</v>
      </c>
      <c r="F1003" s="2">
        <f>IF(SUM('Actual species'!I1003)&gt;=1,1,IF(SUM('Actual species'!I1003)="X",1,0))</f>
        <v>0</v>
      </c>
      <c r="G1003" s="2">
        <f>IF(SUM('Actual species'!J1003)&gt;=1,1,IF(SUM('Actual species'!J1003)="X",1,0))</f>
        <v>0</v>
      </c>
      <c r="H1003" s="2">
        <f>IF(SUM('Actual species'!K1003)&gt;=1,1,IF(SUM('Actual species'!K1003)="X",1,0))</f>
        <v>1</v>
      </c>
      <c r="I1003" s="2">
        <f>IF(SUM('Actual species'!L1003)&gt;=1,1,IF(SUM('Actual species'!L1003)="X",1,0))</f>
        <v>0</v>
      </c>
      <c r="J1003" s="2">
        <f>IF(SUM('Actual species'!M1003)&gt;=1,1,IF(SUM('Actual species'!M1003)="X",1,0))</f>
        <v>0</v>
      </c>
      <c r="K1003" s="2">
        <f>IF(SUM('Actual species'!N1003)&gt;=1,1,IF(SUM('Actual species'!N1003)="X",1,0))</f>
        <v>0</v>
      </c>
      <c r="L1003" s="2">
        <f>IF(SUM('Actual species'!O1003)&gt;=1,1,IF(SUM('Actual species'!O1003)="X",1,0))</f>
        <v>0</v>
      </c>
      <c r="M1003" s="2">
        <f>IF(SUM('Actual species'!P1003)&gt;=1,1,IF(SUM('Actual species'!P1003)="X",1,0))</f>
        <v>0</v>
      </c>
      <c r="N1003" s="2">
        <f>IF(SUM('Actual species'!Q1003)&gt;=1,1,IF(SUM('Actual species'!Q1003)="X",1,0))</f>
        <v>0</v>
      </c>
      <c r="O1003" s="2">
        <f>IF(SUM('Actual species'!R1003)&gt;=1,1,IF(SUM('Actual species'!R1003)="X",1,0))</f>
        <v>0</v>
      </c>
      <c r="P1003" s="2">
        <f>IF(SUM('Actual species'!S1003)&gt;=1,1,IF(SUM('Actual species'!S1003)="X",1,0))</f>
        <v>0</v>
      </c>
      <c r="Q1003" s="2">
        <f>IF(SUM('Actual species'!T1003)&gt;=1,1,IF(SUM('Actual species'!T1003)="X",1,0))</f>
        <v>0</v>
      </c>
      <c r="R1003" s="2">
        <f>IF(SUM('Actual species'!U1003)&gt;=1,1,IF(SUM('Actual species'!U1003)="X",1,0))</f>
        <v>0</v>
      </c>
    </row>
    <row r="1004" spans="1:18" x14ac:dyDescent="0.3">
      <c r="A1004" s="113" t="str">
        <f>'Actual species'!A1004</f>
        <v>Megalinus scutellaris</v>
      </c>
      <c r="B1004" s="66">
        <f>IF(SUM('Actual species'!B1004:E1004)&gt;=1,1,IF(SUM('Actual species'!B1004:E1004)="X",1,0))</f>
        <v>0</v>
      </c>
      <c r="C1004" s="2">
        <f>IF(SUM('Actual species'!F1004)&gt;=1,1,IF(SUM('Actual species'!F1004)="X",1,0))</f>
        <v>0</v>
      </c>
      <c r="D1004" s="2">
        <f>IF(SUM('Actual species'!G1004)&gt;=1,1,IF(SUM('Actual species'!G1004)="X",1,0))</f>
        <v>0</v>
      </c>
      <c r="E1004" s="2">
        <f>IF(SUM('Actual species'!H1004)&gt;=1,1,IF(SUM('Actual species'!H1004)="X",1,0))</f>
        <v>0</v>
      </c>
      <c r="F1004" s="2">
        <f>IF(SUM('Actual species'!I1004)&gt;=1,1,IF(SUM('Actual species'!I1004)="X",1,0))</f>
        <v>0</v>
      </c>
      <c r="G1004" s="2">
        <f>IF(SUM('Actual species'!J1004)&gt;=1,1,IF(SUM('Actual species'!J1004)="X",1,0))</f>
        <v>0</v>
      </c>
      <c r="H1004" s="2">
        <f>IF(SUM('Actual species'!K1004)&gt;=1,1,IF(SUM('Actual species'!K1004)="X",1,0))</f>
        <v>1</v>
      </c>
      <c r="I1004" s="2">
        <f>IF(SUM('Actual species'!L1004)&gt;=1,1,IF(SUM('Actual species'!L1004)="X",1,0))</f>
        <v>0</v>
      </c>
      <c r="J1004" s="2">
        <f>IF(SUM('Actual species'!M1004)&gt;=1,1,IF(SUM('Actual species'!M1004)="X",1,0))</f>
        <v>0</v>
      </c>
      <c r="K1004" s="2">
        <f>IF(SUM('Actual species'!N1004)&gt;=1,1,IF(SUM('Actual species'!N1004)="X",1,0))</f>
        <v>0</v>
      </c>
      <c r="L1004" s="2">
        <f>IF(SUM('Actual species'!O1004)&gt;=1,1,IF(SUM('Actual species'!O1004)="X",1,0))</f>
        <v>0</v>
      </c>
      <c r="M1004" s="2">
        <f>IF(SUM('Actual species'!P1004)&gt;=1,1,IF(SUM('Actual species'!P1004)="X",1,0))</f>
        <v>0</v>
      </c>
      <c r="N1004" s="2">
        <f>IF(SUM('Actual species'!Q1004)&gt;=1,1,IF(SUM('Actual species'!Q1004)="X",1,0))</f>
        <v>0</v>
      </c>
      <c r="O1004" s="2">
        <f>IF(SUM('Actual species'!R1004)&gt;=1,1,IF(SUM('Actual species'!R1004)="X",1,0))</f>
        <v>0</v>
      </c>
      <c r="P1004" s="2">
        <f>IF(SUM('Actual species'!S1004)&gt;=1,1,IF(SUM('Actual species'!S1004)="X",1,0))</f>
        <v>0</v>
      </c>
      <c r="Q1004" s="2">
        <f>IF(SUM('Actual species'!T1004)&gt;=1,1,IF(SUM('Actual species'!T1004)="X",1,0))</f>
        <v>0</v>
      </c>
      <c r="R1004" s="2">
        <f>IF(SUM('Actual species'!U1004)&gt;=1,1,IF(SUM('Actual species'!U1004)="X",1,0))</f>
        <v>0</v>
      </c>
    </row>
    <row r="1005" spans="1:18" x14ac:dyDescent="0.3">
      <c r="A1005" s="113" t="str">
        <f>'Actual species'!A1005</f>
        <v>Milichilinus decorus</v>
      </c>
      <c r="B1005" s="66">
        <f>IF(SUM('Actual species'!B1005:E1005)&gt;=1,1,IF(SUM('Actual species'!B1005:E1005)="X",1,0))</f>
        <v>0</v>
      </c>
      <c r="C1005" s="2">
        <f>IF(SUM('Actual species'!F1005)&gt;=1,1,IF(SUM('Actual species'!F1005)="X",1,0))</f>
        <v>0</v>
      </c>
      <c r="D1005" s="2">
        <f>IF(SUM('Actual species'!G1005)&gt;=1,1,IF(SUM('Actual species'!G1005)="X",1,0))</f>
        <v>0</v>
      </c>
      <c r="E1005" s="2">
        <f>IF(SUM('Actual species'!H1005)&gt;=1,1,IF(SUM('Actual species'!H1005)="X",1,0))</f>
        <v>0</v>
      </c>
      <c r="F1005" s="2">
        <f>IF(SUM('Actual species'!I1005)&gt;=1,1,IF(SUM('Actual species'!I1005)="X",1,0))</f>
        <v>0</v>
      </c>
      <c r="G1005" s="2">
        <f>IF(SUM('Actual species'!J1005)&gt;=1,1,IF(SUM('Actual species'!J1005)="X",1,0))</f>
        <v>0</v>
      </c>
      <c r="H1005" s="2">
        <f>IF(SUM('Actual species'!K1005)&gt;=1,1,IF(SUM('Actual species'!K1005)="X",1,0))</f>
        <v>0</v>
      </c>
      <c r="I1005" s="2">
        <f>IF(SUM('Actual species'!L1005)&gt;=1,1,IF(SUM('Actual species'!L1005)="X",1,0))</f>
        <v>0</v>
      </c>
      <c r="J1005" s="2">
        <f>IF(SUM('Actual species'!M1005)&gt;=1,1,IF(SUM('Actual species'!M1005)="X",1,0))</f>
        <v>0</v>
      </c>
      <c r="K1005" s="2">
        <f>IF(SUM('Actual species'!N1005)&gt;=1,1,IF(SUM('Actual species'!N1005)="X",1,0))</f>
        <v>0</v>
      </c>
      <c r="L1005" s="2">
        <f>IF(SUM('Actual species'!O1005)&gt;=1,1,IF(SUM('Actual species'!O1005)="X",1,0))</f>
        <v>0</v>
      </c>
      <c r="M1005" s="2">
        <f>IF(SUM('Actual species'!P1005)&gt;=1,1,IF(SUM('Actual species'!P1005)="X",1,0))</f>
        <v>0</v>
      </c>
      <c r="N1005" s="2">
        <f>IF(SUM('Actual species'!Q1005)&gt;=1,1,IF(SUM('Actual species'!Q1005)="X",1,0))</f>
        <v>0</v>
      </c>
      <c r="O1005" s="2">
        <f>IF(SUM('Actual species'!R1005)&gt;=1,1,IF(SUM('Actual species'!R1005)="X",1,0))</f>
        <v>0</v>
      </c>
      <c r="P1005" s="2">
        <f>IF(SUM('Actual species'!S1005)&gt;=1,1,IF(SUM('Actual species'!S1005)="X",1,0))</f>
        <v>0</v>
      </c>
      <c r="Q1005" s="2">
        <f>IF(SUM('Actual species'!T1005)&gt;=1,1,IF(SUM('Actual species'!T1005)="X",1,0))</f>
        <v>0</v>
      </c>
      <c r="R1005" s="2">
        <f>IF(SUM('Actual species'!U1005)&gt;=1,1,IF(SUM('Actual species'!U1005)="X",1,0))</f>
        <v>0</v>
      </c>
    </row>
    <row r="1006" spans="1:18" x14ac:dyDescent="0.3">
      <c r="A1006" s="113" t="str">
        <f>'Actual species'!A1006</f>
        <v>Neobisnius lathrobioides</v>
      </c>
      <c r="B1006" s="66">
        <f>IF(SUM('Actual species'!B1006:E1006)&gt;=1,1,IF(SUM('Actual species'!B1006:E1006)="X",1,0))</f>
        <v>0</v>
      </c>
      <c r="C1006" s="2">
        <f>IF(SUM('Actual species'!F1006)&gt;=1,1,IF(SUM('Actual species'!F1006)="X",1,0))</f>
        <v>0</v>
      </c>
      <c r="D1006" s="2">
        <f>IF(SUM('Actual species'!G1006)&gt;=1,1,IF(SUM('Actual species'!G1006)="X",1,0))</f>
        <v>0</v>
      </c>
      <c r="E1006" s="2">
        <f>IF(SUM('Actual species'!H1006)&gt;=1,1,IF(SUM('Actual species'!H1006)="X",1,0))</f>
        <v>0</v>
      </c>
      <c r="F1006" s="2">
        <f>IF(SUM('Actual species'!I1006)&gt;=1,1,IF(SUM('Actual species'!I1006)="X",1,0))</f>
        <v>0</v>
      </c>
      <c r="G1006" s="2">
        <f>IF(SUM('Actual species'!J1006)&gt;=1,1,IF(SUM('Actual species'!J1006)="X",1,0))</f>
        <v>0</v>
      </c>
      <c r="H1006" s="2">
        <f>IF(SUM('Actual species'!K1006)&gt;=1,1,IF(SUM('Actual species'!K1006)="X",1,0))</f>
        <v>0</v>
      </c>
      <c r="I1006" s="2">
        <f>IF(SUM('Actual species'!L1006)&gt;=1,1,IF(SUM('Actual species'!L1006)="X",1,0))</f>
        <v>0</v>
      </c>
      <c r="J1006" s="2">
        <f>IF(SUM('Actual species'!M1006)&gt;=1,1,IF(SUM('Actual species'!M1006)="X",1,0))</f>
        <v>1</v>
      </c>
      <c r="K1006" s="2">
        <f>IF(SUM('Actual species'!N1006)&gt;=1,1,IF(SUM('Actual species'!N1006)="X",1,0))</f>
        <v>0</v>
      </c>
      <c r="L1006" s="2">
        <f>IF(SUM('Actual species'!O1006)&gt;=1,1,IF(SUM('Actual species'!O1006)="X",1,0))</f>
        <v>0</v>
      </c>
      <c r="M1006" s="2">
        <f>IF(SUM('Actual species'!P1006)&gt;=1,1,IF(SUM('Actual species'!P1006)="X",1,0))</f>
        <v>0</v>
      </c>
      <c r="N1006" s="2">
        <f>IF(SUM('Actual species'!Q1006)&gt;=1,1,IF(SUM('Actual species'!Q1006)="X",1,0))</f>
        <v>0</v>
      </c>
      <c r="O1006" s="2">
        <f>IF(SUM('Actual species'!R1006)&gt;=1,1,IF(SUM('Actual species'!R1006)="X",1,0))</f>
        <v>0</v>
      </c>
      <c r="P1006" s="2">
        <f>IF(SUM('Actual species'!S1006)&gt;=1,1,IF(SUM('Actual species'!S1006)="X",1,0))</f>
        <v>0</v>
      </c>
      <c r="Q1006" s="2">
        <f>IF(SUM('Actual species'!T1006)&gt;=1,1,IF(SUM('Actual species'!T1006)="X",1,0))</f>
        <v>0</v>
      </c>
      <c r="R1006" s="2">
        <f>IF(SUM('Actual species'!U1006)&gt;=1,1,IF(SUM('Actual species'!U1006)="X",1,0))</f>
        <v>0</v>
      </c>
    </row>
    <row r="1007" spans="1:18" x14ac:dyDescent="0.3">
      <c r="A1007" s="113" t="str">
        <f>'Actual species'!A1007</f>
        <v>Neobisnius orbus</v>
      </c>
      <c r="B1007" s="66">
        <f>IF(SUM('Actual species'!B1007:E1007)&gt;=1,1,IF(SUM('Actual species'!B1007:E1007)="X",1,0))</f>
        <v>1</v>
      </c>
      <c r="C1007" s="2">
        <f>IF(SUM('Actual species'!F1007)&gt;=1,1,IF(SUM('Actual species'!F1007)="X",1,0))</f>
        <v>0</v>
      </c>
      <c r="D1007" s="2">
        <f>IF(SUM('Actual species'!G1007)&gt;=1,1,IF(SUM('Actual species'!G1007)="X",1,0))</f>
        <v>0</v>
      </c>
      <c r="E1007" s="2">
        <f>IF(SUM('Actual species'!H1007)&gt;=1,1,IF(SUM('Actual species'!H1007)="X",1,0))</f>
        <v>0</v>
      </c>
      <c r="F1007" s="2">
        <f>IF(SUM('Actual species'!I1007)&gt;=1,1,IF(SUM('Actual species'!I1007)="X",1,0))</f>
        <v>0</v>
      </c>
      <c r="G1007" s="2">
        <f>IF(SUM('Actual species'!J1007)&gt;=1,1,IF(SUM('Actual species'!J1007)="X",1,0))</f>
        <v>0</v>
      </c>
      <c r="H1007" s="2">
        <f>IF(SUM('Actual species'!K1007)&gt;=1,1,IF(SUM('Actual species'!K1007)="X",1,0))</f>
        <v>0</v>
      </c>
      <c r="I1007" s="2">
        <f>IF(SUM('Actual species'!L1007)&gt;=1,1,IF(SUM('Actual species'!L1007)="X",1,0))</f>
        <v>0</v>
      </c>
      <c r="J1007" s="2">
        <f>IF(SUM('Actual species'!M1007)&gt;=1,1,IF(SUM('Actual species'!M1007)="X",1,0))</f>
        <v>0</v>
      </c>
      <c r="K1007" s="2">
        <f>IF(SUM('Actual species'!N1007)&gt;=1,1,IF(SUM('Actual species'!N1007)="X",1,0))</f>
        <v>0</v>
      </c>
      <c r="L1007" s="2">
        <f>IF(SUM('Actual species'!O1007)&gt;=1,1,IF(SUM('Actual species'!O1007)="X",1,0))</f>
        <v>0</v>
      </c>
      <c r="M1007" s="2">
        <f>IF(SUM('Actual species'!P1007)&gt;=1,1,IF(SUM('Actual species'!P1007)="X",1,0))</f>
        <v>0</v>
      </c>
      <c r="N1007" s="2">
        <f>IF(SUM('Actual species'!Q1007)&gt;=1,1,IF(SUM('Actual species'!Q1007)="X",1,0))</f>
        <v>0</v>
      </c>
      <c r="O1007" s="2">
        <f>IF(SUM('Actual species'!R1007)&gt;=1,1,IF(SUM('Actual species'!R1007)="X",1,0))</f>
        <v>0</v>
      </c>
      <c r="P1007" s="2">
        <f>IF(SUM('Actual species'!S1007)&gt;=1,1,IF(SUM('Actual species'!S1007)="X",1,0))</f>
        <v>0</v>
      </c>
      <c r="Q1007" s="2">
        <f>IF(SUM('Actual species'!T1007)&gt;=1,1,IF(SUM('Actual species'!T1007)="X",1,0))</f>
        <v>0</v>
      </c>
      <c r="R1007" s="2">
        <f>IF(SUM('Actual species'!U1007)&gt;=1,1,IF(SUM('Actual species'!U1007)="X",1,0))</f>
        <v>0</v>
      </c>
    </row>
    <row r="1008" spans="1:18" x14ac:dyDescent="0.3">
      <c r="A1008" s="113" t="str">
        <f>'Actual species'!A1008</f>
        <v>Neobisnius prolixus</v>
      </c>
      <c r="B1008" s="66">
        <f>IF(SUM('Actual species'!B1008:E1008)&gt;=1,1,IF(SUM('Actual species'!B1008:E1008)="X",1,0))</f>
        <v>0</v>
      </c>
      <c r="C1008" s="2">
        <f>IF(SUM('Actual species'!F1008)&gt;=1,1,IF(SUM('Actual species'!F1008)="X",1,0))</f>
        <v>0</v>
      </c>
      <c r="D1008" s="2">
        <f>IF(SUM('Actual species'!G1008)&gt;=1,1,IF(SUM('Actual species'!G1008)="X",1,0))</f>
        <v>0</v>
      </c>
      <c r="E1008" s="2">
        <f>IF(SUM('Actual species'!H1008)&gt;=1,1,IF(SUM('Actual species'!H1008)="X",1,0))</f>
        <v>0</v>
      </c>
      <c r="F1008" s="2">
        <f>IF(SUM('Actual species'!I1008)&gt;=1,1,IF(SUM('Actual species'!I1008)="X",1,0))</f>
        <v>0</v>
      </c>
      <c r="G1008" s="2">
        <f>IF(SUM('Actual species'!J1008)&gt;=1,1,IF(SUM('Actual species'!J1008)="X",1,0))</f>
        <v>0</v>
      </c>
      <c r="H1008" s="2">
        <f>IF(SUM('Actual species'!K1008)&gt;=1,1,IF(SUM('Actual species'!K1008)="X",1,0))</f>
        <v>0</v>
      </c>
      <c r="I1008" s="2">
        <f>IF(SUM('Actual species'!L1008)&gt;=1,1,IF(SUM('Actual species'!L1008)="X",1,0))</f>
        <v>0</v>
      </c>
      <c r="J1008" s="2">
        <f>IF(SUM('Actual species'!M1008)&gt;=1,1,IF(SUM('Actual species'!M1008)="X",1,0))</f>
        <v>0</v>
      </c>
      <c r="K1008" s="2">
        <f>IF(SUM('Actual species'!N1008)&gt;=1,1,IF(SUM('Actual species'!N1008)="X",1,0))</f>
        <v>0</v>
      </c>
      <c r="L1008" s="2">
        <f>IF(SUM('Actual species'!O1008)&gt;=1,1,IF(SUM('Actual species'!O1008)="X",1,0))</f>
        <v>0</v>
      </c>
      <c r="M1008" s="2">
        <f>IF(SUM('Actual species'!P1008)&gt;=1,1,IF(SUM('Actual species'!P1008)="X",1,0))</f>
        <v>0</v>
      </c>
      <c r="N1008" s="2">
        <f>IF(SUM('Actual species'!Q1008)&gt;=1,1,IF(SUM('Actual species'!Q1008)="X",1,0))</f>
        <v>0</v>
      </c>
      <c r="O1008" s="2">
        <f>IF(SUM('Actual species'!R1008)&gt;=1,1,IF(SUM('Actual species'!R1008)="X",1,0))</f>
        <v>1</v>
      </c>
      <c r="P1008" s="2">
        <f>IF(SUM('Actual species'!S1008)&gt;=1,1,IF(SUM('Actual species'!S1008)="X",1,0))</f>
        <v>0</v>
      </c>
      <c r="Q1008" s="2">
        <f>IF(SUM('Actual species'!T1008)&gt;=1,1,IF(SUM('Actual species'!T1008)="X",1,0))</f>
        <v>0</v>
      </c>
      <c r="R1008" s="2">
        <f>IF(SUM('Actual species'!U1008)&gt;=1,1,IF(SUM('Actual species'!U1008)="X",1,0))</f>
        <v>0</v>
      </c>
    </row>
    <row r="1009" spans="1:18" x14ac:dyDescent="0.3">
      <c r="A1009" s="113" t="str">
        <f>'Actual species'!A1009</f>
        <v>Nudobius cypriacus</v>
      </c>
      <c r="B1009" s="66">
        <f>IF(SUM('Actual species'!B1009:E1009)&gt;=1,1,IF(SUM('Actual species'!B1009:E1009)="X",1,0))</f>
        <v>0</v>
      </c>
      <c r="C1009" s="2">
        <f>IF(SUM('Actual species'!F1009)&gt;=1,1,IF(SUM('Actual species'!F1009)="X",1,0))</f>
        <v>0</v>
      </c>
      <c r="D1009" s="2">
        <f>IF(SUM('Actual species'!G1009)&gt;=1,1,IF(SUM('Actual species'!G1009)="X",1,0))</f>
        <v>0</v>
      </c>
      <c r="E1009" s="2">
        <f>IF(SUM('Actual species'!H1009)&gt;=1,1,IF(SUM('Actual species'!H1009)="X",1,0))</f>
        <v>0</v>
      </c>
      <c r="F1009" s="2">
        <f>IF(SUM('Actual species'!I1009)&gt;=1,1,IF(SUM('Actual species'!I1009)="X",1,0))</f>
        <v>0</v>
      </c>
      <c r="G1009" s="2">
        <f>IF(SUM('Actual species'!J1009)&gt;=1,1,IF(SUM('Actual species'!J1009)="X",1,0))</f>
        <v>0</v>
      </c>
      <c r="H1009" s="2">
        <f>IF(SUM('Actual species'!K1009)&gt;=1,1,IF(SUM('Actual species'!K1009)="X",1,0))</f>
        <v>0</v>
      </c>
      <c r="I1009" s="2">
        <f>IF(SUM('Actual species'!L1009)&gt;=1,1,IF(SUM('Actual species'!L1009)="X",1,0))</f>
        <v>0</v>
      </c>
      <c r="J1009" s="2">
        <f>IF(SUM('Actual species'!M1009)&gt;=1,1,IF(SUM('Actual species'!M1009)="X",1,0))</f>
        <v>0</v>
      </c>
      <c r="K1009" s="2">
        <f>IF(SUM('Actual species'!N1009)&gt;=1,1,IF(SUM('Actual species'!N1009)="X",1,0))</f>
        <v>0</v>
      </c>
      <c r="L1009" s="2">
        <f>IF(SUM('Actual species'!O1009)&gt;=1,1,IF(SUM('Actual species'!O1009)="X",1,0))</f>
        <v>0</v>
      </c>
      <c r="M1009" s="2">
        <f>IF(SUM('Actual species'!P1009)&gt;=1,1,IF(SUM('Actual species'!P1009)="X",1,0))</f>
        <v>0</v>
      </c>
      <c r="N1009" s="2">
        <f>IF(SUM('Actual species'!Q1009)&gt;=1,1,IF(SUM('Actual species'!Q1009)="X",1,0))</f>
        <v>0</v>
      </c>
      <c r="O1009" s="2">
        <f>IF(SUM('Actual species'!R1009)&gt;=1,1,IF(SUM('Actual species'!R1009)="X",1,0))</f>
        <v>0</v>
      </c>
      <c r="P1009" s="2">
        <f>IF(SUM('Actual species'!S1009)&gt;=1,1,IF(SUM('Actual species'!S1009)="X",1,0))</f>
        <v>0</v>
      </c>
      <c r="Q1009" s="2">
        <f>IF(SUM('Actual species'!T1009)&gt;=1,1,IF(SUM('Actual species'!T1009)="X",1,0))</f>
        <v>0</v>
      </c>
      <c r="R1009" s="2">
        <f>IF(SUM('Actual species'!U1009)&gt;=1,1,IF(SUM('Actual species'!U1009)="X",1,0))</f>
        <v>0</v>
      </c>
    </row>
    <row r="1010" spans="1:18" x14ac:dyDescent="0.3">
      <c r="A1010" s="113" t="str">
        <f>'Actual species'!A1010</f>
        <v xml:space="preserve">**Ocypus corcyranus (E) </v>
      </c>
      <c r="B1010" s="66">
        <f>IF(SUM('Actual species'!B1010:E1010)&gt;=1,1,IF(SUM('Actual species'!B1010:E1010)="X",1,0))</f>
        <v>0</v>
      </c>
      <c r="C1010" s="2">
        <f>IF(SUM('Actual species'!F1010)&gt;=1,1,IF(SUM('Actual species'!F1010)="X",1,0))</f>
        <v>0</v>
      </c>
      <c r="D1010" s="2">
        <f>IF(SUM('Actual species'!G1010)&gt;=1,1,IF(SUM('Actual species'!G1010)="X",1,0))</f>
        <v>0</v>
      </c>
      <c r="E1010" s="2">
        <f>IF(SUM('Actual species'!H1010)&gt;=1,1,IF(SUM('Actual species'!H1010)="X",1,0))</f>
        <v>0</v>
      </c>
      <c r="F1010" s="2">
        <f>IF(SUM('Actual species'!I1010)&gt;=1,1,IF(SUM('Actual species'!I1010)="X",1,0))</f>
        <v>0</v>
      </c>
      <c r="G1010" s="2">
        <f>IF(SUM('Actual species'!J1010)&gt;=1,1,IF(SUM('Actual species'!J1010)="X",1,0))</f>
        <v>0</v>
      </c>
      <c r="H1010" s="2">
        <f>IF(SUM('Actual species'!K1010)&gt;=1,1,IF(SUM('Actual species'!K1010)="X",1,0))</f>
        <v>0</v>
      </c>
      <c r="I1010" s="2">
        <f>IF(SUM('Actual species'!L1010)&gt;=1,1,IF(SUM('Actual species'!L1010)="X",1,0))</f>
        <v>0</v>
      </c>
      <c r="J1010" s="2">
        <f>IF(SUM('Actual species'!M1010)&gt;=1,1,IF(SUM('Actual species'!M1010)="X",1,0))</f>
        <v>1</v>
      </c>
      <c r="K1010" s="2">
        <f>IF(SUM('Actual species'!N1010)&gt;=1,1,IF(SUM('Actual species'!N1010)="X",1,0))</f>
        <v>0</v>
      </c>
      <c r="L1010" s="2">
        <f>IF(SUM('Actual species'!O1010)&gt;=1,1,IF(SUM('Actual species'!O1010)="X",1,0))</f>
        <v>0</v>
      </c>
      <c r="M1010" s="2">
        <f>IF(SUM('Actual species'!P1010)&gt;=1,1,IF(SUM('Actual species'!P1010)="X",1,0))</f>
        <v>0</v>
      </c>
      <c r="N1010" s="2">
        <f>IF(SUM('Actual species'!Q1010)&gt;=1,1,IF(SUM('Actual species'!Q1010)="X",1,0))</f>
        <v>0</v>
      </c>
      <c r="O1010" s="2">
        <f>IF(SUM('Actual species'!R1010)&gt;=1,1,IF(SUM('Actual species'!R1010)="X",1,0))</f>
        <v>0</v>
      </c>
      <c r="P1010" s="2">
        <f>IF(SUM('Actual species'!S1010)&gt;=1,1,IF(SUM('Actual species'!S1010)="X",1,0))</f>
        <v>0</v>
      </c>
      <c r="Q1010" s="2">
        <f>IF(SUM('Actual species'!T1010)&gt;=1,1,IF(SUM('Actual species'!T1010)="X",1,0))</f>
        <v>0</v>
      </c>
      <c r="R1010" s="2">
        <f>IF(SUM('Actual species'!U1010)&gt;=1,1,IF(SUM('Actual species'!U1010)="X",1,0))</f>
        <v>0</v>
      </c>
    </row>
    <row r="1011" spans="1:18" x14ac:dyDescent="0.3">
      <c r="A1011" s="113" t="str">
        <f>'Actual species'!A1011</f>
        <v>Ocypus curtipennis</v>
      </c>
      <c r="B1011" s="66">
        <f>IF(SUM('Actual species'!B1011:E1011)&gt;=1,1,IF(SUM('Actual species'!B1011:E1011)="X",1,0))</f>
        <v>0</v>
      </c>
      <c r="C1011" s="2">
        <f>IF(SUM('Actual species'!F1011)&gt;=1,1,IF(SUM('Actual species'!F1011)="X",1,0))</f>
        <v>0</v>
      </c>
      <c r="D1011" s="2">
        <f>IF(SUM('Actual species'!G1011)&gt;=1,1,IF(SUM('Actual species'!G1011)="X",1,0))</f>
        <v>0</v>
      </c>
      <c r="E1011" s="2">
        <f>IF(SUM('Actual species'!H1011)&gt;=1,1,IF(SUM('Actual species'!H1011)="X",1,0))</f>
        <v>0</v>
      </c>
      <c r="F1011" s="2">
        <f>IF(SUM('Actual species'!I1011)&gt;=1,1,IF(SUM('Actual species'!I1011)="X",1,0))</f>
        <v>1</v>
      </c>
      <c r="G1011" s="2">
        <f>IF(SUM('Actual species'!J1011)&gt;=1,1,IF(SUM('Actual species'!J1011)="X",1,0))</f>
        <v>0</v>
      </c>
      <c r="H1011" s="2">
        <f>IF(SUM('Actual species'!K1011)&gt;=1,1,IF(SUM('Actual species'!K1011)="X",1,0))</f>
        <v>1</v>
      </c>
      <c r="I1011" s="2">
        <f>IF(SUM('Actual species'!L1011)&gt;=1,1,IF(SUM('Actual species'!L1011)="X",1,0))</f>
        <v>0</v>
      </c>
      <c r="J1011" s="2">
        <f>IF(SUM('Actual species'!M1011)&gt;=1,1,IF(SUM('Actual species'!M1011)="X",1,0))</f>
        <v>0</v>
      </c>
      <c r="K1011" s="2">
        <f>IF(SUM('Actual species'!N1011)&gt;=1,1,IF(SUM('Actual species'!N1011)="X",1,0))</f>
        <v>1</v>
      </c>
      <c r="L1011" s="2">
        <f>IF(SUM('Actual species'!O1011)&gt;=1,1,IF(SUM('Actual species'!O1011)="X",1,0))</f>
        <v>0</v>
      </c>
      <c r="M1011" s="2">
        <f>IF(SUM('Actual species'!P1011)&gt;=1,1,IF(SUM('Actual species'!P1011)="X",1,0))</f>
        <v>0</v>
      </c>
      <c r="N1011" s="2">
        <f>IF(SUM('Actual species'!Q1011)&gt;=1,1,IF(SUM('Actual species'!Q1011)="X",1,0))</f>
        <v>0</v>
      </c>
      <c r="O1011" s="2">
        <f>IF(SUM('Actual species'!R1011)&gt;=1,1,IF(SUM('Actual species'!R1011)="X",1,0))</f>
        <v>0</v>
      </c>
      <c r="P1011" s="2">
        <f>IF(SUM('Actual species'!S1011)&gt;=1,1,IF(SUM('Actual species'!S1011)="X",1,0))</f>
        <v>0</v>
      </c>
      <c r="Q1011" s="2">
        <f>IF(SUM('Actual species'!T1011)&gt;=1,1,IF(SUM('Actual species'!T1011)="X",1,0))</f>
        <v>0</v>
      </c>
      <c r="R1011" s="2">
        <f>IF(SUM('Actual species'!U1011)&gt;=1,1,IF(SUM('Actual species'!U1011)="X",1,0))</f>
        <v>0</v>
      </c>
    </row>
    <row r="1012" spans="1:18" x14ac:dyDescent="0.3">
      <c r="A1012" s="113" t="str">
        <f>'Actual species'!A1012</f>
        <v>Ocypus fulvipennis</v>
      </c>
      <c r="B1012" s="66">
        <f>IF(SUM('Actual species'!B1012:E1012)&gt;=1,1,IF(SUM('Actual species'!B1012:E1012)="X",1,0))</f>
        <v>0</v>
      </c>
      <c r="C1012" s="2">
        <f>IF(SUM('Actual species'!F1012)&gt;=1,1,IF(SUM('Actual species'!F1012)="X",1,0))</f>
        <v>0</v>
      </c>
      <c r="D1012" s="2">
        <f>IF(SUM('Actual species'!G1012)&gt;=1,1,IF(SUM('Actual species'!G1012)="X",1,0))</f>
        <v>0</v>
      </c>
      <c r="E1012" s="2">
        <f>IF(SUM('Actual species'!H1012)&gt;=1,1,IF(SUM('Actual species'!H1012)="X",1,0))</f>
        <v>0</v>
      </c>
      <c r="F1012" s="2">
        <f>IF(SUM('Actual species'!I1012)&gt;=1,1,IF(SUM('Actual species'!I1012)="X",1,0))</f>
        <v>0</v>
      </c>
      <c r="G1012" s="2">
        <f>IF(SUM('Actual species'!J1012)&gt;=1,1,IF(SUM('Actual species'!J1012)="X",1,0))</f>
        <v>0</v>
      </c>
      <c r="H1012" s="2">
        <f>IF(SUM('Actual species'!K1012)&gt;=1,1,IF(SUM('Actual species'!K1012)="X",1,0))</f>
        <v>0</v>
      </c>
      <c r="I1012" s="2">
        <f>IF(SUM('Actual species'!L1012)&gt;=1,1,IF(SUM('Actual species'!L1012)="X",1,0))</f>
        <v>0</v>
      </c>
      <c r="J1012" s="2">
        <f>IF(SUM('Actual species'!M1012)&gt;=1,1,IF(SUM('Actual species'!M1012)="X",1,0))</f>
        <v>1</v>
      </c>
      <c r="K1012" s="2">
        <f>IF(SUM('Actual species'!N1012)&gt;=1,1,IF(SUM('Actual species'!N1012)="X",1,0))</f>
        <v>0</v>
      </c>
      <c r="L1012" s="2">
        <f>IF(SUM('Actual species'!O1012)&gt;=1,1,IF(SUM('Actual species'!O1012)="X",1,0))</f>
        <v>0</v>
      </c>
      <c r="M1012" s="2">
        <f>IF(SUM('Actual species'!P1012)&gt;=1,1,IF(SUM('Actual species'!P1012)="X",1,0))</f>
        <v>0</v>
      </c>
      <c r="N1012" s="2">
        <f>IF(SUM('Actual species'!Q1012)&gt;=1,1,IF(SUM('Actual species'!Q1012)="X",1,0))</f>
        <v>0</v>
      </c>
      <c r="O1012" s="2">
        <f>IF(SUM('Actual species'!R1012)&gt;=1,1,IF(SUM('Actual species'!R1012)="X",1,0))</f>
        <v>0</v>
      </c>
      <c r="P1012" s="2">
        <f>IF(SUM('Actual species'!S1012)&gt;=1,1,IF(SUM('Actual species'!S1012)="X",1,0))</f>
        <v>0</v>
      </c>
      <c r="Q1012" s="2">
        <f>IF(SUM('Actual species'!T1012)&gt;=1,1,IF(SUM('Actual species'!T1012)="X",1,0))</f>
        <v>0</v>
      </c>
      <c r="R1012" s="2">
        <f>IF(SUM('Actual species'!U1012)&gt;=1,1,IF(SUM('Actual species'!U1012)="X",1,0))</f>
        <v>0</v>
      </c>
    </row>
    <row r="1013" spans="1:18" x14ac:dyDescent="0.3">
      <c r="A1013" s="113" t="str">
        <f>'Actual species'!A1013</f>
        <v>Ocypus mus</v>
      </c>
      <c r="B1013" s="66">
        <f>IF(SUM('Actual species'!B1013:E1013)&gt;=1,1,IF(SUM('Actual species'!B1013:E1013)="X",1,0))</f>
        <v>0</v>
      </c>
      <c r="C1013" s="2">
        <f>IF(SUM('Actual species'!F1013)&gt;=1,1,IF(SUM('Actual species'!F1013)="X",1,0))</f>
        <v>1</v>
      </c>
      <c r="D1013" s="2">
        <f>IF(SUM('Actual species'!G1013)&gt;=1,1,IF(SUM('Actual species'!G1013)="X",1,0))</f>
        <v>1</v>
      </c>
      <c r="E1013" s="2">
        <f>IF(SUM('Actual species'!H1013)&gt;=1,1,IF(SUM('Actual species'!H1013)="X",1,0))</f>
        <v>1</v>
      </c>
      <c r="F1013" s="2">
        <f>IF(SUM('Actual species'!I1013)&gt;=1,1,IF(SUM('Actual species'!I1013)="X",1,0))</f>
        <v>1</v>
      </c>
      <c r="G1013" s="2">
        <f>IF(SUM('Actual species'!J1013)&gt;=1,1,IF(SUM('Actual species'!J1013)="X",1,0))</f>
        <v>1</v>
      </c>
      <c r="H1013" s="2">
        <f>IF(SUM('Actual species'!K1013)&gt;=1,1,IF(SUM('Actual species'!K1013)="X",1,0))</f>
        <v>1</v>
      </c>
      <c r="I1013" s="2">
        <f>IF(SUM('Actual species'!L1013)&gt;=1,1,IF(SUM('Actual species'!L1013)="X",1,0))</f>
        <v>1</v>
      </c>
      <c r="J1013" s="2">
        <f>IF(SUM('Actual species'!M1013)&gt;=1,1,IF(SUM('Actual species'!M1013)="X",1,0))</f>
        <v>1</v>
      </c>
      <c r="K1013" s="2">
        <f>IF(SUM('Actual species'!N1013)&gt;=1,1,IF(SUM('Actual species'!N1013)="X",1,0))</f>
        <v>1</v>
      </c>
      <c r="L1013" s="2">
        <f>IF(SUM('Actual species'!O1013)&gt;=1,1,IF(SUM('Actual species'!O1013)="X",1,0))</f>
        <v>0</v>
      </c>
      <c r="M1013" s="2">
        <f>IF(SUM('Actual species'!P1013)&gt;=1,1,IF(SUM('Actual species'!P1013)="X",1,0))</f>
        <v>0</v>
      </c>
      <c r="N1013" s="2">
        <f>IF(SUM('Actual species'!Q1013)&gt;=1,1,IF(SUM('Actual species'!Q1013)="X",1,0))</f>
        <v>0</v>
      </c>
      <c r="O1013" s="2">
        <f>IF(SUM('Actual species'!R1013)&gt;=1,1,IF(SUM('Actual species'!R1013)="X",1,0))</f>
        <v>0</v>
      </c>
      <c r="P1013" s="2">
        <f>IF(SUM('Actual species'!S1013)&gt;=1,1,IF(SUM('Actual species'!S1013)="X",1,0))</f>
        <v>0</v>
      </c>
      <c r="Q1013" s="2">
        <f>IF(SUM('Actual species'!T1013)&gt;=1,1,IF(SUM('Actual species'!T1013)="X",1,0))</f>
        <v>0</v>
      </c>
      <c r="R1013" s="2">
        <f>IF(SUM('Actual species'!U1013)&gt;=1,1,IF(SUM('Actual species'!U1013)="X",1,0))</f>
        <v>0</v>
      </c>
    </row>
    <row r="1014" spans="1:18" x14ac:dyDescent="0.3">
      <c r="A1014" s="113" t="str">
        <f>'Actual species'!A1014</f>
        <v>Ocypus nitens nitens</v>
      </c>
      <c r="B1014" s="66">
        <f>IF(SUM('Actual species'!B1014:E1014)&gt;=1,1,IF(SUM('Actual species'!B1014:E1014)="X",1,0))</f>
        <v>0</v>
      </c>
      <c r="C1014" s="2">
        <f>IF(SUM('Actual species'!F1014)&gt;=1,1,IF(SUM('Actual species'!F1014)="X",1,0))</f>
        <v>0</v>
      </c>
      <c r="D1014" s="2">
        <f>IF(SUM('Actual species'!G1014)&gt;=1,1,IF(SUM('Actual species'!G1014)="X",1,0))</f>
        <v>0</v>
      </c>
      <c r="E1014" s="2">
        <f>IF(SUM('Actual species'!H1014)&gt;=1,1,IF(SUM('Actual species'!H1014)="X",1,0))</f>
        <v>0</v>
      </c>
      <c r="F1014" s="2">
        <f>IF(SUM('Actual species'!I1014)&gt;=1,1,IF(SUM('Actual species'!I1014)="X",1,0))</f>
        <v>0</v>
      </c>
      <c r="G1014" s="2">
        <f>IF(SUM('Actual species'!J1014)&gt;=1,1,IF(SUM('Actual species'!J1014)="X",1,0))</f>
        <v>0</v>
      </c>
      <c r="H1014" s="2">
        <f>IF(SUM('Actual species'!K1014)&gt;=1,1,IF(SUM('Actual species'!K1014)="X",1,0))</f>
        <v>0</v>
      </c>
      <c r="I1014" s="2">
        <f>IF(SUM('Actual species'!L1014)&gt;=1,1,IF(SUM('Actual species'!L1014)="X",1,0))</f>
        <v>0</v>
      </c>
      <c r="J1014" s="2">
        <f>IF(SUM('Actual species'!M1014)&gt;=1,1,IF(SUM('Actual species'!M1014)="X",1,0))</f>
        <v>0</v>
      </c>
      <c r="K1014" s="2">
        <f>IF(SUM('Actual species'!N1014)&gt;=1,1,IF(SUM('Actual species'!N1014)="X",1,0))</f>
        <v>0</v>
      </c>
      <c r="L1014" s="2">
        <f>IF(SUM('Actual species'!O1014)&gt;=1,1,IF(SUM('Actual species'!O1014)="X",1,0))</f>
        <v>0</v>
      </c>
      <c r="M1014" s="2">
        <f>IF(SUM('Actual species'!P1014)&gt;=1,1,IF(SUM('Actual species'!P1014)="X",1,0))</f>
        <v>0</v>
      </c>
      <c r="N1014" s="2">
        <f>IF(SUM('Actual species'!Q1014)&gt;=1,1,IF(SUM('Actual species'!Q1014)="X",1,0))</f>
        <v>0</v>
      </c>
      <c r="O1014" s="2">
        <f>IF(SUM('Actual species'!R1014)&gt;=1,1,IF(SUM('Actual species'!R1014)="X",1,0))</f>
        <v>0</v>
      </c>
      <c r="P1014" s="2">
        <f>IF(SUM('Actual species'!S1014)&gt;=1,1,IF(SUM('Actual species'!S1014)="X",1,0))</f>
        <v>0</v>
      </c>
      <c r="Q1014" s="2">
        <f>IF(SUM('Actual species'!T1014)&gt;=1,1,IF(SUM('Actual species'!T1014)="X",1,0))</f>
        <v>0</v>
      </c>
      <c r="R1014" s="2">
        <f>IF(SUM('Actual species'!U1014)&gt;=1,1,IF(SUM('Actual species'!U1014)="X",1,0))</f>
        <v>0</v>
      </c>
    </row>
    <row r="1015" spans="1:18" x14ac:dyDescent="0.3">
      <c r="A1015" s="113" t="str">
        <f>'Actual species'!A1015</f>
        <v>Ocypus olens</v>
      </c>
      <c r="B1015" s="66">
        <f>IF(SUM('Actual species'!B1015:E1015)&gt;=1,1,IF(SUM('Actual species'!B1015:E1015)="X",1,0))</f>
        <v>0</v>
      </c>
      <c r="C1015" s="2">
        <f>IF(SUM('Actual species'!F1015)&gt;=1,1,IF(SUM('Actual species'!F1015)="X",1,0))</f>
        <v>0</v>
      </c>
      <c r="D1015" s="2">
        <f>IF(SUM('Actual species'!G1015)&gt;=1,1,IF(SUM('Actual species'!G1015)="X",1,0))</f>
        <v>0</v>
      </c>
      <c r="E1015" s="2">
        <f>IF(SUM('Actual species'!H1015)&gt;=1,1,IF(SUM('Actual species'!H1015)="X",1,0))</f>
        <v>0</v>
      </c>
      <c r="F1015" s="2">
        <f>IF(SUM('Actual species'!I1015)&gt;=1,1,IF(SUM('Actual species'!I1015)="X",1,0))</f>
        <v>0</v>
      </c>
      <c r="G1015" s="2">
        <f>IF(SUM('Actual species'!J1015)&gt;=1,1,IF(SUM('Actual species'!J1015)="X",1,0))</f>
        <v>1</v>
      </c>
      <c r="H1015" s="2">
        <f>IF(SUM('Actual species'!K1015)&gt;=1,1,IF(SUM('Actual species'!K1015)="X",1,0))</f>
        <v>0</v>
      </c>
      <c r="I1015" s="2">
        <f>IF(SUM('Actual species'!L1015)&gt;=1,1,IF(SUM('Actual species'!L1015)="X",1,0))</f>
        <v>0</v>
      </c>
      <c r="J1015" s="2">
        <f>IF(SUM('Actual species'!M1015)&gt;=1,1,IF(SUM('Actual species'!M1015)="X",1,0))</f>
        <v>0</v>
      </c>
      <c r="K1015" s="2">
        <f>IF(SUM('Actual species'!N1015)&gt;=1,1,IF(SUM('Actual species'!N1015)="X",1,0))</f>
        <v>0</v>
      </c>
      <c r="L1015" s="2">
        <f>IF(SUM('Actual species'!O1015)&gt;=1,1,IF(SUM('Actual species'!O1015)="X",1,0))</f>
        <v>0</v>
      </c>
      <c r="M1015" s="2">
        <f>IF(SUM('Actual species'!P1015)&gt;=1,1,IF(SUM('Actual species'!P1015)="X",1,0))</f>
        <v>0</v>
      </c>
      <c r="N1015" s="2">
        <f>IF(SUM('Actual species'!Q1015)&gt;=1,1,IF(SUM('Actual species'!Q1015)="X",1,0))</f>
        <v>0</v>
      </c>
      <c r="O1015" s="2">
        <f>IF(SUM('Actual species'!R1015)&gt;=1,1,IF(SUM('Actual species'!R1015)="X",1,0))</f>
        <v>0</v>
      </c>
      <c r="P1015" s="2">
        <f>IF(SUM('Actual species'!S1015)&gt;=1,1,IF(SUM('Actual species'!S1015)="X",1,0))</f>
        <v>0</v>
      </c>
      <c r="Q1015" s="2">
        <f>IF(SUM('Actual species'!T1015)&gt;=1,1,IF(SUM('Actual species'!T1015)="X",1,0))</f>
        <v>0</v>
      </c>
      <c r="R1015" s="2">
        <f>IF(SUM('Actual species'!U1015)&gt;=1,1,IF(SUM('Actual species'!U1015)="X",1,0))</f>
        <v>0</v>
      </c>
    </row>
    <row r="1016" spans="1:18" x14ac:dyDescent="0.3">
      <c r="A1016" s="113" t="str">
        <f>'Actual species'!A1016</f>
        <v>Ocypus ophthalmicus ophthalmicus</v>
      </c>
      <c r="B1016" s="66">
        <f>IF(SUM('Actual species'!B1016:E1016)&gt;=1,1,IF(SUM('Actual species'!B1016:E1016)="X",1,0))</f>
        <v>0</v>
      </c>
      <c r="C1016" s="2">
        <f>IF(SUM('Actual species'!F1016)&gt;=1,1,IF(SUM('Actual species'!F1016)="X",1,0))</f>
        <v>0</v>
      </c>
      <c r="D1016" s="2">
        <f>IF(SUM('Actual species'!G1016)&gt;=1,1,IF(SUM('Actual species'!G1016)="X",1,0))</f>
        <v>0</v>
      </c>
      <c r="E1016" s="2">
        <f>IF(SUM('Actual species'!H1016)&gt;=1,1,IF(SUM('Actual species'!H1016)="X",1,0))</f>
        <v>0</v>
      </c>
      <c r="F1016" s="2">
        <f>IF(SUM('Actual species'!I1016)&gt;=1,1,IF(SUM('Actual species'!I1016)="X",1,0))</f>
        <v>0</v>
      </c>
      <c r="G1016" s="2">
        <f>IF(SUM('Actual species'!J1016)&gt;=1,1,IF(SUM('Actual species'!J1016)="X",1,0))</f>
        <v>0</v>
      </c>
      <c r="H1016" s="2">
        <f>IF(SUM('Actual species'!K1016)&gt;=1,1,IF(SUM('Actual species'!K1016)="X",1,0))</f>
        <v>0</v>
      </c>
      <c r="I1016" s="2">
        <f>IF(SUM('Actual species'!L1016)&gt;=1,1,IF(SUM('Actual species'!L1016)="X",1,0))</f>
        <v>0</v>
      </c>
      <c r="J1016" s="2">
        <f>IF(SUM('Actual species'!M1016)&gt;=1,1,IF(SUM('Actual species'!M1016)="X",1,0))</f>
        <v>0</v>
      </c>
      <c r="K1016" s="2">
        <f>IF(SUM('Actual species'!N1016)&gt;=1,1,IF(SUM('Actual species'!N1016)="X",1,0))</f>
        <v>0</v>
      </c>
      <c r="L1016" s="2">
        <f>IF(SUM('Actual species'!O1016)&gt;=1,1,IF(SUM('Actual species'!O1016)="X",1,0))</f>
        <v>0</v>
      </c>
      <c r="M1016" s="2">
        <f>IF(SUM('Actual species'!P1016)&gt;=1,1,IF(SUM('Actual species'!P1016)="X",1,0))</f>
        <v>0</v>
      </c>
      <c r="N1016" s="2">
        <f>IF(SUM('Actual species'!Q1016)&gt;=1,1,IF(SUM('Actual species'!Q1016)="X",1,0))</f>
        <v>0</v>
      </c>
      <c r="O1016" s="2">
        <f>IF(SUM('Actual species'!R1016)&gt;=1,1,IF(SUM('Actual species'!R1016)="X",1,0))</f>
        <v>0</v>
      </c>
      <c r="P1016" s="2">
        <f>IF(SUM('Actual species'!S1016)&gt;=1,1,IF(SUM('Actual species'!S1016)="X",1,0))</f>
        <v>0</v>
      </c>
      <c r="Q1016" s="2">
        <f>IF(SUM('Actual species'!T1016)&gt;=1,1,IF(SUM('Actual species'!T1016)="X",1,0))</f>
        <v>0</v>
      </c>
      <c r="R1016" s="2">
        <f>IF(SUM('Actual species'!U1016)&gt;=1,1,IF(SUM('Actual species'!U1016)="X",1,0))</f>
        <v>0</v>
      </c>
    </row>
    <row r="1017" spans="1:18" x14ac:dyDescent="0.3">
      <c r="A1017" s="113" t="str">
        <f>'Actual species'!A1017</f>
        <v xml:space="preserve">Ocypus orientis </v>
      </c>
      <c r="B1017" s="66">
        <f>IF(SUM('Actual species'!B1017:E1017)&gt;=1,1,IF(SUM('Actual species'!B1017:E1017)="X",1,0))</f>
        <v>1</v>
      </c>
      <c r="C1017" s="2">
        <f>IF(SUM('Actual species'!F1017)&gt;=1,1,IF(SUM('Actual species'!F1017)="X",1,0))</f>
        <v>0</v>
      </c>
      <c r="D1017" s="2">
        <f>IF(SUM('Actual species'!G1017)&gt;=1,1,IF(SUM('Actual species'!G1017)="X",1,0))</f>
        <v>0</v>
      </c>
      <c r="E1017" s="2">
        <f>IF(SUM('Actual species'!H1017)&gt;=1,1,IF(SUM('Actual species'!H1017)="X",1,0))</f>
        <v>0</v>
      </c>
      <c r="F1017" s="2">
        <f>IF(SUM('Actual species'!I1017)&gt;=1,1,IF(SUM('Actual species'!I1017)="X",1,0))</f>
        <v>0</v>
      </c>
      <c r="G1017" s="2">
        <f>IF(SUM('Actual species'!J1017)&gt;=1,1,IF(SUM('Actual species'!J1017)="X",1,0))</f>
        <v>0</v>
      </c>
      <c r="H1017" s="2">
        <f>IF(SUM('Actual species'!K1017)&gt;=1,1,IF(SUM('Actual species'!K1017)="X",1,0))</f>
        <v>1</v>
      </c>
      <c r="I1017" s="2">
        <f>IF(SUM('Actual species'!L1017)&gt;=1,1,IF(SUM('Actual species'!L1017)="X",1,0))</f>
        <v>0</v>
      </c>
      <c r="J1017" s="2">
        <f>IF(SUM('Actual species'!M1017)&gt;=1,1,IF(SUM('Actual species'!M1017)="X",1,0))</f>
        <v>0</v>
      </c>
      <c r="K1017" s="2">
        <f>IF(SUM('Actual species'!N1017)&gt;=1,1,IF(SUM('Actual species'!N1017)="X",1,0))</f>
        <v>1</v>
      </c>
      <c r="L1017" s="2">
        <f>IF(SUM('Actual species'!O1017)&gt;=1,1,IF(SUM('Actual species'!O1017)="X",1,0))</f>
        <v>1</v>
      </c>
      <c r="M1017" s="2">
        <f>IF(SUM('Actual species'!P1017)&gt;=1,1,IF(SUM('Actual species'!P1017)="X",1,0))</f>
        <v>0</v>
      </c>
      <c r="N1017" s="2">
        <f>IF(SUM('Actual species'!Q1017)&gt;=1,1,IF(SUM('Actual species'!Q1017)="X",1,0))</f>
        <v>0</v>
      </c>
      <c r="O1017" s="2">
        <f>IF(SUM('Actual species'!R1017)&gt;=1,1,IF(SUM('Actual species'!R1017)="X",1,0))</f>
        <v>0</v>
      </c>
      <c r="P1017" s="2">
        <f>IF(SUM('Actual species'!S1017)&gt;=1,1,IF(SUM('Actual species'!S1017)="X",1,0))</f>
        <v>0</v>
      </c>
      <c r="Q1017" s="2">
        <f>IF(SUM('Actual species'!T1017)&gt;=1,1,IF(SUM('Actual species'!T1017)="X",1,0))</f>
        <v>0</v>
      </c>
      <c r="R1017" s="2">
        <f>IF(SUM('Actual species'!U1017)&gt;=1,1,IF(SUM('Actual species'!U1017)="X",1,0))</f>
        <v>0</v>
      </c>
    </row>
    <row r="1018" spans="1:18" x14ac:dyDescent="0.3">
      <c r="A1018" s="113" t="str">
        <f>'Actual species'!A1018</f>
        <v>Ocypus orientis (orientalis)</v>
      </c>
      <c r="B1018" s="66">
        <f>IF(SUM('Actual species'!B1018:E1018)&gt;=1,1,IF(SUM('Actual species'!B1018:E1018)="X",1,0))</f>
        <v>1</v>
      </c>
      <c r="C1018" s="2">
        <f>IF(SUM('Actual species'!F1018)&gt;=1,1,IF(SUM('Actual species'!F1018)="X",1,0))</f>
        <v>0</v>
      </c>
      <c r="D1018" s="2">
        <f>IF(SUM('Actual species'!G1018)&gt;=1,1,IF(SUM('Actual species'!G1018)="X",1,0))</f>
        <v>0</v>
      </c>
      <c r="E1018" s="2">
        <f>IF(SUM('Actual species'!H1018)&gt;=1,1,IF(SUM('Actual species'!H1018)="X",1,0))</f>
        <v>0</v>
      </c>
      <c r="F1018" s="2">
        <f>IF(SUM('Actual species'!I1018)&gt;=1,1,IF(SUM('Actual species'!I1018)="X",1,0))</f>
        <v>0</v>
      </c>
      <c r="G1018" s="2">
        <f>IF(SUM('Actual species'!J1018)&gt;=1,1,IF(SUM('Actual species'!J1018)="X",1,0))</f>
        <v>0</v>
      </c>
      <c r="H1018" s="2">
        <f>IF(SUM('Actual species'!K1018)&gt;=1,1,IF(SUM('Actual species'!K1018)="X",1,0))</f>
        <v>0</v>
      </c>
      <c r="I1018" s="2">
        <f>IF(SUM('Actual species'!L1018)&gt;=1,1,IF(SUM('Actual species'!L1018)="X",1,0))</f>
        <v>0</v>
      </c>
      <c r="J1018" s="2">
        <f>IF(SUM('Actual species'!M1018)&gt;=1,1,IF(SUM('Actual species'!M1018)="X",1,0))</f>
        <v>0</v>
      </c>
      <c r="K1018" s="2">
        <f>IF(SUM('Actual species'!N1018)&gt;=1,1,IF(SUM('Actual species'!N1018)="X",1,0))</f>
        <v>0</v>
      </c>
      <c r="L1018" s="2">
        <f>IF(SUM('Actual species'!O1018)&gt;=1,1,IF(SUM('Actual species'!O1018)="X",1,0))</f>
        <v>0</v>
      </c>
      <c r="M1018" s="2">
        <f>IF(SUM('Actual species'!P1018)&gt;=1,1,IF(SUM('Actual species'!P1018)="X",1,0))</f>
        <v>0</v>
      </c>
      <c r="N1018" s="2">
        <f>IF(SUM('Actual species'!Q1018)&gt;=1,1,IF(SUM('Actual species'!Q1018)="X",1,0))</f>
        <v>0</v>
      </c>
      <c r="O1018" s="2">
        <f>IF(SUM('Actual species'!R1018)&gt;=1,1,IF(SUM('Actual species'!R1018)="X",1,0))</f>
        <v>0</v>
      </c>
      <c r="P1018" s="2">
        <f>IF(SUM('Actual species'!S1018)&gt;=1,1,IF(SUM('Actual species'!S1018)="X",1,0))</f>
        <v>0</v>
      </c>
      <c r="Q1018" s="2">
        <f>IF(SUM('Actual species'!T1018)&gt;=1,1,IF(SUM('Actual species'!T1018)="X",1,0))</f>
        <v>0</v>
      </c>
      <c r="R1018" s="2">
        <f>IF(SUM('Actual species'!U1018)&gt;=1,1,IF(SUM('Actual species'!U1018)="X",1,0))</f>
        <v>0</v>
      </c>
    </row>
    <row r="1019" spans="1:18" x14ac:dyDescent="0.3">
      <c r="A1019" s="113" t="str">
        <f>'Actual species'!A1019</f>
        <v>Ocypus picipennis</v>
      </c>
      <c r="B1019" s="66">
        <f>IF(SUM('Actual species'!B1019:E1019)&gt;=1,1,IF(SUM('Actual species'!B1019:E1019)="X",1,0))</f>
        <v>0</v>
      </c>
      <c r="C1019" s="2">
        <f>IF(SUM('Actual species'!F1019)&gt;=1,1,IF(SUM('Actual species'!F1019)="X",1,0))</f>
        <v>1</v>
      </c>
      <c r="D1019" s="2">
        <f>IF(SUM('Actual species'!G1019)&gt;=1,1,IF(SUM('Actual species'!G1019)="X",1,0))</f>
        <v>0</v>
      </c>
      <c r="E1019" s="2">
        <f>IF(SUM('Actual species'!H1019)&gt;=1,1,IF(SUM('Actual species'!H1019)="X",1,0))</f>
        <v>0</v>
      </c>
      <c r="F1019" s="2">
        <f>IF(SUM('Actual species'!I1019)&gt;=1,1,IF(SUM('Actual species'!I1019)="X",1,0))</f>
        <v>0</v>
      </c>
      <c r="G1019" s="2">
        <f>IF(SUM('Actual species'!J1019)&gt;=1,1,IF(SUM('Actual species'!J1019)="X",1,0))</f>
        <v>1</v>
      </c>
      <c r="H1019" s="2">
        <f>IF(SUM('Actual species'!K1019)&gt;=1,1,IF(SUM('Actual species'!K1019)="X",1,0))</f>
        <v>0</v>
      </c>
      <c r="I1019" s="2">
        <f>IF(SUM('Actual species'!L1019)&gt;=1,1,IF(SUM('Actual species'!L1019)="X",1,0))</f>
        <v>0</v>
      </c>
      <c r="J1019" s="2">
        <f>IF(SUM('Actual species'!M1019)&gt;=1,1,IF(SUM('Actual species'!M1019)="X",1,0))</f>
        <v>0</v>
      </c>
      <c r="K1019" s="2">
        <f>IF(SUM('Actual species'!N1019)&gt;=1,1,IF(SUM('Actual species'!N1019)="X",1,0))</f>
        <v>0</v>
      </c>
      <c r="L1019" s="2">
        <f>IF(SUM('Actual species'!O1019)&gt;=1,1,IF(SUM('Actual species'!O1019)="X",1,0))</f>
        <v>0</v>
      </c>
      <c r="M1019" s="2">
        <f>IF(SUM('Actual species'!P1019)&gt;=1,1,IF(SUM('Actual species'!P1019)="X",1,0))</f>
        <v>0</v>
      </c>
      <c r="N1019" s="2">
        <f>IF(SUM('Actual species'!Q1019)&gt;=1,1,IF(SUM('Actual species'!Q1019)="X",1,0))</f>
        <v>0</v>
      </c>
      <c r="O1019" s="2">
        <f>IF(SUM('Actual species'!R1019)&gt;=1,1,IF(SUM('Actual species'!R1019)="X",1,0))</f>
        <v>1</v>
      </c>
      <c r="P1019" s="2">
        <f>IF(SUM('Actual species'!S1019)&gt;=1,1,IF(SUM('Actual species'!S1019)="X",1,0))</f>
        <v>0</v>
      </c>
      <c r="Q1019" s="2">
        <f>IF(SUM('Actual species'!T1019)&gt;=1,1,IF(SUM('Actual species'!T1019)="X",1,0))</f>
        <v>0</v>
      </c>
      <c r="R1019" s="2">
        <f>IF(SUM('Actual species'!U1019)&gt;=1,1,IF(SUM('Actual species'!U1019)="X",1,0))</f>
        <v>0</v>
      </c>
    </row>
    <row r="1020" spans="1:18" x14ac:dyDescent="0.3">
      <c r="A1020" s="113" t="str">
        <f>'Actual species'!A1020</f>
        <v>Ocypus sericeicolli</v>
      </c>
      <c r="B1020" s="66">
        <f>IF(SUM('Actual species'!B1020:E1020)&gt;=1,1,IF(SUM('Actual species'!B1020:E1020)="X",1,0))</f>
        <v>0</v>
      </c>
      <c r="C1020" s="2">
        <f>IF(SUM('Actual species'!F1020)&gt;=1,1,IF(SUM('Actual species'!F1020)="X",1,0))</f>
        <v>0</v>
      </c>
      <c r="D1020" s="2">
        <f>IF(SUM('Actual species'!G1020)&gt;=1,1,IF(SUM('Actual species'!G1020)="X",1,0))</f>
        <v>0</v>
      </c>
      <c r="E1020" s="2">
        <f>IF(SUM('Actual species'!H1020)&gt;=1,1,IF(SUM('Actual species'!H1020)="X",1,0))</f>
        <v>0</v>
      </c>
      <c r="F1020" s="2">
        <f>IF(SUM('Actual species'!I1020)&gt;=1,1,IF(SUM('Actual species'!I1020)="X",1,0))</f>
        <v>1</v>
      </c>
      <c r="G1020" s="2">
        <f>IF(SUM('Actual species'!J1020)&gt;=1,1,IF(SUM('Actual species'!J1020)="X",1,0))</f>
        <v>1</v>
      </c>
      <c r="H1020" s="2">
        <f>IF(SUM('Actual species'!K1020)&gt;=1,1,IF(SUM('Actual species'!K1020)="X",1,0))</f>
        <v>0</v>
      </c>
      <c r="I1020" s="2">
        <f>IF(SUM('Actual species'!L1020)&gt;=1,1,IF(SUM('Actual species'!L1020)="X",1,0))</f>
        <v>1</v>
      </c>
      <c r="J1020" s="2">
        <f>IF(SUM('Actual species'!M1020)&gt;=1,1,IF(SUM('Actual species'!M1020)="X",1,0))</f>
        <v>0</v>
      </c>
      <c r="K1020" s="2">
        <f>IF(SUM('Actual species'!N1020)&gt;=1,1,IF(SUM('Actual species'!N1020)="X",1,0))</f>
        <v>1</v>
      </c>
      <c r="L1020" s="2">
        <f>IF(SUM('Actual species'!O1020)&gt;=1,1,IF(SUM('Actual species'!O1020)="X",1,0))</f>
        <v>0</v>
      </c>
      <c r="M1020" s="2">
        <f>IF(SUM('Actual species'!P1020)&gt;=1,1,IF(SUM('Actual species'!P1020)="X",1,0))</f>
        <v>0</v>
      </c>
      <c r="N1020" s="2">
        <f>IF(SUM('Actual species'!Q1020)&gt;=1,1,IF(SUM('Actual species'!Q1020)="X",1,0))</f>
        <v>0</v>
      </c>
      <c r="O1020" s="2">
        <f>IF(SUM('Actual species'!R1020)&gt;=1,1,IF(SUM('Actual species'!R1020)="X",1,0))</f>
        <v>0</v>
      </c>
      <c r="P1020" s="2">
        <f>IF(SUM('Actual species'!S1020)&gt;=1,1,IF(SUM('Actual species'!S1020)="X",1,0))</f>
        <v>0</v>
      </c>
      <c r="Q1020" s="2">
        <f>IF(SUM('Actual species'!T1020)&gt;=1,1,IF(SUM('Actual species'!T1020)="X",1,0))</f>
        <v>0</v>
      </c>
      <c r="R1020" s="2">
        <f>IF(SUM('Actual species'!U1020)&gt;=1,1,IF(SUM('Actual species'!U1020)="X",1,0))</f>
        <v>0</v>
      </c>
    </row>
    <row r="1021" spans="1:18" x14ac:dyDescent="0.3">
      <c r="A1021" s="113" t="str">
        <f>'Actual species'!A1021</f>
        <v>Ocypus simulator</v>
      </c>
      <c r="B1021" s="66">
        <f>IF(SUM('Actual species'!B1021:E1021)&gt;=1,1,IF(SUM('Actual species'!B1021:E1021)="X",1,0))</f>
        <v>0</v>
      </c>
      <c r="C1021" s="2">
        <f>IF(SUM('Actual species'!F1021)&gt;=1,1,IF(SUM('Actual species'!F1021)="X",1,0))</f>
        <v>0</v>
      </c>
      <c r="D1021" s="2">
        <f>IF(SUM('Actual species'!G1021)&gt;=1,1,IF(SUM('Actual species'!G1021)="X",1,0))</f>
        <v>0</v>
      </c>
      <c r="E1021" s="2">
        <f>IF(SUM('Actual species'!H1021)&gt;=1,1,IF(SUM('Actual species'!H1021)="X",1,0))</f>
        <v>0</v>
      </c>
      <c r="F1021" s="2">
        <f>IF(SUM('Actual species'!I1021)&gt;=1,1,IF(SUM('Actual species'!I1021)="X",1,0))</f>
        <v>0</v>
      </c>
      <c r="G1021" s="2">
        <f>IF(SUM('Actual species'!J1021)&gt;=1,1,IF(SUM('Actual species'!J1021)="X",1,0))</f>
        <v>0</v>
      </c>
      <c r="H1021" s="2">
        <f>IF(SUM('Actual species'!K1021)&gt;=1,1,IF(SUM('Actual species'!K1021)="X",1,0))</f>
        <v>0</v>
      </c>
      <c r="I1021" s="2">
        <f>IF(SUM('Actual species'!L1021)&gt;=1,1,IF(SUM('Actual species'!L1021)="X",1,0))</f>
        <v>0</v>
      </c>
      <c r="J1021" s="2">
        <f>IF(SUM('Actual species'!M1021)&gt;=1,1,IF(SUM('Actual species'!M1021)="X",1,0))</f>
        <v>0</v>
      </c>
      <c r="K1021" s="2">
        <f>IF(SUM('Actual species'!N1021)&gt;=1,1,IF(SUM('Actual species'!N1021)="X",1,0))</f>
        <v>0</v>
      </c>
      <c r="L1021" s="2">
        <f>IF(SUM('Actual species'!O1021)&gt;=1,1,IF(SUM('Actual species'!O1021)="X",1,0))</f>
        <v>0</v>
      </c>
      <c r="M1021" s="2">
        <f>IF(SUM('Actual species'!P1021)&gt;=1,1,IF(SUM('Actual species'!P1021)="X",1,0))</f>
        <v>0</v>
      </c>
      <c r="N1021" s="2">
        <f>IF(SUM('Actual species'!Q1021)&gt;=1,1,IF(SUM('Actual species'!Q1021)="X",1,0))</f>
        <v>0</v>
      </c>
      <c r="O1021" s="2">
        <f>IF(SUM('Actual species'!R1021)&gt;=1,1,IF(SUM('Actual species'!R1021)="X",1,0))</f>
        <v>0</v>
      </c>
      <c r="P1021" s="2">
        <f>IF(SUM('Actual species'!S1021)&gt;=1,1,IF(SUM('Actual species'!S1021)="X",1,0))</f>
        <v>0</v>
      </c>
      <c r="Q1021" s="2">
        <f>IF(SUM('Actual species'!T1021)&gt;=1,1,IF(SUM('Actual species'!T1021)="X",1,0))</f>
        <v>0</v>
      </c>
      <c r="R1021" s="2">
        <f>IF(SUM('Actual species'!U1021)&gt;=1,1,IF(SUM('Actual species'!U1021)="X",1,0))</f>
        <v>0</v>
      </c>
    </row>
    <row r="1022" spans="1:18" x14ac:dyDescent="0.3">
      <c r="A1022" s="113" t="str">
        <f>'Actual species'!A1022</f>
        <v>Orthidus cribratus cribratus</v>
      </c>
      <c r="B1022" s="66">
        <f>IF(SUM('Actual species'!B1022:E1022)&gt;=1,1,IF(SUM('Actual species'!B1022:E1022)="X",1,0))</f>
        <v>0</v>
      </c>
      <c r="C1022" s="2">
        <f>IF(SUM('Actual species'!F1022)&gt;=1,1,IF(SUM('Actual species'!F1022)="X",1,0))</f>
        <v>0</v>
      </c>
      <c r="D1022" s="2">
        <f>IF(SUM('Actual species'!G1022)&gt;=1,1,IF(SUM('Actual species'!G1022)="X",1,0))</f>
        <v>0</v>
      </c>
      <c r="E1022" s="2">
        <f>IF(SUM('Actual species'!H1022)&gt;=1,1,IF(SUM('Actual species'!H1022)="X",1,0))</f>
        <v>1</v>
      </c>
      <c r="F1022" s="2">
        <f>IF(SUM('Actual species'!I1022)&gt;=1,1,IF(SUM('Actual species'!I1022)="X",1,0))</f>
        <v>0</v>
      </c>
      <c r="G1022" s="2">
        <f>IF(SUM('Actual species'!J1022)&gt;=1,1,IF(SUM('Actual species'!J1022)="X",1,0))</f>
        <v>0</v>
      </c>
      <c r="H1022" s="2">
        <f>IF(SUM('Actual species'!K1022)&gt;=1,1,IF(SUM('Actual species'!K1022)="X",1,0))</f>
        <v>0</v>
      </c>
      <c r="I1022" s="2">
        <f>IF(SUM('Actual species'!L1022)&gt;=1,1,IF(SUM('Actual species'!L1022)="X",1,0))</f>
        <v>0</v>
      </c>
      <c r="J1022" s="2">
        <f>IF(SUM('Actual species'!M1022)&gt;=1,1,IF(SUM('Actual species'!M1022)="X",1,0))</f>
        <v>0</v>
      </c>
      <c r="K1022" s="2">
        <f>IF(SUM('Actual species'!N1022)&gt;=1,1,IF(SUM('Actual species'!N1022)="X",1,0))</f>
        <v>0</v>
      </c>
      <c r="L1022" s="2">
        <f>IF(SUM('Actual species'!O1022)&gt;=1,1,IF(SUM('Actual species'!O1022)="X",1,0))</f>
        <v>0</v>
      </c>
      <c r="M1022" s="2">
        <f>IF(SUM('Actual species'!P1022)&gt;=1,1,IF(SUM('Actual species'!P1022)="X",1,0))</f>
        <v>0</v>
      </c>
      <c r="N1022" s="2">
        <f>IF(SUM('Actual species'!Q1022)&gt;=1,1,IF(SUM('Actual species'!Q1022)="X",1,0))</f>
        <v>0</v>
      </c>
      <c r="O1022" s="2">
        <f>IF(SUM('Actual species'!R1022)&gt;=1,1,IF(SUM('Actual species'!R1022)="X",1,0))</f>
        <v>0</v>
      </c>
      <c r="P1022" s="2">
        <f>IF(SUM('Actual species'!S1022)&gt;=1,1,IF(SUM('Actual species'!S1022)="X",1,0))</f>
        <v>0</v>
      </c>
      <c r="Q1022" s="2">
        <f>IF(SUM('Actual species'!T1022)&gt;=1,1,IF(SUM('Actual species'!T1022)="X",1,0))</f>
        <v>0</v>
      </c>
      <c r="R1022" s="2">
        <f>IF(SUM('Actual species'!U1022)&gt;=1,1,IF(SUM('Actual species'!U1022)="X",1,0))</f>
        <v>0</v>
      </c>
    </row>
    <row r="1023" spans="1:18" x14ac:dyDescent="0.3">
      <c r="A1023" s="113" t="str">
        <f>'Actual species'!A1023</f>
        <v>Othius laeviusculus</v>
      </c>
      <c r="B1023" s="66">
        <f>IF(SUM('Actual species'!B1023:E1023)&gt;=1,1,IF(SUM('Actual species'!B1023:E1023)="X",1,0))</f>
        <v>1</v>
      </c>
      <c r="C1023" s="2">
        <f>IF(SUM('Actual species'!F1023)&gt;=1,1,IF(SUM('Actual species'!F1023)="X",1,0))</f>
        <v>0</v>
      </c>
      <c r="D1023" s="2">
        <f>IF(SUM('Actual species'!G1023)&gt;=1,1,IF(SUM('Actual species'!G1023)="X",1,0))</f>
        <v>0</v>
      </c>
      <c r="E1023" s="2">
        <f>IF(SUM('Actual species'!H1023)&gt;=1,1,IF(SUM('Actual species'!H1023)="X",1,0))</f>
        <v>1</v>
      </c>
      <c r="F1023" s="2">
        <f>IF(SUM('Actual species'!I1023)&gt;=1,1,IF(SUM('Actual species'!I1023)="X",1,0))</f>
        <v>1</v>
      </c>
      <c r="G1023" s="2">
        <f>IF(SUM('Actual species'!J1023)&gt;=1,1,IF(SUM('Actual species'!J1023)="X",1,0))</f>
        <v>1</v>
      </c>
      <c r="H1023" s="2">
        <f>IF(SUM('Actual species'!K1023)&gt;=1,1,IF(SUM('Actual species'!K1023)="X",1,0))</f>
        <v>1</v>
      </c>
      <c r="I1023" s="2">
        <f>IF(SUM('Actual species'!L1023)&gt;=1,1,IF(SUM('Actual species'!L1023)="X",1,0))</f>
        <v>0</v>
      </c>
      <c r="J1023" s="2">
        <f>IF(SUM('Actual species'!M1023)&gt;=1,1,IF(SUM('Actual species'!M1023)="X",1,0))</f>
        <v>0</v>
      </c>
      <c r="K1023" s="2">
        <f>IF(SUM('Actual species'!N1023)&gt;=1,1,IF(SUM('Actual species'!N1023)="X",1,0))</f>
        <v>1</v>
      </c>
      <c r="L1023" s="2">
        <f>IF(SUM('Actual species'!O1023)&gt;=1,1,IF(SUM('Actual species'!O1023)="X",1,0))</f>
        <v>1</v>
      </c>
      <c r="M1023" s="2">
        <f>IF(SUM('Actual species'!P1023)&gt;=1,1,IF(SUM('Actual species'!P1023)="X",1,0))</f>
        <v>0</v>
      </c>
      <c r="N1023" s="2">
        <f>IF(SUM('Actual species'!Q1023)&gt;=1,1,IF(SUM('Actual species'!Q1023)="X",1,0))</f>
        <v>1</v>
      </c>
      <c r="O1023" s="2">
        <f>IF(SUM('Actual species'!R1023)&gt;=1,1,IF(SUM('Actual species'!R1023)="X",1,0))</f>
        <v>0</v>
      </c>
      <c r="P1023" s="2">
        <f>IF(SUM('Actual species'!S1023)&gt;=1,1,IF(SUM('Actual species'!S1023)="X",1,0))</f>
        <v>0</v>
      </c>
      <c r="Q1023" s="2">
        <f>IF(SUM('Actual species'!T1023)&gt;=1,1,IF(SUM('Actual species'!T1023)="X",1,0))</f>
        <v>0</v>
      </c>
      <c r="R1023" s="2">
        <f>IF(SUM('Actual species'!U1023)&gt;=1,1,IF(SUM('Actual species'!U1023)="X",1,0))</f>
        <v>0</v>
      </c>
    </row>
    <row r="1024" spans="1:18" x14ac:dyDescent="0.3">
      <c r="A1024" s="113" t="str">
        <f>'Actual species'!A1024</f>
        <v>Othius lapidicola</v>
      </c>
      <c r="B1024" s="66">
        <f>IF(SUM('Actual species'!B1024:E1024)&gt;=1,1,IF(SUM('Actual species'!B1024:E1024)="X",1,0))</f>
        <v>0</v>
      </c>
      <c r="C1024" s="2">
        <f>IF(SUM('Actual species'!F1024)&gt;=1,1,IF(SUM('Actual species'!F1024)="X",1,0))</f>
        <v>1</v>
      </c>
      <c r="D1024" s="2">
        <f>IF(SUM('Actual species'!G1024)&gt;=1,1,IF(SUM('Actual species'!G1024)="X",1,0))</f>
        <v>1</v>
      </c>
      <c r="E1024" s="2">
        <f>IF(SUM('Actual species'!H1024)&gt;=1,1,IF(SUM('Actual species'!H1024)="X",1,0))</f>
        <v>1</v>
      </c>
      <c r="F1024" s="2">
        <f>IF(SUM('Actual species'!I1024)&gt;=1,1,IF(SUM('Actual species'!I1024)="X",1,0))</f>
        <v>1</v>
      </c>
      <c r="G1024" s="2">
        <f>IF(SUM('Actual species'!J1024)&gt;=1,1,IF(SUM('Actual species'!J1024)="X",1,0))</f>
        <v>1</v>
      </c>
      <c r="H1024" s="2">
        <f>IF(SUM('Actual species'!K1024)&gt;=1,1,IF(SUM('Actual species'!K1024)="X",1,0))</f>
        <v>1</v>
      </c>
      <c r="I1024" s="2">
        <f>IF(SUM('Actual species'!L1024)&gt;=1,1,IF(SUM('Actual species'!L1024)="X",1,0))</f>
        <v>1</v>
      </c>
      <c r="J1024" s="2">
        <f>IF(SUM('Actual species'!M1024)&gt;=1,1,IF(SUM('Actual species'!M1024)="X",1,0))</f>
        <v>1</v>
      </c>
      <c r="K1024" s="2">
        <f>IF(SUM('Actual species'!N1024)&gt;=1,1,IF(SUM('Actual species'!N1024)="X",1,0))</f>
        <v>1</v>
      </c>
      <c r="L1024" s="2">
        <f>IF(SUM('Actual species'!O1024)&gt;=1,1,IF(SUM('Actual species'!O1024)="X",1,0))</f>
        <v>1</v>
      </c>
      <c r="M1024" s="2">
        <f>IF(SUM('Actual species'!P1024)&gt;=1,1,IF(SUM('Actual species'!P1024)="X",1,0))</f>
        <v>1</v>
      </c>
      <c r="N1024" s="2">
        <f>IF(SUM('Actual species'!Q1024)&gt;=1,1,IF(SUM('Actual species'!Q1024)="X",1,0))</f>
        <v>0</v>
      </c>
      <c r="O1024" s="2">
        <f>IF(SUM('Actual species'!R1024)&gt;=1,1,IF(SUM('Actual species'!R1024)="X",1,0))</f>
        <v>0</v>
      </c>
      <c r="P1024" s="2">
        <f>IF(SUM('Actual species'!S1024)&gt;=1,1,IF(SUM('Actual species'!S1024)="X",1,0))</f>
        <v>1</v>
      </c>
      <c r="Q1024" s="2">
        <f>IF(SUM('Actual species'!T1024)&gt;=1,1,IF(SUM('Actual species'!T1024)="X",1,0))</f>
        <v>1</v>
      </c>
      <c r="R1024" s="2">
        <f>IF(SUM('Actual species'!U1024)&gt;=1,1,IF(SUM('Actual species'!U1024)="X",1,0))</f>
        <v>0</v>
      </c>
    </row>
    <row r="1025" spans="1:18" x14ac:dyDescent="0.3">
      <c r="A1025" s="113" t="str">
        <f>'Actual species'!A1025</f>
        <v>Othius punctulatus</v>
      </c>
      <c r="B1025" s="66">
        <f>IF(SUM('Actual species'!B1025:E1025)&gt;=1,1,IF(SUM('Actual species'!B1025:E1025)="X",1,0))</f>
        <v>0</v>
      </c>
      <c r="C1025" s="2">
        <f>IF(SUM('Actual species'!F1025)&gt;=1,1,IF(SUM('Actual species'!F1025)="X",1,0))</f>
        <v>0</v>
      </c>
      <c r="D1025" s="2">
        <f>IF(SUM('Actual species'!G1025)&gt;=1,1,IF(SUM('Actual species'!G1025)="X",1,0))</f>
        <v>0</v>
      </c>
      <c r="E1025" s="2">
        <f>IF(SUM('Actual species'!H1025)&gt;=1,1,IF(SUM('Actual species'!H1025)="X",1,0))</f>
        <v>0</v>
      </c>
      <c r="F1025" s="2">
        <f>IF(SUM('Actual species'!I1025)&gt;=1,1,IF(SUM('Actual species'!I1025)="X",1,0))</f>
        <v>0</v>
      </c>
      <c r="G1025" s="2">
        <f>IF(SUM('Actual species'!J1025)&gt;=1,1,IF(SUM('Actual species'!J1025)="X",1,0))</f>
        <v>0</v>
      </c>
      <c r="H1025" s="2">
        <f>IF(SUM('Actual species'!K1025)&gt;=1,1,IF(SUM('Actual species'!K1025)="X",1,0))</f>
        <v>0</v>
      </c>
      <c r="I1025" s="2">
        <f>IF(SUM('Actual species'!L1025)&gt;=1,1,IF(SUM('Actual species'!L1025)="X",1,0))</f>
        <v>0</v>
      </c>
      <c r="J1025" s="2">
        <f>IF(SUM('Actual species'!M1025)&gt;=1,1,IF(SUM('Actual species'!M1025)="X",1,0))</f>
        <v>0</v>
      </c>
      <c r="K1025" s="2">
        <f>IF(SUM('Actual species'!N1025)&gt;=1,1,IF(SUM('Actual species'!N1025)="X",1,0))</f>
        <v>0</v>
      </c>
      <c r="L1025" s="2">
        <f>IF(SUM('Actual species'!O1025)&gt;=1,1,IF(SUM('Actual species'!O1025)="X",1,0))</f>
        <v>0</v>
      </c>
      <c r="M1025" s="2">
        <f>IF(SUM('Actual species'!P1025)&gt;=1,1,IF(SUM('Actual species'!P1025)="X",1,0))</f>
        <v>0</v>
      </c>
      <c r="N1025" s="2">
        <f>IF(SUM('Actual species'!Q1025)&gt;=1,1,IF(SUM('Actual species'!Q1025)="X",1,0))</f>
        <v>0</v>
      </c>
      <c r="O1025" s="2">
        <f>IF(SUM('Actual species'!R1025)&gt;=1,1,IF(SUM('Actual species'!R1025)="X",1,0))</f>
        <v>0</v>
      </c>
      <c r="P1025" s="2">
        <f>IF(SUM('Actual species'!S1025)&gt;=1,1,IF(SUM('Actual species'!S1025)="X",1,0))</f>
        <v>1</v>
      </c>
      <c r="Q1025" s="2">
        <f>IF(SUM('Actual species'!T1025)&gt;=1,1,IF(SUM('Actual species'!T1025)="X",1,0))</f>
        <v>0</v>
      </c>
      <c r="R1025" s="2">
        <f>IF(SUM('Actual species'!U1025)&gt;=1,1,IF(SUM('Actual species'!U1025)="X",1,0))</f>
        <v>1</v>
      </c>
    </row>
    <row r="1026" spans="1:18" x14ac:dyDescent="0.3">
      <c r="A1026" s="113" t="str">
        <f>'Actual species'!A1026</f>
        <v>Phacophallus parumpunctatus</v>
      </c>
      <c r="B1026" s="66">
        <f>IF(SUM('Actual species'!B1026:E1026)&gt;=1,1,IF(SUM('Actual species'!B1026:E1026)="X",1,0))</f>
        <v>0</v>
      </c>
      <c r="C1026" s="2">
        <f>IF(SUM('Actual species'!F1026)&gt;=1,1,IF(SUM('Actual species'!F1026)="X",1,0))</f>
        <v>0</v>
      </c>
      <c r="D1026" s="2">
        <f>IF(SUM('Actual species'!G1026)&gt;=1,1,IF(SUM('Actual species'!G1026)="X",1,0))</f>
        <v>0</v>
      </c>
      <c r="E1026" s="2">
        <f>IF(SUM('Actual species'!H1026)&gt;=1,1,IF(SUM('Actual species'!H1026)="X",1,0))</f>
        <v>0</v>
      </c>
      <c r="F1026" s="2">
        <f>IF(SUM('Actual species'!I1026)&gt;=1,1,IF(SUM('Actual species'!I1026)="X",1,0))</f>
        <v>0</v>
      </c>
      <c r="G1026" s="2">
        <f>IF(SUM('Actual species'!J1026)&gt;=1,1,IF(SUM('Actual species'!J1026)="X",1,0))</f>
        <v>0</v>
      </c>
      <c r="H1026" s="2">
        <f>IF(SUM('Actual species'!K1026)&gt;=1,1,IF(SUM('Actual species'!K1026)="X",1,0))</f>
        <v>1</v>
      </c>
      <c r="I1026" s="2">
        <f>IF(SUM('Actual species'!L1026)&gt;=1,1,IF(SUM('Actual species'!L1026)="X",1,0))</f>
        <v>0</v>
      </c>
      <c r="J1026" s="2">
        <f>IF(SUM('Actual species'!M1026)&gt;=1,1,IF(SUM('Actual species'!M1026)="X",1,0))</f>
        <v>0</v>
      </c>
      <c r="K1026" s="2">
        <f>IF(SUM('Actual species'!N1026)&gt;=1,1,IF(SUM('Actual species'!N1026)="X",1,0))</f>
        <v>0</v>
      </c>
      <c r="L1026" s="2">
        <f>IF(SUM('Actual species'!O1026)&gt;=1,1,IF(SUM('Actual species'!O1026)="X",1,0))</f>
        <v>0</v>
      </c>
      <c r="M1026" s="2">
        <f>IF(SUM('Actual species'!P1026)&gt;=1,1,IF(SUM('Actual species'!P1026)="X",1,0))</f>
        <v>0</v>
      </c>
      <c r="N1026" s="2">
        <f>IF(SUM('Actual species'!Q1026)&gt;=1,1,IF(SUM('Actual species'!Q1026)="X",1,0))</f>
        <v>0</v>
      </c>
      <c r="O1026" s="2">
        <f>IF(SUM('Actual species'!R1026)&gt;=1,1,IF(SUM('Actual species'!R1026)="X",1,0))</f>
        <v>0</v>
      </c>
      <c r="P1026" s="2">
        <f>IF(SUM('Actual species'!S1026)&gt;=1,1,IF(SUM('Actual species'!S1026)="X",1,0))</f>
        <v>0</v>
      </c>
      <c r="Q1026" s="2">
        <f>IF(SUM('Actual species'!T1026)&gt;=1,1,IF(SUM('Actual species'!T1026)="X",1,0))</f>
        <v>0</v>
      </c>
      <c r="R1026" s="2">
        <f>IF(SUM('Actual species'!U1026)&gt;=1,1,IF(SUM('Actual species'!U1026)="X",1,0))</f>
        <v>0</v>
      </c>
    </row>
    <row r="1027" spans="1:18" x14ac:dyDescent="0.3">
      <c r="A1027" s="113" t="str">
        <f>'Actual species'!A1027</f>
        <v>Philonthus carbonarius</v>
      </c>
      <c r="B1027" s="66">
        <f>IF(SUM('Actual species'!B1027:E1027)&gt;=1,1,IF(SUM('Actual species'!B1027:E1027)="X",1,0))</f>
        <v>0</v>
      </c>
      <c r="C1027" s="2">
        <f>IF(SUM('Actual species'!F1027)&gt;=1,1,IF(SUM('Actual species'!F1027)="X",1,0))</f>
        <v>0</v>
      </c>
      <c r="D1027" s="2">
        <f>IF(SUM('Actual species'!G1027)&gt;=1,1,IF(SUM('Actual species'!G1027)="X",1,0))</f>
        <v>0</v>
      </c>
      <c r="E1027" s="2">
        <f>IF(SUM('Actual species'!H1027)&gt;=1,1,IF(SUM('Actual species'!H1027)="X",1,0))</f>
        <v>0</v>
      </c>
      <c r="F1027" s="2">
        <f>IF(SUM('Actual species'!I1027)&gt;=1,1,IF(SUM('Actual species'!I1027)="X",1,0))</f>
        <v>0</v>
      </c>
      <c r="G1027" s="2">
        <f>IF(SUM('Actual species'!J1027)&gt;=1,1,IF(SUM('Actual species'!J1027)="X",1,0))</f>
        <v>0</v>
      </c>
      <c r="H1027" s="2">
        <f>IF(SUM('Actual species'!K1027)&gt;=1,1,IF(SUM('Actual species'!K1027)="X",1,0))</f>
        <v>0</v>
      </c>
      <c r="I1027" s="2">
        <f>IF(SUM('Actual species'!L1027)&gt;=1,1,IF(SUM('Actual species'!L1027)="X",1,0))</f>
        <v>0</v>
      </c>
      <c r="J1027" s="2">
        <f>IF(SUM('Actual species'!M1027)&gt;=1,1,IF(SUM('Actual species'!M1027)="X",1,0))</f>
        <v>0</v>
      </c>
      <c r="K1027" s="2">
        <f>IF(SUM('Actual species'!N1027)&gt;=1,1,IF(SUM('Actual species'!N1027)="X",1,0))</f>
        <v>0</v>
      </c>
      <c r="L1027" s="2">
        <f>IF(SUM('Actual species'!O1027)&gt;=1,1,IF(SUM('Actual species'!O1027)="X",1,0))</f>
        <v>0</v>
      </c>
      <c r="M1027" s="2">
        <f>IF(SUM('Actual species'!P1027)&gt;=1,1,IF(SUM('Actual species'!P1027)="X",1,0))</f>
        <v>0</v>
      </c>
      <c r="N1027" s="2">
        <f>IF(SUM('Actual species'!Q1027)&gt;=1,1,IF(SUM('Actual species'!Q1027)="X",1,0))</f>
        <v>0</v>
      </c>
      <c r="O1027" s="2">
        <f>IF(SUM('Actual species'!R1027)&gt;=1,1,IF(SUM('Actual species'!R1027)="X",1,0))</f>
        <v>0</v>
      </c>
      <c r="P1027" s="2">
        <f>IF(SUM('Actual species'!S1027)&gt;=1,1,IF(SUM('Actual species'!S1027)="X",1,0))</f>
        <v>0</v>
      </c>
      <c r="Q1027" s="2">
        <f>IF(SUM('Actual species'!T1027)&gt;=1,1,IF(SUM('Actual species'!T1027)="X",1,0))</f>
        <v>0</v>
      </c>
      <c r="R1027" s="2">
        <f>IF(SUM('Actual species'!U1027)&gt;=1,1,IF(SUM('Actual species'!U1027)="X",1,0))</f>
        <v>1</v>
      </c>
    </row>
    <row r="1028" spans="1:18" x14ac:dyDescent="0.3">
      <c r="A1028" s="113" t="str">
        <f>'Actual species'!A1028</f>
        <v>Philonthus concinnus</v>
      </c>
      <c r="B1028" s="66">
        <f>IF(SUM('Actual species'!B1028:E1028)&gt;=1,1,IF(SUM('Actual species'!B1028:E1028)="X",1,0))</f>
        <v>0</v>
      </c>
      <c r="C1028" s="2">
        <f>IF(SUM('Actual species'!F1028)&gt;=1,1,IF(SUM('Actual species'!F1028)="X",1,0))</f>
        <v>0</v>
      </c>
      <c r="D1028" s="2">
        <f>IF(SUM('Actual species'!G1028)&gt;=1,1,IF(SUM('Actual species'!G1028)="X",1,0))</f>
        <v>0</v>
      </c>
      <c r="E1028" s="2">
        <f>IF(SUM('Actual species'!H1028)&gt;=1,1,IF(SUM('Actual species'!H1028)="X",1,0))</f>
        <v>1</v>
      </c>
      <c r="F1028" s="2">
        <f>IF(SUM('Actual species'!I1028)&gt;=1,1,IF(SUM('Actual species'!I1028)="X",1,0))</f>
        <v>0</v>
      </c>
      <c r="G1028" s="2">
        <f>IF(SUM('Actual species'!J1028)&gt;=1,1,IF(SUM('Actual species'!J1028)="X",1,0))</f>
        <v>1</v>
      </c>
      <c r="H1028" s="2">
        <f>IF(SUM('Actual species'!K1028)&gt;=1,1,IF(SUM('Actual species'!K1028)="X",1,0))</f>
        <v>1</v>
      </c>
      <c r="I1028" s="2">
        <f>IF(SUM('Actual species'!L1028)&gt;=1,1,IF(SUM('Actual species'!L1028)="X",1,0))</f>
        <v>0</v>
      </c>
      <c r="J1028" s="2">
        <f>IF(SUM('Actual species'!M1028)&gt;=1,1,IF(SUM('Actual species'!M1028)="X",1,0))</f>
        <v>0</v>
      </c>
      <c r="K1028" s="2">
        <f>IF(SUM('Actual species'!N1028)&gt;=1,1,IF(SUM('Actual species'!N1028)="X",1,0))</f>
        <v>0</v>
      </c>
      <c r="L1028" s="2">
        <f>IF(SUM('Actual species'!O1028)&gt;=1,1,IF(SUM('Actual species'!O1028)="X",1,0))</f>
        <v>0</v>
      </c>
      <c r="M1028" s="2">
        <f>IF(SUM('Actual species'!P1028)&gt;=1,1,IF(SUM('Actual species'!P1028)="X",1,0))</f>
        <v>0</v>
      </c>
      <c r="N1028" s="2">
        <f>IF(SUM('Actual species'!Q1028)&gt;=1,1,IF(SUM('Actual species'!Q1028)="X",1,0))</f>
        <v>0</v>
      </c>
      <c r="O1028" s="2">
        <f>IF(SUM('Actual species'!R1028)&gt;=1,1,IF(SUM('Actual species'!R1028)="X",1,0))</f>
        <v>0</v>
      </c>
      <c r="P1028" s="2">
        <f>IF(SUM('Actual species'!S1028)&gt;=1,1,IF(SUM('Actual species'!S1028)="X",1,0))</f>
        <v>0</v>
      </c>
      <c r="Q1028" s="2">
        <f>IF(SUM('Actual species'!T1028)&gt;=1,1,IF(SUM('Actual species'!T1028)="X",1,0))</f>
        <v>0</v>
      </c>
      <c r="R1028" s="2">
        <f>IF(SUM('Actual species'!U1028)&gt;=1,1,IF(SUM('Actual species'!U1028)="X",1,0))</f>
        <v>0</v>
      </c>
    </row>
    <row r="1029" spans="1:18" x14ac:dyDescent="0.3">
      <c r="A1029" s="113" t="str">
        <f>'Actual species'!A1029</f>
        <v>Philonthus corruscus</v>
      </c>
      <c r="B1029" s="66">
        <f>IF(SUM('Actual species'!B1029:E1029)&gt;=1,1,IF(SUM('Actual species'!B1029:E1029)="X",1,0))</f>
        <v>0</v>
      </c>
      <c r="C1029" s="2">
        <f>IF(SUM('Actual species'!F1029)&gt;=1,1,IF(SUM('Actual species'!F1029)="X",1,0))</f>
        <v>0</v>
      </c>
      <c r="D1029" s="2">
        <f>IF(SUM('Actual species'!G1029)&gt;=1,1,IF(SUM('Actual species'!G1029)="X",1,0))</f>
        <v>0</v>
      </c>
      <c r="E1029" s="2">
        <f>IF(SUM('Actual species'!H1029)&gt;=1,1,IF(SUM('Actual species'!H1029)="X",1,0))</f>
        <v>0</v>
      </c>
      <c r="F1029" s="2">
        <f>IF(SUM('Actual species'!I1029)&gt;=1,1,IF(SUM('Actual species'!I1029)="X",1,0))</f>
        <v>0</v>
      </c>
      <c r="G1029" s="2">
        <f>IF(SUM('Actual species'!J1029)&gt;=1,1,IF(SUM('Actual species'!J1029)="X",1,0))</f>
        <v>0</v>
      </c>
      <c r="H1029" s="2">
        <f>IF(SUM('Actual species'!K1029)&gt;=1,1,IF(SUM('Actual species'!K1029)="X",1,0))</f>
        <v>0</v>
      </c>
      <c r="I1029" s="2">
        <f>IF(SUM('Actual species'!L1029)&gt;=1,1,IF(SUM('Actual species'!L1029)="X",1,0))</f>
        <v>0</v>
      </c>
      <c r="J1029" s="2">
        <f>IF(SUM('Actual species'!M1029)&gt;=1,1,IF(SUM('Actual species'!M1029)="X",1,0))</f>
        <v>0</v>
      </c>
      <c r="K1029" s="2">
        <f>IF(SUM('Actual species'!N1029)&gt;=1,1,IF(SUM('Actual species'!N1029)="X",1,0))</f>
        <v>0</v>
      </c>
      <c r="L1029" s="2">
        <f>IF(SUM('Actual species'!O1029)&gt;=1,1,IF(SUM('Actual species'!O1029)="X",1,0))</f>
        <v>0</v>
      </c>
      <c r="M1029" s="2">
        <f>IF(SUM('Actual species'!P1029)&gt;=1,1,IF(SUM('Actual species'!P1029)="X",1,0))</f>
        <v>0</v>
      </c>
      <c r="N1029" s="2">
        <f>IF(SUM('Actual species'!Q1029)&gt;=1,1,IF(SUM('Actual species'!Q1029)="X",1,0))</f>
        <v>0</v>
      </c>
      <c r="O1029" s="2">
        <f>IF(SUM('Actual species'!R1029)&gt;=1,1,IF(SUM('Actual species'!R1029)="X",1,0))</f>
        <v>0</v>
      </c>
      <c r="P1029" s="2">
        <f>IF(SUM('Actual species'!S1029)&gt;=1,1,IF(SUM('Actual species'!S1029)="X",1,0))</f>
        <v>0</v>
      </c>
      <c r="Q1029" s="2">
        <f>IF(SUM('Actual species'!T1029)&gt;=1,1,IF(SUM('Actual species'!T1029)="X",1,0))</f>
        <v>0</v>
      </c>
      <c r="R1029" s="2">
        <f>IF(SUM('Actual species'!U1029)&gt;=1,1,IF(SUM('Actual species'!U1029)="X",1,0))</f>
        <v>0</v>
      </c>
    </row>
    <row r="1030" spans="1:18" x14ac:dyDescent="0.3">
      <c r="A1030" s="113" t="str">
        <f>'Actual species'!A1030</f>
        <v>Philonthus cruentatus</v>
      </c>
      <c r="B1030" s="66">
        <f>IF(SUM('Actual species'!B1030:E1030)&gt;=1,1,IF(SUM('Actual species'!B1030:E1030)="X",1,0))</f>
        <v>0</v>
      </c>
      <c r="C1030" s="2">
        <f>IF(SUM('Actual species'!F1030)&gt;=1,1,IF(SUM('Actual species'!F1030)="X",1,0))</f>
        <v>0</v>
      </c>
      <c r="D1030" s="2">
        <f>IF(SUM('Actual species'!G1030)&gt;=1,1,IF(SUM('Actual species'!G1030)="X",1,0))</f>
        <v>0</v>
      </c>
      <c r="E1030" s="2">
        <f>IF(SUM('Actual species'!H1030)&gt;=1,1,IF(SUM('Actual species'!H1030)="X",1,0))</f>
        <v>0</v>
      </c>
      <c r="F1030" s="2">
        <f>IF(SUM('Actual species'!I1030)&gt;=1,1,IF(SUM('Actual species'!I1030)="X",1,0))</f>
        <v>0</v>
      </c>
      <c r="G1030" s="2">
        <f>IF(SUM('Actual species'!J1030)&gt;=1,1,IF(SUM('Actual species'!J1030)="X",1,0))</f>
        <v>0</v>
      </c>
      <c r="H1030" s="2">
        <f>IF(SUM('Actual species'!K1030)&gt;=1,1,IF(SUM('Actual species'!K1030)="X",1,0))</f>
        <v>1</v>
      </c>
      <c r="I1030" s="2">
        <f>IF(SUM('Actual species'!L1030)&gt;=1,1,IF(SUM('Actual species'!L1030)="X",1,0))</f>
        <v>0</v>
      </c>
      <c r="J1030" s="2">
        <f>IF(SUM('Actual species'!M1030)&gt;=1,1,IF(SUM('Actual species'!M1030)="X",1,0))</f>
        <v>0</v>
      </c>
      <c r="K1030" s="2">
        <f>IF(SUM('Actual species'!N1030)&gt;=1,1,IF(SUM('Actual species'!N1030)="X",1,0))</f>
        <v>0</v>
      </c>
      <c r="L1030" s="2">
        <f>IF(SUM('Actual species'!O1030)&gt;=1,1,IF(SUM('Actual species'!O1030)="X",1,0))</f>
        <v>0</v>
      </c>
      <c r="M1030" s="2">
        <f>IF(SUM('Actual species'!P1030)&gt;=1,1,IF(SUM('Actual species'!P1030)="X",1,0))</f>
        <v>0</v>
      </c>
      <c r="N1030" s="2">
        <f>IF(SUM('Actual species'!Q1030)&gt;=1,1,IF(SUM('Actual species'!Q1030)="X",1,0))</f>
        <v>0</v>
      </c>
      <c r="O1030" s="2">
        <f>IF(SUM('Actual species'!R1030)&gt;=1,1,IF(SUM('Actual species'!R1030)="X",1,0))</f>
        <v>0</v>
      </c>
      <c r="P1030" s="2">
        <f>IF(SUM('Actual species'!S1030)&gt;=1,1,IF(SUM('Actual species'!S1030)="X",1,0))</f>
        <v>0</v>
      </c>
      <c r="Q1030" s="2">
        <f>IF(SUM('Actual species'!T1030)&gt;=1,1,IF(SUM('Actual species'!T1030)="X",1,0))</f>
        <v>0</v>
      </c>
      <c r="R1030" s="2">
        <f>IF(SUM('Actual species'!U1030)&gt;=1,1,IF(SUM('Actual species'!U1030)="X",1,0))</f>
        <v>0</v>
      </c>
    </row>
    <row r="1031" spans="1:18" x14ac:dyDescent="0.3">
      <c r="A1031" s="113" t="str">
        <f>'Actual species'!A1031</f>
        <v>Philonthus debilis</v>
      </c>
      <c r="B1031" s="66">
        <f>IF(SUM('Actual species'!B1031:E1031)&gt;=1,1,IF(SUM('Actual species'!B1031:E1031)="X",1,0))</f>
        <v>0</v>
      </c>
      <c r="C1031" s="2">
        <f>IF(SUM('Actual species'!F1031)&gt;=1,1,IF(SUM('Actual species'!F1031)="X",1,0))</f>
        <v>1</v>
      </c>
      <c r="D1031" s="2">
        <f>IF(SUM('Actual species'!G1031)&gt;=1,1,IF(SUM('Actual species'!G1031)="X",1,0))</f>
        <v>0</v>
      </c>
      <c r="E1031" s="2">
        <f>IF(SUM('Actual species'!H1031)&gt;=1,1,IF(SUM('Actual species'!H1031)="X",1,0))</f>
        <v>0</v>
      </c>
      <c r="F1031" s="2">
        <f>IF(SUM('Actual species'!I1031)&gt;=1,1,IF(SUM('Actual species'!I1031)="X",1,0))</f>
        <v>0</v>
      </c>
      <c r="G1031" s="2">
        <f>IF(SUM('Actual species'!J1031)&gt;=1,1,IF(SUM('Actual species'!J1031)="X",1,0))</f>
        <v>0</v>
      </c>
      <c r="H1031" s="2">
        <f>IF(SUM('Actual species'!K1031)&gt;=1,1,IF(SUM('Actual species'!K1031)="X",1,0))</f>
        <v>0</v>
      </c>
      <c r="I1031" s="2">
        <f>IF(SUM('Actual species'!L1031)&gt;=1,1,IF(SUM('Actual species'!L1031)="X",1,0))</f>
        <v>0</v>
      </c>
      <c r="J1031" s="2">
        <f>IF(SUM('Actual species'!M1031)&gt;=1,1,IF(SUM('Actual species'!M1031)="X",1,0))</f>
        <v>1</v>
      </c>
      <c r="K1031" s="2">
        <f>IF(SUM('Actual species'!N1031)&gt;=1,1,IF(SUM('Actual species'!N1031)="X",1,0))</f>
        <v>0</v>
      </c>
      <c r="L1031" s="2">
        <f>IF(SUM('Actual species'!O1031)&gt;=1,1,IF(SUM('Actual species'!O1031)="X",1,0))</f>
        <v>0</v>
      </c>
      <c r="M1031" s="2">
        <f>IF(SUM('Actual species'!P1031)&gt;=1,1,IF(SUM('Actual species'!P1031)="X",1,0))</f>
        <v>0</v>
      </c>
      <c r="N1031" s="2">
        <f>IF(SUM('Actual species'!Q1031)&gt;=1,1,IF(SUM('Actual species'!Q1031)="X",1,0))</f>
        <v>0</v>
      </c>
      <c r="O1031" s="2">
        <f>IF(SUM('Actual species'!R1031)&gt;=1,1,IF(SUM('Actual species'!R1031)="X",1,0))</f>
        <v>0</v>
      </c>
      <c r="P1031" s="2">
        <f>IF(SUM('Actual species'!S1031)&gt;=1,1,IF(SUM('Actual species'!S1031)="X",1,0))</f>
        <v>0</v>
      </c>
      <c r="Q1031" s="2">
        <f>IF(SUM('Actual species'!T1031)&gt;=1,1,IF(SUM('Actual species'!T1031)="X",1,0))</f>
        <v>0</v>
      </c>
      <c r="R1031" s="2">
        <f>IF(SUM('Actual species'!U1031)&gt;=1,1,IF(SUM('Actual species'!U1031)="X",1,0))</f>
        <v>0</v>
      </c>
    </row>
    <row r="1032" spans="1:18" x14ac:dyDescent="0.3">
      <c r="A1032" s="113" t="str">
        <f>'Actual species'!A1032</f>
        <v>Philonthus decorus</v>
      </c>
      <c r="B1032" s="66">
        <f>IF(SUM('Actual species'!B1032:E1032)&gt;=1,1,IF(SUM('Actual species'!B1032:E1032)="X",1,0))</f>
        <v>0</v>
      </c>
      <c r="C1032" s="2">
        <f>IF(SUM('Actual species'!F1032)&gt;=1,1,IF(SUM('Actual species'!F1032)="X",1,0))</f>
        <v>0</v>
      </c>
      <c r="D1032" s="2">
        <f>IF(SUM('Actual species'!G1032)&gt;=1,1,IF(SUM('Actual species'!G1032)="X",1,0))</f>
        <v>0</v>
      </c>
      <c r="E1032" s="2">
        <f>IF(SUM('Actual species'!H1032)&gt;=1,1,IF(SUM('Actual species'!H1032)="X",1,0))</f>
        <v>0</v>
      </c>
      <c r="F1032" s="2">
        <f>IF(SUM('Actual species'!I1032)&gt;=1,1,IF(SUM('Actual species'!I1032)="X",1,0))</f>
        <v>0</v>
      </c>
      <c r="G1032" s="2">
        <f>IF(SUM('Actual species'!J1032)&gt;=1,1,IF(SUM('Actual species'!J1032)="X",1,0))</f>
        <v>0</v>
      </c>
      <c r="H1032" s="2">
        <f>IF(SUM('Actual species'!K1032)&gt;=1,1,IF(SUM('Actual species'!K1032)="X",1,0))</f>
        <v>0</v>
      </c>
      <c r="I1032" s="2">
        <f>IF(SUM('Actual species'!L1032)&gt;=1,1,IF(SUM('Actual species'!L1032)="X",1,0))</f>
        <v>0</v>
      </c>
      <c r="J1032" s="2">
        <f>IF(SUM('Actual species'!M1032)&gt;=1,1,IF(SUM('Actual species'!M1032)="X",1,0))</f>
        <v>0</v>
      </c>
      <c r="K1032" s="2">
        <f>IF(SUM('Actual species'!N1032)&gt;=1,1,IF(SUM('Actual species'!N1032)="X",1,0))</f>
        <v>0</v>
      </c>
      <c r="L1032" s="2">
        <f>IF(SUM('Actual species'!O1032)&gt;=1,1,IF(SUM('Actual species'!O1032)="X",1,0))</f>
        <v>0</v>
      </c>
      <c r="M1032" s="2">
        <f>IF(SUM('Actual species'!P1032)&gt;=1,1,IF(SUM('Actual species'!P1032)="X",1,0))</f>
        <v>0</v>
      </c>
      <c r="N1032" s="2">
        <f>IF(SUM('Actual species'!Q1032)&gt;=1,1,IF(SUM('Actual species'!Q1032)="X",1,0))</f>
        <v>0</v>
      </c>
      <c r="O1032" s="2">
        <f>IF(SUM('Actual species'!R1032)&gt;=1,1,IF(SUM('Actual species'!R1032)="X",1,0))</f>
        <v>0</v>
      </c>
      <c r="P1032" s="2">
        <f>IF(SUM('Actual species'!S1032)&gt;=1,1,IF(SUM('Actual species'!S1032)="X",1,0))</f>
        <v>1</v>
      </c>
      <c r="Q1032" s="2">
        <f>IF(SUM('Actual species'!T1032)&gt;=1,1,IF(SUM('Actual species'!T1032)="X",1,0))</f>
        <v>0</v>
      </c>
      <c r="R1032" s="2">
        <f>IF(SUM('Actual species'!U1032)&gt;=1,1,IF(SUM('Actual species'!U1032)="X",1,0))</f>
        <v>0</v>
      </c>
    </row>
    <row r="1033" spans="1:18" x14ac:dyDescent="0.3">
      <c r="A1033" s="113" t="str">
        <f>'Actual species'!A1033</f>
        <v>Philonthus discoideus</v>
      </c>
      <c r="B1033" s="66">
        <f>IF(SUM('Actual species'!B1033:E1033)&gt;=1,1,IF(SUM('Actual species'!B1033:E1033)="X",1,0))</f>
        <v>1</v>
      </c>
      <c r="C1033" s="2">
        <f>IF(SUM('Actual species'!F1033)&gt;=1,1,IF(SUM('Actual species'!F1033)="X",1,0))</f>
        <v>0</v>
      </c>
      <c r="D1033" s="2">
        <f>IF(SUM('Actual species'!G1033)&gt;=1,1,IF(SUM('Actual species'!G1033)="X",1,0))</f>
        <v>0</v>
      </c>
      <c r="E1033" s="2">
        <f>IF(SUM('Actual species'!H1033)&gt;=1,1,IF(SUM('Actual species'!H1033)="X",1,0))</f>
        <v>0</v>
      </c>
      <c r="F1033" s="2">
        <f>IF(SUM('Actual species'!I1033)&gt;=1,1,IF(SUM('Actual species'!I1033)="X",1,0))</f>
        <v>0</v>
      </c>
      <c r="G1033" s="2">
        <f>IF(SUM('Actual species'!J1033)&gt;=1,1,IF(SUM('Actual species'!J1033)="X",1,0))</f>
        <v>0</v>
      </c>
      <c r="H1033" s="2">
        <f>IF(SUM('Actual species'!K1033)&gt;=1,1,IF(SUM('Actual species'!K1033)="X",1,0))</f>
        <v>0</v>
      </c>
      <c r="I1033" s="2">
        <f>IF(SUM('Actual species'!L1033)&gt;=1,1,IF(SUM('Actual species'!L1033)="X",1,0))</f>
        <v>0</v>
      </c>
      <c r="J1033" s="2">
        <f>IF(SUM('Actual species'!M1033)&gt;=1,1,IF(SUM('Actual species'!M1033)="X",1,0))</f>
        <v>1</v>
      </c>
      <c r="K1033" s="2">
        <f>IF(SUM('Actual species'!N1033)&gt;=1,1,IF(SUM('Actual species'!N1033)="X",1,0))</f>
        <v>0</v>
      </c>
      <c r="L1033" s="2">
        <f>IF(SUM('Actual species'!O1033)&gt;=1,1,IF(SUM('Actual species'!O1033)="X",1,0))</f>
        <v>0</v>
      </c>
      <c r="M1033" s="2">
        <f>IF(SUM('Actual species'!P1033)&gt;=1,1,IF(SUM('Actual species'!P1033)="X",1,0))</f>
        <v>0</v>
      </c>
      <c r="N1033" s="2">
        <f>IF(SUM('Actual species'!Q1033)&gt;=1,1,IF(SUM('Actual species'!Q1033)="X",1,0))</f>
        <v>0</v>
      </c>
      <c r="O1033" s="2">
        <f>IF(SUM('Actual species'!R1033)&gt;=1,1,IF(SUM('Actual species'!R1033)="X",1,0))</f>
        <v>0</v>
      </c>
      <c r="P1033" s="2">
        <f>IF(SUM('Actual species'!S1033)&gt;=1,1,IF(SUM('Actual species'!S1033)="X",1,0))</f>
        <v>0</v>
      </c>
      <c r="Q1033" s="2">
        <f>IF(SUM('Actual species'!T1033)&gt;=1,1,IF(SUM('Actual species'!T1033)="X",1,0))</f>
        <v>0</v>
      </c>
      <c r="R1033" s="2">
        <f>IF(SUM('Actual species'!U1033)&gt;=1,1,IF(SUM('Actual species'!U1033)="X",1,0))</f>
        <v>0</v>
      </c>
    </row>
    <row r="1034" spans="1:18" x14ac:dyDescent="0.3">
      <c r="A1034" s="113" t="str">
        <f>'Actual species'!A1034</f>
        <v>Philonthus diversiceps</v>
      </c>
      <c r="B1034" s="66">
        <f>IF(SUM('Actual species'!B1034:E1034)&gt;=1,1,IF(SUM('Actual species'!B1034:E1034)="X",1,0))</f>
        <v>1</v>
      </c>
      <c r="C1034" s="2">
        <f>IF(SUM('Actual species'!F1034)&gt;=1,1,IF(SUM('Actual species'!F1034)="X",1,0))</f>
        <v>0</v>
      </c>
      <c r="D1034" s="2">
        <f>IF(SUM('Actual species'!G1034)&gt;=1,1,IF(SUM('Actual species'!G1034)="X",1,0))</f>
        <v>0</v>
      </c>
      <c r="E1034" s="2">
        <f>IF(SUM('Actual species'!H1034)&gt;=1,1,IF(SUM('Actual species'!H1034)="X",1,0))</f>
        <v>0</v>
      </c>
      <c r="F1034" s="2">
        <f>IF(SUM('Actual species'!I1034)&gt;=1,1,IF(SUM('Actual species'!I1034)="X",1,0))</f>
        <v>0</v>
      </c>
      <c r="G1034" s="2">
        <f>IF(SUM('Actual species'!J1034)&gt;=1,1,IF(SUM('Actual species'!J1034)="X",1,0))</f>
        <v>0</v>
      </c>
      <c r="H1034" s="2">
        <f>IF(SUM('Actual species'!K1034)&gt;=1,1,IF(SUM('Actual species'!K1034)="X",1,0))</f>
        <v>0</v>
      </c>
      <c r="I1034" s="2">
        <f>IF(SUM('Actual species'!L1034)&gt;=1,1,IF(SUM('Actual species'!L1034)="X",1,0))</f>
        <v>0</v>
      </c>
      <c r="J1034" s="2">
        <f>IF(SUM('Actual species'!M1034)&gt;=1,1,IF(SUM('Actual species'!M1034)="X",1,0))</f>
        <v>0</v>
      </c>
      <c r="K1034" s="2">
        <f>IF(SUM('Actual species'!N1034)&gt;=1,1,IF(SUM('Actual species'!N1034)="X",1,0))</f>
        <v>0</v>
      </c>
      <c r="L1034" s="2">
        <f>IF(SUM('Actual species'!O1034)&gt;=1,1,IF(SUM('Actual species'!O1034)="X",1,0))</f>
        <v>0</v>
      </c>
      <c r="M1034" s="2">
        <f>IF(SUM('Actual species'!P1034)&gt;=1,1,IF(SUM('Actual species'!P1034)="X",1,0))</f>
        <v>0</v>
      </c>
      <c r="N1034" s="2">
        <f>IF(SUM('Actual species'!Q1034)&gt;=1,1,IF(SUM('Actual species'!Q1034)="X",1,0))</f>
        <v>0</v>
      </c>
      <c r="O1034" s="2">
        <f>IF(SUM('Actual species'!R1034)&gt;=1,1,IF(SUM('Actual species'!R1034)="X",1,0))</f>
        <v>0</v>
      </c>
      <c r="P1034" s="2">
        <f>IF(SUM('Actual species'!S1034)&gt;=1,1,IF(SUM('Actual species'!S1034)="X",1,0))</f>
        <v>0</v>
      </c>
      <c r="Q1034" s="2">
        <f>IF(SUM('Actual species'!T1034)&gt;=1,1,IF(SUM('Actual species'!T1034)="X",1,0))</f>
        <v>0</v>
      </c>
      <c r="R1034" s="2">
        <f>IF(SUM('Actual species'!U1034)&gt;=1,1,IF(SUM('Actual species'!U1034)="X",1,0))</f>
        <v>0</v>
      </c>
    </row>
    <row r="1035" spans="1:18" x14ac:dyDescent="0.3">
      <c r="A1035" s="113" t="str">
        <f>'Actual species'!A1035</f>
        <v>Philonthus ebeninus</v>
      </c>
      <c r="B1035" s="66">
        <f>IF(SUM('Actual species'!B1035:E1035)&gt;=1,1,IF(SUM('Actual species'!B1035:E1035)="X",1,0))</f>
        <v>0</v>
      </c>
      <c r="C1035" s="2">
        <f>IF(SUM('Actual species'!F1035)&gt;=1,1,IF(SUM('Actual species'!F1035)="X",1,0))</f>
        <v>0</v>
      </c>
      <c r="D1035" s="2">
        <f>IF(SUM('Actual species'!G1035)&gt;=1,1,IF(SUM('Actual species'!G1035)="X",1,0))</f>
        <v>0</v>
      </c>
      <c r="E1035" s="2">
        <f>IF(SUM('Actual species'!H1035)&gt;=1,1,IF(SUM('Actual species'!H1035)="X",1,0))</f>
        <v>0</v>
      </c>
      <c r="F1035" s="2">
        <f>IF(SUM('Actual species'!I1035)&gt;=1,1,IF(SUM('Actual species'!I1035)="X",1,0))</f>
        <v>0</v>
      </c>
      <c r="G1035" s="2">
        <f>IF(SUM('Actual species'!J1035)&gt;=1,1,IF(SUM('Actual species'!J1035)="X",1,0))</f>
        <v>0</v>
      </c>
      <c r="H1035" s="2">
        <f>IF(SUM('Actual species'!K1035)&gt;=1,1,IF(SUM('Actual species'!K1035)="X",1,0))</f>
        <v>1</v>
      </c>
      <c r="I1035" s="2">
        <f>IF(SUM('Actual species'!L1035)&gt;=1,1,IF(SUM('Actual species'!L1035)="X",1,0))</f>
        <v>0</v>
      </c>
      <c r="J1035" s="2">
        <f>IF(SUM('Actual species'!M1035)&gt;=1,1,IF(SUM('Actual species'!M1035)="X",1,0))</f>
        <v>0</v>
      </c>
      <c r="K1035" s="2">
        <f>IF(SUM('Actual species'!N1035)&gt;=1,1,IF(SUM('Actual species'!N1035)="X",1,0))</f>
        <v>0</v>
      </c>
      <c r="L1035" s="2">
        <f>IF(SUM('Actual species'!O1035)&gt;=1,1,IF(SUM('Actual species'!O1035)="X",1,0))</f>
        <v>0</v>
      </c>
      <c r="M1035" s="2">
        <f>IF(SUM('Actual species'!P1035)&gt;=1,1,IF(SUM('Actual species'!P1035)="X",1,0))</f>
        <v>0</v>
      </c>
      <c r="N1035" s="2">
        <f>IF(SUM('Actual species'!Q1035)&gt;=1,1,IF(SUM('Actual species'!Q1035)="X",1,0))</f>
        <v>0</v>
      </c>
      <c r="O1035" s="2">
        <f>IF(SUM('Actual species'!R1035)&gt;=1,1,IF(SUM('Actual species'!R1035)="X",1,0))</f>
        <v>0</v>
      </c>
      <c r="P1035" s="2">
        <f>IF(SUM('Actual species'!S1035)&gt;=1,1,IF(SUM('Actual species'!S1035)="X",1,0))</f>
        <v>0</v>
      </c>
      <c r="Q1035" s="2">
        <f>IF(SUM('Actual species'!T1035)&gt;=1,1,IF(SUM('Actual species'!T1035)="X",1,0))</f>
        <v>0</v>
      </c>
      <c r="R1035" s="2">
        <f>IF(SUM('Actual species'!U1035)&gt;=1,1,IF(SUM('Actual species'!U1035)="X",1,0))</f>
        <v>0</v>
      </c>
    </row>
    <row r="1036" spans="1:18" x14ac:dyDescent="0.3">
      <c r="A1036" s="113" t="str">
        <f>'Actual species'!A1036</f>
        <v>Philonthus fumarius</v>
      </c>
      <c r="B1036" s="66">
        <f>IF(SUM('Actual species'!B1036:E1036)&gt;=1,1,IF(SUM('Actual species'!B1036:E1036)="X",1,0))</f>
        <v>0</v>
      </c>
      <c r="C1036" s="2">
        <f>IF(SUM('Actual species'!F1036)&gt;=1,1,IF(SUM('Actual species'!F1036)="X",1,0))</f>
        <v>0</v>
      </c>
      <c r="D1036" s="2">
        <f>IF(SUM('Actual species'!G1036)&gt;=1,1,IF(SUM('Actual species'!G1036)="X",1,0))</f>
        <v>0</v>
      </c>
      <c r="E1036" s="2">
        <f>IF(SUM('Actual species'!H1036)&gt;=1,1,IF(SUM('Actual species'!H1036)="X",1,0))</f>
        <v>0</v>
      </c>
      <c r="F1036" s="2">
        <f>IF(SUM('Actual species'!I1036)&gt;=1,1,IF(SUM('Actual species'!I1036)="X",1,0))</f>
        <v>0</v>
      </c>
      <c r="G1036" s="2">
        <f>IF(SUM('Actual species'!J1036)&gt;=1,1,IF(SUM('Actual species'!J1036)="X",1,0))</f>
        <v>0</v>
      </c>
      <c r="H1036" s="2">
        <f>IF(SUM('Actual species'!K1036)&gt;=1,1,IF(SUM('Actual species'!K1036)="X",1,0))</f>
        <v>0</v>
      </c>
      <c r="I1036" s="2">
        <f>IF(SUM('Actual species'!L1036)&gt;=1,1,IF(SUM('Actual species'!L1036)="X",1,0))</f>
        <v>0</v>
      </c>
      <c r="J1036" s="2">
        <f>IF(SUM('Actual species'!M1036)&gt;=1,1,IF(SUM('Actual species'!M1036)="X",1,0))</f>
        <v>0</v>
      </c>
      <c r="K1036" s="2">
        <f>IF(SUM('Actual species'!N1036)&gt;=1,1,IF(SUM('Actual species'!N1036)="X",1,0))</f>
        <v>0</v>
      </c>
      <c r="L1036" s="2">
        <f>IF(SUM('Actual species'!O1036)&gt;=1,1,IF(SUM('Actual species'!O1036)="X",1,0))</f>
        <v>0</v>
      </c>
      <c r="M1036" s="2">
        <f>IF(SUM('Actual species'!P1036)&gt;=1,1,IF(SUM('Actual species'!P1036)="X",1,0))</f>
        <v>0</v>
      </c>
      <c r="N1036" s="2">
        <f>IF(SUM('Actual species'!Q1036)&gt;=1,1,IF(SUM('Actual species'!Q1036)="X",1,0))</f>
        <v>1</v>
      </c>
      <c r="O1036" s="2">
        <f>IF(SUM('Actual species'!R1036)&gt;=1,1,IF(SUM('Actual species'!R1036)="X",1,0))</f>
        <v>0</v>
      </c>
      <c r="P1036" s="2">
        <f>IF(SUM('Actual species'!S1036)&gt;=1,1,IF(SUM('Actual species'!S1036)="X",1,0))</f>
        <v>0</v>
      </c>
      <c r="Q1036" s="2">
        <f>IF(SUM('Actual species'!T1036)&gt;=1,1,IF(SUM('Actual species'!T1036)="X",1,0))</f>
        <v>0</v>
      </c>
      <c r="R1036" s="2">
        <f>IF(SUM('Actual species'!U1036)&gt;=1,1,IF(SUM('Actual species'!U1036)="X",1,0))</f>
        <v>0</v>
      </c>
    </row>
    <row r="1037" spans="1:18" x14ac:dyDescent="0.3">
      <c r="A1037" s="113" t="str">
        <f>'Actual species'!A1037</f>
        <v>Philonthus heterodoxus</v>
      </c>
      <c r="B1037" s="66">
        <f>IF(SUM('Actual species'!B1037:E1037)&gt;=1,1,IF(SUM('Actual species'!B1037:E1037)="X",1,0))</f>
        <v>0</v>
      </c>
      <c r="C1037" s="2">
        <f>IF(SUM('Actual species'!F1037)&gt;=1,1,IF(SUM('Actual species'!F1037)="X",1,0))</f>
        <v>0</v>
      </c>
      <c r="D1037" s="2">
        <f>IF(SUM('Actual species'!G1037)&gt;=1,1,IF(SUM('Actual species'!G1037)="X",1,0))</f>
        <v>0</v>
      </c>
      <c r="E1037" s="2">
        <f>IF(SUM('Actual species'!H1037)&gt;=1,1,IF(SUM('Actual species'!H1037)="X",1,0))</f>
        <v>0</v>
      </c>
      <c r="F1037" s="2">
        <f>IF(SUM('Actual species'!I1037)&gt;=1,1,IF(SUM('Actual species'!I1037)="X",1,0))</f>
        <v>0</v>
      </c>
      <c r="G1037" s="2">
        <f>IF(SUM('Actual species'!J1037)&gt;=1,1,IF(SUM('Actual species'!J1037)="X",1,0))</f>
        <v>0</v>
      </c>
      <c r="H1037" s="2">
        <f>IF(SUM('Actual species'!K1037)&gt;=1,1,IF(SUM('Actual species'!K1037)="X",1,0))</f>
        <v>0</v>
      </c>
      <c r="I1037" s="2">
        <f>IF(SUM('Actual species'!L1037)&gt;=1,1,IF(SUM('Actual species'!L1037)="X",1,0))</f>
        <v>0</v>
      </c>
      <c r="J1037" s="2">
        <f>IF(SUM('Actual species'!M1037)&gt;=1,1,IF(SUM('Actual species'!M1037)="X",1,0))</f>
        <v>0</v>
      </c>
      <c r="K1037" s="2">
        <f>IF(SUM('Actual species'!N1037)&gt;=1,1,IF(SUM('Actual species'!N1037)="X",1,0))</f>
        <v>0</v>
      </c>
      <c r="L1037" s="2">
        <f>IF(SUM('Actual species'!O1037)&gt;=1,1,IF(SUM('Actual species'!O1037)="X",1,0))</f>
        <v>0</v>
      </c>
      <c r="M1037" s="2">
        <f>IF(SUM('Actual species'!P1037)&gt;=1,1,IF(SUM('Actual species'!P1037)="X",1,0))</f>
        <v>0</v>
      </c>
      <c r="N1037" s="2">
        <f>IF(SUM('Actual species'!Q1037)&gt;=1,1,IF(SUM('Actual species'!Q1037)="X",1,0))</f>
        <v>0</v>
      </c>
      <c r="O1037" s="2">
        <f>IF(SUM('Actual species'!R1037)&gt;=1,1,IF(SUM('Actual species'!R1037)="X",1,0))</f>
        <v>0</v>
      </c>
      <c r="P1037" s="2">
        <f>IF(SUM('Actual species'!S1037)&gt;=1,1,IF(SUM('Actual species'!S1037)="X",1,0))</f>
        <v>0</v>
      </c>
      <c r="Q1037" s="2">
        <f>IF(SUM('Actual species'!T1037)&gt;=1,1,IF(SUM('Actual species'!T1037)="X",1,0))</f>
        <v>0</v>
      </c>
      <c r="R1037" s="2">
        <f>IF(SUM('Actual species'!U1037)&gt;=1,1,IF(SUM('Actual species'!U1037)="X",1,0))</f>
        <v>0</v>
      </c>
    </row>
    <row r="1038" spans="1:18" x14ac:dyDescent="0.3">
      <c r="A1038" s="113" t="str">
        <f>'Actual species'!A1038</f>
        <v>Philonthus intermedius</v>
      </c>
      <c r="B1038" s="66">
        <f>IF(SUM('Actual species'!B1038:E1038)&gt;=1,1,IF(SUM('Actual species'!B1038:E1038)="X",1,0))</f>
        <v>1</v>
      </c>
      <c r="C1038" s="2">
        <f>IF(SUM('Actual species'!F1038)&gt;=1,1,IF(SUM('Actual species'!F1038)="X",1,0))</f>
        <v>0</v>
      </c>
      <c r="D1038" s="2">
        <f>IF(SUM('Actual species'!G1038)&gt;=1,1,IF(SUM('Actual species'!G1038)="X",1,0))</f>
        <v>0</v>
      </c>
      <c r="E1038" s="2">
        <f>IF(SUM('Actual species'!H1038)&gt;=1,1,IF(SUM('Actual species'!H1038)="X",1,0))</f>
        <v>0</v>
      </c>
      <c r="F1038" s="2">
        <f>IF(SUM('Actual species'!I1038)&gt;=1,1,IF(SUM('Actual species'!I1038)="X",1,0))</f>
        <v>0</v>
      </c>
      <c r="G1038" s="2">
        <f>IF(SUM('Actual species'!J1038)&gt;=1,1,IF(SUM('Actual species'!J1038)="X",1,0))</f>
        <v>1</v>
      </c>
      <c r="H1038" s="2">
        <f>IF(SUM('Actual species'!K1038)&gt;=1,1,IF(SUM('Actual species'!K1038)="X",1,0))</f>
        <v>0</v>
      </c>
      <c r="I1038" s="2">
        <f>IF(SUM('Actual species'!L1038)&gt;=1,1,IF(SUM('Actual species'!L1038)="X",1,0))</f>
        <v>0</v>
      </c>
      <c r="J1038" s="2">
        <f>IF(SUM('Actual species'!M1038)&gt;=1,1,IF(SUM('Actual species'!M1038)="X",1,0))</f>
        <v>1</v>
      </c>
      <c r="K1038" s="2">
        <f>IF(SUM('Actual species'!N1038)&gt;=1,1,IF(SUM('Actual species'!N1038)="X",1,0))</f>
        <v>0</v>
      </c>
      <c r="L1038" s="2">
        <f>IF(SUM('Actual species'!O1038)&gt;=1,1,IF(SUM('Actual species'!O1038)="X",1,0))</f>
        <v>0</v>
      </c>
      <c r="M1038" s="2">
        <f>IF(SUM('Actual species'!P1038)&gt;=1,1,IF(SUM('Actual species'!P1038)="X",1,0))</f>
        <v>0</v>
      </c>
      <c r="N1038" s="2">
        <f>IF(SUM('Actual species'!Q1038)&gt;=1,1,IF(SUM('Actual species'!Q1038)="X",1,0))</f>
        <v>0</v>
      </c>
      <c r="O1038" s="2">
        <f>IF(SUM('Actual species'!R1038)&gt;=1,1,IF(SUM('Actual species'!R1038)="X",1,0))</f>
        <v>0</v>
      </c>
      <c r="P1038" s="2">
        <f>IF(SUM('Actual species'!S1038)&gt;=1,1,IF(SUM('Actual species'!S1038)="X",1,0))</f>
        <v>0</v>
      </c>
      <c r="Q1038" s="2">
        <f>IF(SUM('Actual species'!T1038)&gt;=1,1,IF(SUM('Actual species'!T1038)="X",1,0))</f>
        <v>0</v>
      </c>
      <c r="R1038" s="2">
        <f>IF(SUM('Actual species'!U1038)&gt;=1,1,IF(SUM('Actual species'!U1038)="X",1,0))</f>
        <v>0</v>
      </c>
    </row>
    <row r="1039" spans="1:18" x14ac:dyDescent="0.3">
      <c r="A1039" s="113" t="str">
        <f>'Actual species'!A1039</f>
        <v>Philonthus juvenilis</v>
      </c>
      <c r="B1039" s="66">
        <f>IF(SUM('Actual species'!B1039:E1039)&gt;=1,1,IF(SUM('Actual species'!B1039:E1039)="X",1,0))</f>
        <v>0</v>
      </c>
      <c r="C1039" s="2">
        <f>IF(SUM('Actual species'!F1039)&gt;=1,1,IF(SUM('Actual species'!F1039)="X",1,0))</f>
        <v>0</v>
      </c>
      <c r="D1039" s="2">
        <f>IF(SUM('Actual species'!G1039)&gt;=1,1,IF(SUM('Actual species'!G1039)="X",1,0))</f>
        <v>1</v>
      </c>
      <c r="E1039" s="2">
        <f>IF(SUM('Actual species'!H1039)&gt;=1,1,IF(SUM('Actual species'!H1039)="X",1,0))</f>
        <v>0</v>
      </c>
      <c r="F1039" s="2">
        <f>IF(SUM('Actual species'!I1039)&gt;=1,1,IF(SUM('Actual species'!I1039)="X",1,0))</f>
        <v>0</v>
      </c>
      <c r="G1039" s="2">
        <f>IF(SUM('Actual species'!J1039)&gt;=1,1,IF(SUM('Actual species'!J1039)="X",1,0))</f>
        <v>0</v>
      </c>
      <c r="H1039" s="2">
        <f>IF(SUM('Actual species'!K1039)&gt;=1,1,IF(SUM('Actual species'!K1039)="X",1,0))</f>
        <v>0</v>
      </c>
      <c r="I1039" s="2">
        <f>IF(SUM('Actual species'!L1039)&gt;=1,1,IF(SUM('Actual species'!L1039)="X",1,0))</f>
        <v>0</v>
      </c>
      <c r="J1039" s="2">
        <f>IF(SUM('Actual species'!M1039)&gt;=1,1,IF(SUM('Actual species'!M1039)="X",1,0))</f>
        <v>0</v>
      </c>
      <c r="K1039" s="2">
        <f>IF(SUM('Actual species'!N1039)&gt;=1,1,IF(SUM('Actual species'!N1039)="X",1,0))</f>
        <v>0</v>
      </c>
      <c r="L1039" s="2">
        <f>IF(SUM('Actual species'!O1039)&gt;=1,1,IF(SUM('Actual species'!O1039)="X",1,0))</f>
        <v>0</v>
      </c>
      <c r="M1039" s="2">
        <f>IF(SUM('Actual species'!P1039)&gt;=1,1,IF(SUM('Actual species'!P1039)="X",1,0))</f>
        <v>0</v>
      </c>
      <c r="N1039" s="2">
        <f>IF(SUM('Actual species'!Q1039)&gt;=1,1,IF(SUM('Actual species'!Q1039)="X",1,0))</f>
        <v>0</v>
      </c>
      <c r="O1039" s="2">
        <f>IF(SUM('Actual species'!R1039)&gt;=1,1,IF(SUM('Actual species'!R1039)="X",1,0))</f>
        <v>0</v>
      </c>
      <c r="P1039" s="2">
        <f>IF(SUM('Actual species'!S1039)&gt;=1,1,IF(SUM('Actual species'!S1039)="X",1,0))</f>
        <v>0</v>
      </c>
      <c r="Q1039" s="2">
        <f>IF(SUM('Actual species'!T1039)&gt;=1,1,IF(SUM('Actual species'!T1039)="X",1,0))</f>
        <v>0</v>
      </c>
      <c r="R1039" s="2">
        <f>IF(SUM('Actual species'!U1039)&gt;=1,1,IF(SUM('Actual species'!U1039)="X",1,0))</f>
        <v>0</v>
      </c>
    </row>
    <row r="1040" spans="1:18" x14ac:dyDescent="0.3">
      <c r="A1040" s="113" t="str">
        <f>'Actual species'!A1040</f>
        <v>Philonthus mannerheimi</v>
      </c>
      <c r="B1040" s="66">
        <f>IF(SUM('Actual species'!B1040:E1040)&gt;=1,1,IF(SUM('Actual species'!B1040:E1040)="X",1,0))</f>
        <v>0</v>
      </c>
      <c r="C1040" s="2">
        <f>IF(SUM('Actual species'!F1040)&gt;=1,1,IF(SUM('Actual species'!F1040)="X",1,0))</f>
        <v>0</v>
      </c>
      <c r="D1040" s="2">
        <f>IF(SUM('Actual species'!G1040)&gt;=1,1,IF(SUM('Actual species'!G1040)="X",1,0))</f>
        <v>0</v>
      </c>
      <c r="E1040" s="2">
        <f>IF(SUM('Actual species'!H1040)&gt;=1,1,IF(SUM('Actual species'!H1040)="X",1,0))</f>
        <v>0</v>
      </c>
      <c r="F1040" s="2">
        <f>IF(SUM('Actual species'!I1040)&gt;=1,1,IF(SUM('Actual species'!I1040)="X",1,0))</f>
        <v>0</v>
      </c>
      <c r="G1040" s="2">
        <f>IF(SUM('Actual species'!J1040)&gt;=1,1,IF(SUM('Actual species'!J1040)="X",1,0))</f>
        <v>0</v>
      </c>
      <c r="H1040" s="2">
        <f>IF(SUM('Actual species'!K1040)&gt;=1,1,IF(SUM('Actual species'!K1040)="X",1,0))</f>
        <v>0</v>
      </c>
      <c r="I1040" s="2">
        <f>IF(SUM('Actual species'!L1040)&gt;=1,1,IF(SUM('Actual species'!L1040)="X",1,0))</f>
        <v>0</v>
      </c>
      <c r="J1040" s="2">
        <f>IF(SUM('Actual species'!M1040)&gt;=1,1,IF(SUM('Actual species'!M1040)="X",1,0))</f>
        <v>0</v>
      </c>
      <c r="K1040" s="2">
        <f>IF(SUM('Actual species'!N1040)&gt;=1,1,IF(SUM('Actual species'!N1040)="X",1,0))</f>
        <v>0</v>
      </c>
      <c r="L1040" s="2">
        <f>IF(SUM('Actual species'!O1040)&gt;=1,1,IF(SUM('Actual species'!O1040)="X",1,0))</f>
        <v>0</v>
      </c>
      <c r="M1040" s="2">
        <f>IF(SUM('Actual species'!P1040)&gt;=1,1,IF(SUM('Actual species'!P1040)="X",1,0))</f>
        <v>0</v>
      </c>
      <c r="N1040" s="2">
        <f>IF(SUM('Actual species'!Q1040)&gt;=1,1,IF(SUM('Actual species'!Q1040)="X",1,0))</f>
        <v>0</v>
      </c>
      <c r="O1040" s="2">
        <f>IF(SUM('Actual species'!R1040)&gt;=1,1,IF(SUM('Actual species'!R1040)="X",1,0))</f>
        <v>0</v>
      </c>
      <c r="P1040" s="2">
        <f>IF(SUM('Actual species'!S1040)&gt;=1,1,IF(SUM('Actual species'!S1040)="X",1,0))</f>
        <v>1</v>
      </c>
      <c r="Q1040" s="2">
        <f>IF(SUM('Actual species'!T1040)&gt;=1,1,IF(SUM('Actual species'!T1040)="X",1,0))</f>
        <v>0</v>
      </c>
      <c r="R1040" s="2">
        <f>IF(SUM('Actual species'!U1040)&gt;=1,1,IF(SUM('Actual species'!U1040)="X",1,0))</f>
        <v>0</v>
      </c>
    </row>
    <row r="1041" spans="1:18" x14ac:dyDescent="0.3">
      <c r="A1041" s="113" t="str">
        <f>'Actual species'!A1041</f>
        <v>Philonthus micans</v>
      </c>
      <c r="B1041" s="66">
        <f>IF(SUM('Actual species'!B1041:E1041)&gt;=1,1,IF(SUM('Actual species'!B1041:E1041)="X",1,0))</f>
        <v>0</v>
      </c>
      <c r="C1041" s="2">
        <f>IF(SUM('Actual species'!F1041)&gt;=1,1,IF(SUM('Actual species'!F1041)="X",1,0))</f>
        <v>0</v>
      </c>
      <c r="D1041" s="2">
        <f>IF(SUM('Actual species'!G1041)&gt;=1,1,IF(SUM('Actual species'!G1041)="X",1,0))</f>
        <v>0</v>
      </c>
      <c r="E1041" s="2">
        <f>IF(SUM('Actual species'!H1041)&gt;=1,1,IF(SUM('Actual species'!H1041)="X",1,0))</f>
        <v>0</v>
      </c>
      <c r="F1041" s="2">
        <f>IF(SUM('Actual species'!I1041)&gt;=1,1,IF(SUM('Actual species'!I1041)="X",1,0))</f>
        <v>1</v>
      </c>
      <c r="G1041" s="2">
        <f>IF(SUM('Actual species'!J1041)&gt;=1,1,IF(SUM('Actual species'!J1041)="X",1,0))</f>
        <v>0</v>
      </c>
      <c r="H1041" s="2">
        <f>IF(SUM('Actual species'!K1041)&gt;=1,1,IF(SUM('Actual species'!K1041)="X",1,0))</f>
        <v>0</v>
      </c>
      <c r="I1041" s="2">
        <f>IF(SUM('Actual species'!L1041)&gt;=1,1,IF(SUM('Actual species'!L1041)="X",1,0))</f>
        <v>0</v>
      </c>
      <c r="J1041" s="2">
        <f>IF(SUM('Actual species'!M1041)&gt;=1,1,IF(SUM('Actual species'!M1041)="X",1,0))</f>
        <v>1</v>
      </c>
      <c r="K1041" s="2">
        <f>IF(SUM('Actual species'!N1041)&gt;=1,1,IF(SUM('Actual species'!N1041)="X",1,0))</f>
        <v>0</v>
      </c>
      <c r="L1041" s="2">
        <f>IF(SUM('Actual species'!O1041)&gt;=1,1,IF(SUM('Actual species'!O1041)="X",1,0))</f>
        <v>0</v>
      </c>
      <c r="M1041" s="2">
        <f>IF(SUM('Actual species'!P1041)&gt;=1,1,IF(SUM('Actual species'!P1041)="X",1,0))</f>
        <v>0</v>
      </c>
      <c r="N1041" s="2">
        <f>IF(SUM('Actual species'!Q1041)&gt;=1,1,IF(SUM('Actual species'!Q1041)="X",1,0))</f>
        <v>0</v>
      </c>
      <c r="O1041" s="2">
        <f>IF(SUM('Actual species'!R1041)&gt;=1,1,IF(SUM('Actual species'!R1041)="X",1,0))</f>
        <v>0</v>
      </c>
      <c r="P1041" s="2">
        <f>IF(SUM('Actual species'!S1041)&gt;=1,1,IF(SUM('Actual species'!S1041)="X",1,0))</f>
        <v>0</v>
      </c>
      <c r="Q1041" s="2">
        <f>IF(SUM('Actual species'!T1041)&gt;=1,1,IF(SUM('Actual species'!T1041)="X",1,0))</f>
        <v>0</v>
      </c>
      <c r="R1041" s="2">
        <f>IF(SUM('Actual species'!U1041)&gt;=1,1,IF(SUM('Actual species'!U1041)="X",1,0))</f>
        <v>0</v>
      </c>
    </row>
    <row r="1042" spans="1:18" x14ac:dyDescent="0.3">
      <c r="A1042" s="113" t="str">
        <f>'Actual species'!A1042</f>
        <v>Philonthus mimus</v>
      </c>
      <c r="B1042" s="66">
        <f>IF(SUM('Actual species'!B1042:E1042)&gt;=1,1,IF(SUM('Actual species'!B1042:E1042)="X",1,0))</f>
        <v>0</v>
      </c>
      <c r="C1042" s="2">
        <f>IF(SUM('Actual species'!F1042)&gt;=1,1,IF(SUM('Actual species'!F1042)="X",1,0))</f>
        <v>0</v>
      </c>
      <c r="D1042" s="2">
        <f>IF(SUM('Actual species'!G1042)&gt;=1,1,IF(SUM('Actual species'!G1042)="X",1,0))</f>
        <v>0</v>
      </c>
      <c r="E1042" s="2">
        <f>IF(SUM('Actual species'!H1042)&gt;=1,1,IF(SUM('Actual species'!H1042)="X",1,0))</f>
        <v>0</v>
      </c>
      <c r="F1042" s="2">
        <f>IF(SUM('Actual species'!I1042)&gt;=1,1,IF(SUM('Actual species'!I1042)="X",1,0))</f>
        <v>0</v>
      </c>
      <c r="G1042" s="2">
        <f>IF(SUM('Actual species'!J1042)&gt;=1,1,IF(SUM('Actual species'!J1042)="X",1,0))</f>
        <v>0</v>
      </c>
      <c r="H1042" s="2">
        <f>IF(SUM('Actual species'!K1042)&gt;=1,1,IF(SUM('Actual species'!K1042)="X",1,0))</f>
        <v>0</v>
      </c>
      <c r="I1042" s="2">
        <f>IF(SUM('Actual species'!L1042)&gt;=1,1,IF(SUM('Actual species'!L1042)="X",1,0))</f>
        <v>0</v>
      </c>
      <c r="J1042" s="2">
        <f>IF(SUM('Actual species'!M1042)&gt;=1,1,IF(SUM('Actual species'!M1042)="X",1,0))</f>
        <v>0</v>
      </c>
      <c r="K1042" s="2">
        <f>IF(SUM('Actual species'!N1042)&gt;=1,1,IF(SUM('Actual species'!N1042)="X",1,0))</f>
        <v>0</v>
      </c>
      <c r="L1042" s="2">
        <f>IF(SUM('Actual species'!O1042)&gt;=1,1,IF(SUM('Actual species'!O1042)="X",1,0))</f>
        <v>0</v>
      </c>
      <c r="M1042" s="2">
        <f>IF(SUM('Actual species'!P1042)&gt;=1,1,IF(SUM('Actual species'!P1042)="X",1,0))</f>
        <v>0</v>
      </c>
      <c r="N1042" s="2">
        <f>IF(SUM('Actual species'!Q1042)&gt;=1,1,IF(SUM('Actual species'!Q1042)="X",1,0))</f>
        <v>0</v>
      </c>
      <c r="O1042" s="2">
        <f>IF(SUM('Actual species'!R1042)&gt;=1,1,IF(SUM('Actual species'!R1042)="X",1,0))</f>
        <v>0</v>
      </c>
      <c r="P1042" s="2">
        <f>IF(SUM('Actual species'!S1042)&gt;=1,1,IF(SUM('Actual species'!S1042)="X",1,0))</f>
        <v>0</v>
      </c>
      <c r="Q1042" s="2">
        <f>IF(SUM('Actual species'!T1042)&gt;=1,1,IF(SUM('Actual species'!T1042)="X",1,0))</f>
        <v>0</v>
      </c>
      <c r="R1042" s="2">
        <f>IF(SUM('Actual species'!U1042)&gt;=1,1,IF(SUM('Actual species'!U1042)="X",1,0))</f>
        <v>0</v>
      </c>
    </row>
    <row r="1043" spans="1:18" x14ac:dyDescent="0.3">
      <c r="A1043" s="113" t="str">
        <f>'Actual species'!A1043</f>
        <v>Philonthus nitidicollis</v>
      </c>
      <c r="B1043" s="66">
        <f>IF(SUM('Actual species'!B1043:E1043)&gt;=1,1,IF(SUM('Actual species'!B1043:E1043)="X",1,0))</f>
        <v>1</v>
      </c>
      <c r="C1043" s="2">
        <f>IF(SUM('Actual species'!F1043)&gt;=1,1,IF(SUM('Actual species'!F1043)="X",1,0))</f>
        <v>0</v>
      </c>
      <c r="D1043" s="2">
        <f>IF(SUM('Actual species'!G1043)&gt;=1,1,IF(SUM('Actual species'!G1043)="X",1,0))</f>
        <v>0</v>
      </c>
      <c r="E1043" s="2">
        <f>IF(SUM('Actual species'!H1043)&gt;=1,1,IF(SUM('Actual species'!H1043)="X",1,0))</f>
        <v>0</v>
      </c>
      <c r="F1043" s="2">
        <f>IF(SUM('Actual species'!I1043)&gt;=1,1,IF(SUM('Actual species'!I1043)="X",1,0))</f>
        <v>1</v>
      </c>
      <c r="G1043" s="2">
        <f>IF(SUM('Actual species'!J1043)&gt;=1,1,IF(SUM('Actual species'!J1043)="X",1,0))</f>
        <v>1</v>
      </c>
      <c r="H1043" s="2">
        <f>IF(SUM('Actual species'!K1043)&gt;=1,1,IF(SUM('Actual species'!K1043)="X",1,0))</f>
        <v>0</v>
      </c>
      <c r="I1043" s="2">
        <f>IF(SUM('Actual species'!L1043)&gt;=1,1,IF(SUM('Actual species'!L1043)="X",1,0))</f>
        <v>0</v>
      </c>
      <c r="J1043" s="2">
        <f>IF(SUM('Actual species'!M1043)&gt;=1,1,IF(SUM('Actual species'!M1043)="X",1,0))</f>
        <v>0</v>
      </c>
      <c r="K1043" s="2">
        <f>IF(SUM('Actual species'!N1043)&gt;=1,1,IF(SUM('Actual species'!N1043)="X",1,0))</f>
        <v>0</v>
      </c>
      <c r="L1043" s="2">
        <f>IF(SUM('Actual species'!O1043)&gt;=1,1,IF(SUM('Actual species'!O1043)="X",1,0))</f>
        <v>0</v>
      </c>
      <c r="M1043" s="2">
        <f>IF(SUM('Actual species'!P1043)&gt;=1,1,IF(SUM('Actual species'!P1043)="X",1,0))</f>
        <v>0</v>
      </c>
      <c r="N1043" s="2">
        <f>IF(SUM('Actual species'!Q1043)&gt;=1,1,IF(SUM('Actual species'!Q1043)="X",1,0))</f>
        <v>0</v>
      </c>
      <c r="O1043" s="2">
        <f>IF(SUM('Actual species'!R1043)&gt;=1,1,IF(SUM('Actual species'!R1043)="X",1,0))</f>
        <v>0</v>
      </c>
      <c r="P1043" s="2">
        <f>IF(SUM('Actual species'!S1043)&gt;=1,1,IF(SUM('Actual species'!S1043)="X",1,0))</f>
        <v>0</v>
      </c>
      <c r="Q1043" s="2">
        <f>IF(SUM('Actual species'!T1043)&gt;=1,1,IF(SUM('Actual species'!T1043)="X",1,0))</f>
        <v>0</v>
      </c>
      <c r="R1043" s="2">
        <f>IF(SUM('Actual species'!U1043)&gt;=1,1,IF(SUM('Actual species'!U1043)="X",1,0))</f>
        <v>0</v>
      </c>
    </row>
    <row r="1044" spans="1:18" x14ac:dyDescent="0.3">
      <c r="A1044" s="113" t="str">
        <f>'Actual species'!A1044</f>
        <v>Philonthus oblitus</v>
      </c>
      <c r="B1044" s="66">
        <f>IF(SUM('Actual species'!B1044:E1044)&gt;=1,1,IF(SUM('Actual species'!B1044:E1044)="X",1,0))</f>
        <v>0</v>
      </c>
      <c r="C1044" s="2">
        <f>IF(SUM('Actual species'!F1044)&gt;=1,1,IF(SUM('Actual species'!F1044)="X",1,0))</f>
        <v>0</v>
      </c>
      <c r="D1044" s="2">
        <f>IF(SUM('Actual species'!G1044)&gt;=1,1,IF(SUM('Actual species'!G1044)="X",1,0))</f>
        <v>0</v>
      </c>
      <c r="E1044" s="2">
        <f>IF(SUM('Actual species'!H1044)&gt;=1,1,IF(SUM('Actual species'!H1044)="X",1,0))</f>
        <v>0</v>
      </c>
      <c r="F1044" s="2">
        <f>IF(SUM('Actual species'!I1044)&gt;=1,1,IF(SUM('Actual species'!I1044)="X",1,0))</f>
        <v>0</v>
      </c>
      <c r="G1044" s="2">
        <f>IF(SUM('Actual species'!J1044)&gt;=1,1,IF(SUM('Actual species'!J1044)="X",1,0))</f>
        <v>0</v>
      </c>
      <c r="H1044" s="2">
        <f>IF(SUM('Actual species'!K1044)&gt;=1,1,IF(SUM('Actual species'!K1044)="X",1,0))</f>
        <v>0</v>
      </c>
      <c r="I1044" s="2">
        <f>IF(SUM('Actual species'!L1044)&gt;=1,1,IF(SUM('Actual species'!L1044)="X",1,0))</f>
        <v>0</v>
      </c>
      <c r="J1044" s="2">
        <f>IF(SUM('Actual species'!M1044)&gt;=1,1,IF(SUM('Actual species'!M1044)="X",1,0))</f>
        <v>0</v>
      </c>
      <c r="K1044" s="2">
        <f>IF(SUM('Actual species'!N1044)&gt;=1,1,IF(SUM('Actual species'!N1044)="X",1,0))</f>
        <v>0</v>
      </c>
      <c r="L1044" s="2">
        <f>IF(SUM('Actual species'!O1044)&gt;=1,1,IF(SUM('Actual species'!O1044)="X",1,0))</f>
        <v>0</v>
      </c>
      <c r="M1044" s="2">
        <f>IF(SUM('Actual species'!P1044)&gt;=1,1,IF(SUM('Actual species'!P1044)="X",1,0))</f>
        <v>0</v>
      </c>
      <c r="N1044" s="2">
        <f>IF(SUM('Actual species'!Q1044)&gt;=1,1,IF(SUM('Actual species'!Q1044)="X",1,0))</f>
        <v>0</v>
      </c>
      <c r="O1044" s="2">
        <f>IF(SUM('Actual species'!R1044)&gt;=1,1,IF(SUM('Actual species'!R1044)="X",1,0))</f>
        <v>0</v>
      </c>
      <c r="P1044" s="2">
        <f>IF(SUM('Actual species'!S1044)&gt;=1,1,IF(SUM('Actual species'!S1044)="X",1,0))</f>
        <v>0</v>
      </c>
      <c r="Q1044" s="2">
        <f>IF(SUM('Actual species'!T1044)&gt;=1,1,IF(SUM('Actual species'!T1044)="X",1,0))</f>
        <v>0</v>
      </c>
      <c r="R1044" s="2">
        <f>IF(SUM('Actual species'!U1044)&gt;=1,1,IF(SUM('Actual species'!U1044)="X",1,0))</f>
        <v>0</v>
      </c>
    </row>
    <row r="1045" spans="1:18" x14ac:dyDescent="0.3">
      <c r="A1045" s="113" t="str">
        <f>'Actual species'!A1045</f>
        <v>Philonthus parvicornis</v>
      </c>
      <c r="B1045" s="66">
        <f>IF(SUM('Actual species'!B1045:E1045)&gt;=1,1,IF(SUM('Actual species'!B1045:E1045)="X",1,0))</f>
        <v>0</v>
      </c>
      <c r="C1045" s="2">
        <f>IF(SUM('Actual species'!F1045)&gt;=1,1,IF(SUM('Actual species'!F1045)="X",1,0))</f>
        <v>0</v>
      </c>
      <c r="D1045" s="2">
        <f>IF(SUM('Actual species'!G1045)&gt;=1,1,IF(SUM('Actual species'!G1045)="X",1,0))</f>
        <v>0</v>
      </c>
      <c r="E1045" s="2">
        <f>IF(SUM('Actual species'!H1045)&gt;=1,1,IF(SUM('Actual species'!H1045)="X",1,0))</f>
        <v>0</v>
      </c>
      <c r="F1045" s="2">
        <f>IF(SUM('Actual species'!I1045)&gt;=1,1,IF(SUM('Actual species'!I1045)="X",1,0))</f>
        <v>0</v>
      </c>
      <c r="G1045" s="2">
        <f>IF(SUM('Actual species'!J1045)&gt;=1,1,IF(SUM('Actual species'!J1045)="X",1,0))</f>
        <v>0</v>
      </c>
      <c r="H1045" s="2">
        <f>IF(SUM('Actual species'!K1045)&gt;=1,1,IF(SUM('Actual species'!K1045)="X",1,0))</f>
        <v>0</v>
      </c>
      <c r="I1045" s="2">
        <f>IF(SUM('Actual species'!L1045)&gt;=1,1,IF(SUM('Actual species'!L1045)="X",1,0))</f>
        <v>0</v>
      </c>
      <c r="J1045" s="2">
        <f>IF(SUM('Actual species'!M1045)&gt;=1,1,IF(SUM('Actual species'!M1045)="X",1,0))</f>
        <v>0</v>
      </c>
      <c r="K1045" s="2">
        <f>IF(SUM('Actual species'!N1045)&gt;=1,1,IF(SUM('Actual species'!N1045)="X",1,0))</f>
        <v>0</v>
      </c>
      <c r="L1045" s="2">
        <f>IF(SUM('Actual species'!O1045)&gt;=1,1,IF(SUM('Actual species'!O1045)="X",1,0))</f>
        <v>0</v>
      </c>
      <c r="M1045" s="2">
        <f>IF(SUM('Actual species'!P1045)&gt;=1,1,IF(SUM('Actual species'!P1045)="X",1,0))</f>
        <v>0</v>
      </c>
      <c r="N1045" s="2">
        <f>IF(SUM('Actual species'!Q1045)&gt;=1,1,IF(SUM('Actual species'!Q1045)="X",1,0))</f>
        <v>0</v>
      </c>
      <c r="O1045" s="2">
        <f>IF(SUM('Actual species'!R1045)&gt;=1,1,IF(SUM('Actual species'!R1045)="X",1,0))</f>
        <v>0</v>
      </c>
      <c r="P1045" s="2">
        <f>IF(SUM('Actual species'!S1045)&gt;=1,1,IF(SUM('Actual species'!S1045)="X",1,0))</f>
        <v>0</v>
      </c>
      <c r="Q1045" s="2">
        <f>IF(SUM('Actual species'!T1045)&gt;=1,1,IF(SUM('Actual species'!T1045)="X",1,0))</f>
        <v>0</v>
      </c>
      <c r="R1045" s="2">
        <f>IF(SUM('Actual species'!U1045)&gt;=1,1,IF(SUM('Actual species'!U1045)="X",1,0))</f>
        <v>0</v>
      </c>
    </row>
    <row r="1046" spans="1:18" x14ac:dyDescent="0.3">
      <c r="A1046" s="113" t="str">
        <f>'Actual species'!A1046</f>
        <v>Philonthus pseudovarians</v>
      </c>
      <c r="B1046" s="66">
        <f>IF(SUM('Actual species'!B1046:E1046)&gt;=1,1,IF(SUM('Actual species'!B1046:E1046)="X",1,0))</f>
        <v>0</v>
      </c>
      <c r="C1046" s="2">
        <f>IF(SUM('Actual species'!F1046)&gt;=1,1,IF(SUM('Actual species'!F1046)="X",1,0))</f>
        <v>0</v>
      </c>
      <c r="D1046" s="2">
        <f>IF(SUM('Actual species'!G1046)&gt;=1,1,IF(SUM('Actual species'!G1046)="X",1,0))</f>
        <v>0</v>
      </c>
      <c r="E1046" s="2">
        <f>IF(SUM('Actual species'!H1046)&gt;=1,1,IF(SUM('Actual species'!H1046)="X",1,0))</f>
        <v>0</v>
      </c>
      <c r="F1046" s="2">
        <f>IF(SUM('Actual species'!I1046)&gt;=1,1,IF(SUM('Actual species'!I1046)="X",1,0))</f>
        <v>0</v>
      </c>
      <c r="G1046" s="2">
        <f>IF(SUM('Actual species'!J1046)&gt;=1,1,IF(SUM('Actual species'!J1046)="X",1,0))</f>
        <v>0</v>
      </c>
      <c r="H1046" s="2">
        <f>IF(SUM('Actual species'!K1046)&gt;=1,1,IF(SUM('Actual species'!K1046)="X",1,0))</f>
        <v>0</v>
      </c>
      <c r="I1046" s="2">
        <f>IF(SUM('Actual species'!L1046)&gt;=1,1,IF(SUM('Actual species'!L1046)="X",1,0))</f>
        <v>0</v>
      </c>
      <c r="J1046" s="2">
        <f>IF(SUM('Actual species'!M1046)&gt;=1,1,IF(SUM('Actual species'!M1046)="X",1,0))</f>
        <v>0</v>
      </c>
      <c r="K1046" s="2">
        <f>IF(SUM('Actual species'!N1046)&gt;=1,1,IF(SUM('Actual species'!N1046)="X",1,0))</f>
        <v>0</v>
      </c>
      <c r="L1046" s="2">
        <f>IF(SUM('Actual species'!O1046)&gt;=1,1,IF(SUM('Actual species'!O1046)="X",1,0))</f>
        <v>0</v>
      </c>
      <c r="M1046" s="2">
        <f>IF(SUM('Actual species'!P1046)&gt;=1,1,IF(SUM('Actual species'!P1046)="X",1,0))</f>
        <v>0</v>
      </c>
      <c r="N1046" s="2">
        <f>IF(SUM('Actual species'!Q1046)&gt;=1,1,IF(SUM('Actual species'!Q1046)="X",1,0))</f>
        <v>0</v>
      </c>
      <c r="O1046" s="2">
        <f>IF(SUM('Actual species'!R1046)&gt;=1,1,IF(SUM('Actual species'!R1046)="X",1,0))</f>
        <v>0</v>
      </c>
      <c r="P1046" s="2">
        <f>IF(SUM('Actual species'!S1046)&gt;=1,1,IF(SUM('Actual species'!S1046)="X",1,0))</f>
        <v>0</v>
      </c>
      <c r="Q1046" s="2">
        <f>IF(SUM('Actual species'!T1046)&gt;=1,1,IF(SUM('Actual species'!T1046)="X",1,0))</f>
        <v>0</v>
      </c>
      <c r="R1046" s="2">
        <f>IF(SUM('Actual species'!U1046)&gt;=1,1,IF(SUM('Actual species'!U1046)="X",1,0))</f>
        <v>0</v>
      </c>
    </row>
    <row r="1047" spans="1:18" x14ac:dyDescent="0.3">
      <c r="A1047" s="113" t="str">
        <f>'Actual species'!A1047</f>
        <v>Philonthus quisquilarius</v>
      </c>
      <c r="B1047" s="66">
        <f>IF(SUM('Actual species'!B1047:E1047)&gt;=1,1,IF(SUM('Actual species'!B1047:E1047)="X",1,0))</f>
        <v>0</v>
      </c>
      <c r="C1047" s="2">
        <f>IF(SUM('Actual species'!F1047)&gt;=1,1,IF(SUM('Actual species'!F1047)="X",1,0))</f>
        <v>0</v>
      </c>
      <c r="D1047" s="2">
        <f>IF(SUM('Actual species'!G1047)&gt;=1,1,IF(SUM('Actual species'!G1047)="X",1,0))</f>
        <v>0</v>
      </c>
      <c r="E1047" s="2">
        <f>IF(SUM('Actual species'!H1047)&gt;=1,1,IF(SUM('Actual species'!H1047)="X",1,0))</f>
        <v>1</v>
      </c>
      <c r="F1047" s="2">
        <f>IF(SUM('Actual species'!I1047)&gt;=1,1,IF(SUM('Actual species'!I1047)="X",1,0))</f>
        <v>0</v>
      </c>
      <c r="G1047" s="2">
        <f>IF(SUM('Actual species'!J1047)&gt;=1,1,IF(SUM('Actual species'!J1047)="X",1,0))</f>
        <v>1</v>
      </c>
      <c r="H1047" s="2">
        <f>IF(SUM('Actual species'!K1047)&gt;=1,1,IF(SUM('Actual species'!K1047)="X",1,0))</f>
        <v>0</v>
      </c>
      <c r="I1047" s="2">
        <f>IF(SUM('Actual species'!L1047)&gt;=1,1,IF(SUM('Actual species'!L1047)="X",1,0))</f>
        <v>0</v>
      </c>
      <c r="J1047" s="2">
        <f>IF(SUM('Actual species'!M1047)&gt;=1,1,IF(SUM('Actual species'!M1047)="X",1,0))</f>
        <v>0</v>
      </c>
      <c r="K1047" s="2">
        <f>IF(SUM('Actual species'!N1047)&gt;=1,1,IF(SUM('Actual species'!N1047)="X",1,0))</f>
        <v>0</v>
      </c>
      <c r="L1047" s="2">
        <f>IF(SUM('Actual species'!O1047)&gt;=1,1,IF(SUM('Actual species'!O1047)="X",1,0))</f>
        <v>0</v>
      </c>
      <c r="M1047" s="2">
        <f>IF(SUM('Actual species'!P1047)&gt;=1,1,IF(SUM('Actual species'!P1047)="X",1,0))</f>
        <v>0</v>
      </c>
      <c r="N1047" s="2">
        <f>IF(SUM('Actual species'!Q1047)&gt;=1,1,IF(SUM('Actual species'!Q1047)="X",1,0))</f>
        <v>1</v>
      </c>
      <c r="O1047" s="2">
        <f>IF(SUM('Actual species'!R1047)&gt;=1,1,IF(SUM('Actual species'!R1047)="X",1,0))</f>
        <v>0</v>
      </c>
      <c r="P1047" s="2">
        <f>IF(SUM('Actual species'!S1047)&gt;=1,1,IF(SUM('Actual species'!S1047)="X",1,0))</f>
        <v>0</v>
      </c>
      <c r="Q1047" s="2">
        <f>IF(SUM('Actual species'!T1047)&gt;=1,1,IF(SUM('Actual species'!T1047)="X",1,0))</f>
        <v>0</v>
      </c>
      <c r="R1047" s="2">
        <f>IF(SUM('Actual species'!U1047)&gt;=1,1,IF(SUM('Actual species'!U1047)="X",1,0))</f>
        <v>0</v>
      </c>
    </row>
    <row r="1048" spans="1:18" x14ac:dyDescent="0.3">
      <c r="A1048" s="113" t="str">
        <f>'Actual species'!A1048</f>
        <v>Philonthus rubripennis</v>
      </c>
      <c r="B1048" s="66">
        <f>IF(SUM('Actual species'!B1048:E1048)&gt;=1,1,IF(SUM('Actual species'!B1048:E1048)="X",1,0))</f>
        <v>0</v>
      </c>
      <c r="C1048" s="2">
        <f>IF(SUM('Actual species'!F1048)&gt;=1,1,IF(SUM('Actual species'!F1048)="X",1,0))</f>
        <v>0</v>
      </c>
      <c r="D1048" s="2">
        <f>IF(SUM('Actual species'!G1048)&gt;=1,1,IF(SUM('Actual species'!G1048)="X",1,0))</f>
        <v>0</v>
      </c>
      <c r="E1048" s="2">
        <f>IF(SUM('Actual species'!H1048)&gt;=1,1,IF(SUM('Actual species'!H1048)="X",1,0))</f>
        <v>0</v>
      </c>
      <c r="F1048" s="2">
        <f>IF(SUM('Actual species'!I1048)&gt;=1,1,IF(SUM('Actual species'!I1048)="X",1,0))</f>
        <v>0</v>
      </c>
      <c r="G1048" s="2">
        <f>IF(SUM('Actual species'!J1048)&gt;=1,1,IF(SUM('Actual species'!J1048)="X",1,0))</f>
        <v>0</v>
      </c>
      <c r="H1048" s="2">
        <f>IF(SUM('Actual species'!K1048)&gt;=1,1,IF(SUM('Actual species'!K1048)="X",1,0))</f>
        <v>0</v>
      </c>
      <c r="I1048" s="2">
        <f>IF(SUM('Actual species'!L1048)&gt;=1,1,IF(SUM('Actual species'!L1048)="X",1,0))</f>
        <v>0</v>
      </c>
      <c r="J1048" s="2">
        <f>IF(SUM('Actual species'!M1048)&gt;=1,1,IF(SUM('Actual species'!M1048)="X",1,0))</f>
        <v>0</v>
      </c>
      <c r="K1048" s="2">
        <f>IF(SUM('Actual species'!N1048)&gt;=1,1,IF(SUM('Actual species'!N1048)="X",1,0))</f>
        <v>0</v>
      </c>
      <c r="L1048" s="2">
        <f>IF(SUM('Actual species'!O1048)&gt;=1,1,IF(SUM('Actual species'!O1048)="X",1,0))</f>
        <v>0</v>
      </c>
      <c r="M1048" s="2">
        <f>IF(SUM('Actual species'!P1048)&gt;=1,1,IF(SUM('Actual species'!P1048)="X",1,0))</f>
        <v>0</v>
      </c>
      <c r="N1048" s="2">
        <f>IF(SUM('Actual species'!Q1048)&gt;=1,1,IF(SUM('Actual species'!Q1048)="X",1,0))</f>
        <v>1</v>
      </c>
      <c r="O1048" s="2">
        <f>IF(SUM('Actual species'!R1048)&gt;=1,1,IF(SUM('Actual species'!R1048)="X",1,0))</f>
        <v>0</v>
      </c>
      <c r="P1048" s="2">
        <f>IF(SUM('Actual species'!S1048)&gt;=1,1,IF(SUM('Actual species'!S1048)="X",1,0))</f>
        <v>0</v>
      </c>
      <c r="Q1048" s="2">
        <f>IF(SUM('Actual species'!T1048)&gt;=1,1,IF(SUM('Actual species'!T1048)="X",1,0))</f>
        <v>0</v>
      </c>
      <c r="R1048" s="2">
        <f>IF(SUM('Actual species'!U1048)&gt;=1,1,IF(SUM('Actual species'!U1048)="X",1,0))</f>
        <v>0</v>
      </c>
    </row>
    <row r="1049" spans="1:18" x14ac:dyDescent="0.3">
      <c r="A1049" s="113" t="str">
        <f>'Actual species'!A1049</f>
        <v>Philonthus rufimanus</v>
      </c>
      <c r="B1049" s="66">
        <f>IF(SUM('Actual species'!B1049:E1049)&gt;=1,1,IF(SUM('Actual species'!B1049:E1049)="X",1,0))</f>
        <v>0</v>
      </c>
      <c r="C1049" s="2">
        <f>IF(SUM('Actual species'!F1049)&gt;=1,1,IF(SUM('Actual species'!F1049)="X",1,0))</f>
        <v>0</v>
      </c>
      <c r="D1049" s="2">
        <f>IF(SUM('Actual species'!G1049)&gt;=1,1,IF(SUM('Actual species'!G1049)="X",1,0))</f>
        <v>0</v>
      </c>
      <c r="E1049" s="2">
        <f>IF(SUM('Actual species'!H1049)&gt;=1,1,IF(SUM('Actual species'!H1049)="X",1,0))</f>
        <v>0</v>
      </c>
      <c r="F1049" s="2">
        <f>IF(SUM('Actual species'!I1049)&gt;=1,1,IF(SUM('Actual species'!I1049)="X",1,0))</f>
        <v>1</v>
      </c>
      <c r="G1049" s="2">
        <f>IF(SUM('Actual species'!J1049)&gt;=1,1,IF(SUM('Actual species'!J1049)="X",1,0))</f>
        <v>1</v>
      </c>
      <c r="H1049" s="2">
        <f>IF(SUM('Actual species'!K1049)&gt;=1,1,IF(SUM('Actual species'!K1049)="X",1,0))</f>
        <v>0</v>
      </c>
      <c r="I1049" s="2">
        <f>IF(SUM('Actual species'!L1049)&gt;=1,1,IF(SUM('Actual species'!L1049)="X",1,0))</f>
        <v>0</v>
      </c>
      <c r="J1049" s="2">
        <f>IF(SUM('Actual species'!M1049)&gt;=1,1,IF(SUM('Actual species'!M1049)="X",1,0))</f>
        <v>0</v>
      </c>
      <c r="K1049" s="2">
        <f>IF(SUM('Actual species'!N1049)&gt;=1,1,IF(SUM('Actual species'!N1049)="X",1,0))</f>
        <v>0</v>
      </c>
      <c r="L1049" s="2">
        <f>IF(SUM('Actual species'!O1049)&gt;=1,1,IF(SUM('Actual species'!O1049)="X",1,0))</f>
        <v>0</v>
      </c>
      <c r="M1049" s="2">
        <f>IF(SUM('Actual species'!P1049)&gt;=1,1,IF(SUM('Actual species'!P1049)="X",1,0))</f>
        <v>0</v>
      </c>
      <c r="N1049" s="2">
        <f>IF(SUM('Actual species'!Q1049)&gt;=1,1,IF(SUM('Actual species'!Q1049)="X",1,0))</f>
        <v>1</v>
      </c>
      <c r="O1049" s="2">
        <f>IF(SUM('Actual species'!R1049)&gt;=1,1,IF(SUM('Actual species'!R1049)="X",1,0))</f>
        <v>0</v>
      </c>
      <c r="P1049" s="2">
        <f>IF(SUM('Actual species'!S1049)&gt;=1,1,IF(SUM('Actual species'!S1049)="X",1,0))</f>
        <v>0</v>
      </c>
      <c r="Q1049" s="2">
        <f>IF(SUM('Actual species'!T1049)&gt;=1,1,IF(SUM('Actual species'!T1049)="X",1,0))</f>
        <v>0</v>
      </c>
      <c r="R1049" s="2">
        <f>IF(SUM('Actual species'!U1049)&gt;=1,1,IF(SUM('Actual species'!U1049)="X",1,0))</f>
        <v>0</v>
      </c>
    </row>
    <row r="1050" spans="1:18" x14ac:dyDescent="0.3">
      <c r="A1050" s="113" t="str">
        <f>'Actual species'!A1050</f>
        <v>Philonthus salinus</v>
      </c>
      <c r="B1050" s="66">
        <f>IF(SUM('Actual species'!B1050:E1050)&gt;=1,1,IF(SUM('Actual species'!B1050:E1050)="X",1,0))</f>
        <v>0</v>
      </c>
      <c r="C1050" s="2">
        <f>IF(SUM('Actual species'!F1050)&gt;=1,1,IF(SUM('Actual species'!F1050)="X",1,0))</f>
        <v>0</v>
      </c>
      <c r="D1050" s="2">
        <f>IF(SUM('Actual species'!G1050)&gt;=1,1,IF(SUM('Actual species'!G1050)="X",1,0))</f>
        <v>0</v>
      </c>
      <c r="E1050" s="2">
        <f>IF(SUM('Actual species'!H1050)&gt;=1,1,IF(SUM('Actual species'!H1050)="X",1,0))</f>
        <v>0</v>
      </c>
      <c r="F1050" s="2">
        <f>IF(SUM('Actual species'!I1050)&gt;=1,1,IF(SUM('Actual species'!I1050)="X",1,0))</f>
        <v>1</v>
      </c>
      <c r="G1050" s="2">
        <f>IF(SUM('Actual species'!J1050)&gt;=1,1,IF(SUM('Actual species'!J1050)="X",1,0))</f>
        <v>0</v>
      </c>
      <c r="H1050" s="2">
        <f>IF(SUM('Actual species'!K1050)&gt;=1,1,IF(SUM('Actual species'!K1050)="X",1,0))</f>
        <v>0</v>
      </c>
      <c r="I1050" s="2">
        <f>IF(SUM('Actual species'!L1050)&gt;=1,1,IF(SUM('Actual species'!L1050)="X",1,0))</f>
        <v>0</v>
      </c>
      <c r="J1050" s="2">
        <f>IF(SUM('Actual species'!M1050)&gt;=1,1,IF(SUM('Actual species'!M1050)="X",1,0))</f>
        <v>0</v>
      </c>
      <c r="K1050" s="2">
        <f>IF(SUM('Actual species'!N1050)&gt;=1,1,IF(SUM('Actual species'!N1050)="X",1,0))</f>
        <v>0</v>
      </c>
      <c r="L1050" s="2">
        <f>IF(SUM('Actual species'!O1050)&gt;=1,1,IF(SUM('Actual species'!O1050)="X",1,0))</f>
        <v>0</v>
      </c>
      <c r="M1050" s="2">
        <f>IF(SUM('Actual species'!P1050)&gt;=1,1,IF(SUM('Actual species'!P1050)="X",1,0))</f>
        <v>0</v>
      </c>
      <c r="N1050" s="2">
        <f>IF(SUM('Actual species'!Q1050)&gt;=1,1,IF(SUM('Actual species'!Q1050)="X",1,0))</f>
        <v>0</v>
      </c>
      <c r="O1050" s="2">
        <f>IF(SUM('Actual species'!R1050)&gt;=1,1,IF(SUM('Actual species'!R1050)="X",1,0))</f>
        <v>0</v>
      </c>
      <c r="P1050" s="2">
        <f>IF(SUM('Actual species'!S1050)&gt;=1,1,IF(SUM('Actual species'!S1050)="X",1,0))</f>
        <v>0</v>
      </c>
      <c r="Q1050" s="2">
        <f>IF(SUM('Actual species'!T1050)&gt;=1,1,IF(SUM('Actual species'!T1050)="X",1,0))</f>
        <v>0</v>
      </c>
      <c r="R1050" s="2">
        <f>IF(SUM('Actual species'!U1050)&gt;=1,1,IF(SUM('Actual species'!U1050)="X",1,0))</f>
        <v>0</v>
      </c>
    </row>
    <row r="1051" spans="1:18" x14ac:dyDescent="0.3">
      <c r="A1051" s="113" t="str">
        <f>'Actual species'!A1051</f>
        <v>Philonthus umbratilis</v>
      </c>
      <c r="B1051" s="66">
        <f>IF(SUM('Actual species'!B1051:E1051)&gt;=1,1,IF(SUM('Actual species'!B1051:E1051)="X",1,0))</f>
        <v>0</v>
      </c>
      <c r="C1051" s="2">
        <f>IF(SUM('Actual species'!F1051)&gt;=1,1,IF(SUM('Actual species'!F1051)="X",1,0))</f>
        <v>0</v>
      </c>
      <c r="D1051" s="2">
        <f>IF(SUM('Actual species'!G1051)&gt;=1,1,IF(SUM('Actual species'!G1051)="X",1,0))</f>
        <v>0</v>
      </c>
      <c r="E1051" s="2">
        <f>IF(SUM('Actual species'!H1051)&gt;=1,1,IF(SUM('Actual species'!H1051)="X",1,0))</f>
        <v>0</v>
      </c>
      <c r="F1051" s="2">
        <f>IF(SUM('Actual species'!I1051)&gt;=1,1,IF(SUM('Actual species'!I1051)="X",1,0))</f>
        <v>0</v>
      </c>
      <c r="G1051" s="2">
        <f>IF(SUM('Actual species'!J1051)&gt;=1,1,IF(SUM('Actual species'!J1051)="X",1,0))</f>
        <v>0</v>
      </c>
      <c r="H1051" s="2">
        <f>IF(SUM('Actual species'!K1051)&gt;=1,1,IF(SUM('Actual species'!K1051)="X",1,0))</f>
        <v>0</v>
      </c>
      <c r="I1051" s="2">
        <f>IF(SUM('Actual species'!L1051)&gt;=1,1,IF(SUM('Actual species'!L1051)="X",1,0))</f>
        <v>0</v>
      </c>
      <c r="J1051" s="2">
        <f>IF(SUM('Actual species'!M1051)&gt;=1,1,IF(SUM('Actual species'!M1051)="X",1,0))</f>
        <v>0</v>
      </c>
      <c r="K1051" s="2">
        <f>IF(SUM('Actual species'!N1051)&gt;=1,1,IF(SUM('Actual species'!N1051)="X",1,0))</f>
        <v>0</v>
      </c>
      <c r="L1051" s="2">
        <f>IF(SUM('Actual species'!O1051)&gt;=1,1,IF(SUM('Actual species'!O1051)="X",1,0))</f>
        <v>0</v>
      </c>
      <c r="M1051" s="2">
        <f>IF(SUM('Actual species'!P1051)&gt;=1,1,IF(SUM('Actual species'!P1051)="X",1,0))</f>
        <v>0</v>
      </c>
      <c r="N1051" s="2">
        <f>IF(SUM('Actual species'!Q1051)&gt;=1,1,IF(SUM('Actual species'!Q1051)="X",1,0))</f>
        <v>0</v>
      </c>
      <c r="O1051" s="2">
        <f>IF(SUM('Actual species'!R1051)&gt;=1,1,IF(SUM('Actual species'!R1051)="X",1,0))</f>
        <v>0</v>
      </c>
      <c r="P1051" s="2">
        <f>IF(SUM('Actual species'!S1051)&gt;=1,1,IF(SUM('Actual species'!S1051)="X",1,0))</f>
        <v>0</v>
      </c>
      <c r="Q1051" s="2">
        <f>IF(SUM('Actual species'!T1051)&gt;=1,1,IF(SUM('Actual species'!T1051)="X",1,0))</f>
        <v>0</v>
      </c>
      <c r="R1051" s="2">
        <f>IF(SUM('Actual species'!U1051)&gt;=1,1,IF(SUM('Actual species'!U1051)="X",1,0))</f>
        <v>0</v>
      </c>
    </row>
    <row r="1052" spans="1:18" x14ac:dyDescent="0.3">
      <c r="A1052" s="113" t="str">
        <f>'Actual species'!A1052</f>
        <v>Platyprosopus hierochonticus</v>
      </c>
      <c r="B1052" s="66">
        <f>IF(SUM('Actual species'!B1052:E1052)&gt;=1,1,IF(SUM('Actual species'!B1052:E1052)="X",1,0))</f>
        <v>1</v>
      </c>
      <c r="C1052" s="2">
        <f>IF(SUM('Actual species'!F1052)&gt;=1,1,IF(SUM('Actual species'!F1052)="X",1,0))</f>
        <v>0</v>
      </c>
      <c r="D1052" s="2">
        <f>IF(SUM('Actual species'!G1052)&gt;=1,1,IF(SUM('Actual species'!G1052)="X",1,0))</f>
        <v>0</v>
      </c>
      <c r="E1052" s="2">
        <f>IF(SUM('Actual species'!H1052)&gt;=1,1,IF(SUM('Actual species'!H1052)="X",1,0))</f>
        <v>0</v>
      </c>
      <c r="F1052" s="2">
        <f>IF(SUM('Actual species'!I1052)&gt;=1,1,IF(SUM('Actual species'!I1052)="X",1,0))</f>
        <v>0</v>
      </c>
      <c r="G1052" s="2">
        <f>IF(SUM('Actual species'!J1052)&gt;=1,1,IF(SUM('Actual species'!J1052)="X",1,0))</f>
        <v>0</v>
      </c>
      <c r="H1052" s="2">
        <f>IF(SUM('Actual species'!K1052)&gt;=1,1,IF(SUM('Actual species'!K1052)="X",1,0))</f>
        <v>0</v>
      </c>
      <c r="I1052" s="2">
        <f>IF(SUM('Actual species'!L1052)&gt;=1,1,IF(SUM('Actual species'!L1052)="X",1,0))</f>
        <v>0</v>
      </c>
      <c r="J1052" s="2">
        <f>IF(SUM('Actual species'!M1052)&gt;=1,1,IF(SUM('Actual species'!M1052)="X",1,0))</f>
        <v>0</v>
      </c>
      <c r="K1052" s="2">
        <f>IF(SUM('Actual species'!N1052)&gt;=1,1,IF(SUM('Actual species'!N1052)="X",1,0))</f>
        <v>0</v>
      </c>
      <c r="L1052" s="2">
        <f>IF(SUM('Actual species'!O1052)&gt;=1,1,IF(SUM('Actual species'!O1052)="X",1,0))</f>
        <v>0</v>
      </c>
      <c r="M1052" s="2">
        <f>IF(SUM('Actual species'!P1052)&gt;=1,1,IF(SUM('Actual species'!P1052)="X",1,0))</f>
        <v>0</v>
      </c>
      <c r="N1052" s="2">
        <f>IF(SUM('Actual species'!Q1052)&gt;=1,1,IF(SUM('Actual species'!Q1052)="X",1,0))</f>
        <v>0</v>
      </c>
      <c r="O1052" s="2">
        <f>IF(SUM('Actual species'!R1052)&gt;=1,1,IF(SUM('Actual species'!R1052)="X",1,0))</f>
        <v>0</v>
      </c>
      <c r="P1052" s="2">
        <f>IF(SUM('Actual species'!S1052)&gt;=1,1,IF(SUM('Actual species'!S1052)="X",1,0))</f>
        <v>0</v>
      </c>
      <c r="Q1052" s="2">
        <f>IF(SUM('Actual species'!T1052)&gt;=1,1,IF(SUM('Actual species'!T1052)="X",1,0))</f>
        <v>0</v>
      </c>
      <c r="R1052" s="2">
        <f>IF(SUM('Actual species'!U1052)&gt;=1,1,IF(SUM('Actual species'!U1052)="X",1,0))</f>
        <v>0</v>
      </c>
    </row>
    <row r="1053" spans="1:18" x14ac:dyDescent="0.3">
      <c r="A1053" s="113" t="str">
        <f>'Actual species'!A1053</f>
        <v>Quedius acuminatus phenicus</v>
      </c>
      <c r="B1053" s="66">
        <f>IF(SUM('Actual species'!B1053:E1053)&gt;=1,1,IF(SUM('Actual species'!B1053:E1053)="X",1,0))</f>
        <v>0</v>
      </c>
      <c r="C1053" s="2">
        <f>IF(SUM('Actual species'!F1053)&gt;=1,1,IF(SUM('Actual species'!F1053)="X",1,0))</f>
        <v>0</v>
      </c>
      <c r="D1053" s="2">
        <f>IF(SUM('Actual species'!G1053)&gt;=1,1,IF(SUM('Actual species'!G1053)="X",1,0))</f>
        <v>0</v>
      </c>
      <c r="E1053" s="2">
        <f>IF(SUM('Actual species'!H1053)&gt;=1,1,IF(SUM('Actual species'!H1053)="X",1,0))</f>
        <v>0</v>
      </c>
      <c r="F1053" s="2">
        <f>IF(SUM('Actual species'!I1053)&gt;=1,1,IF(SUM('Actual species'!I1053)="X",1,0))</f>
        <v>0</v>
      </c>
      <c r="G1053" s="2">
        <f>IF(SUM('Actual species'!J1053)&gt;=1,1,IF(SUM('Actual species'!J1053)="X",1,0))</f>
        <v>0</v>
      </c>
      <c r="H1053" s="2">
        <f>IF(SUM('Actual species'!K1053)&gt;=1,1,IF(SUM('Actual species'!K1053)="X",1,0))</f>
        <v>0</v>
      </c>
      <c r="I1053" s="2">
        <f>IF(SUM('Actual species'!L1053)&gt;=1,1,IF(SUM('Actual species'!L1053)="X",1,0))</f>
        <v>0</v>
      </c>
      <c r="J1053" s="2">
        <f>IF(SUM('Actual species'!M1053)&gt;=1,1,IF(SUM('Actual species'!M1053)="X",1,0))</f>
        <v>0</v>
      </c>
      <c r="K1053" s="2">
        <f>IF(SUM('Actual species'!N1053)&gt;=1,1,IF(SUM('Actual species'!N1053)="X",1,0))</f>
        <v>0</v>
      </c>
      <c r="L1053" s="2">
        <f>IF(SUM('Actual species'!O1053)&gt;=1,1,IF(SUM('Actual species'!O1053)="X",1,0))</f>
        <v>0</v>
      </c>
      <c r="M1053" s="2">
        <f>IF(SUM('Actual species'!P1053)&gt;=1,1,IF(SUM('Actual species'!P1053)="X",1,0))</f>
        <v>0</v>
      </c>
      <c r="N1053" s="2">
        <f>IF(SUM('Actual species'!Q1053)&gt;=1,1,IF(SUM('Actual species'!Q1053)="X",1,0))</f>
        <v>0</v>
      </c>
      <c r="O1053" s="2">
        <f>IF(SUM('Actual species'!R1053)&gt;=1,1,IF(SUM('Actual species'!R1053)="X",1,0))</f>
        <v>0</v>
      </c>
      <c r="P1053" s="2">
        <f>IF(SUM('Actual species'!S1053)&gt;=1,1,IF(SUM('Actual species'!S1053)="X",1,0))</f>
        <v>0</v>
      </c>
      <c r="Q1053" s="2">
        <f>IF(SUM('Actual species'!T1053)&gt;=1,1,IF(SUM('Actual species'!T1053)="X",1,0))</f>
        <v>0</v>
      </c>
      <c r="R1053" s="2">
        <f>IF(SUM('Actual species'!U1053)&gt;=1,1,IF(SUM('Actual species'!U1053)="X",1,0))</f>
        <v>0</v>
      </c>
    </row>
    <row r="1054" spans="1:18" x14ac:dyDescent="0.3">
      <c r="A1054" s="113" t="str">
        <f>'Actual species'!A1054</f>
        <v>Quedius abietum</v>
      </c>
      <c r="B1054" s="66">
        <f>IF(SUM('Actual species'!B1054:E1054)&gt;=1,1,IF(SUM('Actual species'!B1054:E1054)="X",1,0))</f>
        <v>0</v>
      </c>
      <c r="C1054" s="2">
        <f>IF(SUM('Actual species'!F1054)&gt;=1,1,IF(SUM('Actual species'!F1054)="X",1,0))</f>
        <v>0</v>
      </c>
      <c r="D1054" s="2">
        <f>IF(SUM('Actual species'!G1054)&gt;=1,1,IF(SUM('Actual species'!G1054)="X",1,0))</f>
        <v>0</v>
      </c>
      <c r="E1054" s="2">
        <f>IF(SUM('Actual species'!H1054)&gt;=1,1,IF(SUM('Actual species'!H1054)="X",1,0))</f>
        <v>0</v>
      </c>
      <c r="F1054" s="2">
        <f>IF(SUM('Actual species'!I1054)&gt;=1,1,IF(SUM('Actual species'!I1054)="X",1,0))</f>
        <v>0</v>
      </c>
      <c r="G1054" s="2">
        <f>IF(SUM('Actual species'!J1054)&gt;=1,1,IF(SUM('Actual species'!J1054)="X",1,0))</f>
        <v>0</v>
      </c>
      <c r="H1054" s="2">
        <f>IF(SUM('Actual species'!K1054)&gt;=1,1,IF(SUM('Actual species'!K1054)="X",1,0))</f>
        <v>0</v>
      </c>
      <c r="I1054" s="2">
        <f>IF(SUM('Actual species'!L1054)&gt;=1,1,IF(SUM('Actual species'!L1054)="X",1,0))</f>
        <v>0</v>
      </c>
      <c r="J1054" s="2">
        <f>IF(SUM('Actual species'!M1054)&gt;=1,1,IF(SUM('Actual species'!M1054)="X",1,0))</f>
        <v>0</v>
      </c>
      <c r="K1054" s="2">
        <f>IF(SUM('Actual species'!N1054)&gt;=1,1,IF(SUM('Actual species'!N1054)="X",1,0))</f>
        <v>0</v>
      </c>
      <c r="L1054" s="2">
        <f>IF(SUM('Actual species'!O1054)&gt;=1,1,IF(SUM('Actual species'!O1054)="X",1,0))</f>
        <v>0</v>
      </c>
      <c r="M1054" s="2">
        <f>IF(SUM('Actual species'!P1054)&gt;=1,1,IF(SUM('Actual species'!P1054)="X",1,0))</f>
        <v>0</v>
      </c>
      <c r="N1054" s="2">
        <f>IF(SUM('Actual species'!Q1054)&gt;=1,1,IF(SUM('Actual species'!Q1054)="X",1,0))</f>
        <v>0</v>
      </c>
      <c r="O1054" s="2">
        <f>IF(SUM('Actual species'!R1054)&gt;=1,1,IF(SUM('Actual species'!R1054)="X",1,0))</f>
        <v>0</v>
      </c>
      <c r="P1054" s="2">
        <f>IF(SUM('Actual species'!S1054)&gt;=1,1,IF(SUM('Actual species'!S1054)="X",1,0))</f>
        <v>0</v>
      </c>
      <c r="Q1054" s="2">
        <f>IF(SUM('Actual species'!T1054)&gt;=1,1,IF(SUM('Actual species'!T1054)="X",1,0))</f>
        <v>0</v>
      </c>
      <c r="R1054" s="2">
        <f>IF(SUM('Actual species'!U1054)&gt;=1,1,IF(SUM('Actual species'!U1054)="X",1,0))</f>
        <v>0</v>
      </c>
    </row>
    <row r="1055" spans="1:18" x14ac:dyDescent="0.3">
      <c r="A1055" s="113" t="str">
        <f>'Actual species'!A1055</f>
        <v>Quedius bernhaueri</v>
      </c>
      <c r="B1055" s="66">
        <f>IF(SUM('Actual species'!B1055:E1055)&gt;=1,1,IF(SUM('Actual species'!B1055:E1055)="X",1,0))</f>
        <v>0</v>
      </c>
      <c r="C1055" s="2">
        <f>IF(SUM('Actual species'!F1055)&gt;=1,1,IF(SUM('Actual species'!F1055)="X",1,0))</f>
        <v>0</v>
      </c>
      <c r="D1055" s="2">
        <f>IF(SUM('Actual species'!G1055)&gt;=1,1,IF(SUM('Actual species'!G1055)="X",1,0))</f>
        <v>0</v>
      </c>
      <c r="E1055" s="2">
        <f>IF(SUM('Actual species'!H1055)&gt;=1,1,IF(SUM('Actual species'!H1055)="X",1,0))</f>
        <v>0</v>
      </c>
      <c r="F1055" s="2">
        <f>IF(SUM('Actual species'!I1055)&gt;=1,1,IF(SUM('Actual species'!I1055)="X",1,0))</f>
        <v>0</v>
      </c>
      <c r="G1055" s="2">
        <f>IF(SUM('Actual species'!J1055)&gt;=1,1,IF(SUM('Actual species'!J1055)="X",1,0))</f>
        <v>0</v>
      </c>
      <c r="H1055" s="2">
        <f>IF(SUM('Actual species'!K1055)&gt;=1,1,IF(SUM('Actual species'!K1055)="X",1,0))</f>
        <v>0</v>
      </c>
      <c r="I1055" s="2">
        <f>IF(SUM('Actual species'!L1055)&gt;=1,1,IF(SUM('Actual species'!L1055)="X",1,0))</f>
        <v>0</v>
      </c>
      <c r="J1055" s="2">
        <f>IF(SUM('Actual species'!M1055)&gt;=1,1,IF(SUM('Actual species'!M1055)="X",1,0))</f>
        <v>0</v>
      </c>
      <c r="K1055" s="2">
        <f>IF(SUM('Actual species'!N1055)&gt;=1,1,IF(SUM('Actual species'!N1055)="X",1,0))</f>
        <v>0</v>
      </c>
      <c r="L1055" s="2">
        <f>IF(SUM('Actual species'!O1055)&gt;=1,1,IF(SUM('Actual species'!O1055)="X",1,0))</f>
        <v>0</v>
      </c>
      <c r="M1055" s="2">
        <f>IF(SUM('Actual species'!P1055)&gt;=1,1,IF(SUM('Actual species'!P1055)="X",1,0))</f>
        <v>0</v>
      </c>
      <c r="N1055" s="2">
        <f>IF(SUM('Actual species'!Q1055)&gt;=1,1,IF(SUM('Actual species'!Q1055)="X",1,0))</f>
        <v>0</v>
      </c>
      <c r="O1055" s="2">
        <f>IF(SUM('Actual species'!R1055)&gt;=1,1,IF(SUM('Actual species'!R1055)="X",1,0))</f>
        <v>0</v>
      </c>
      <c r="P1055" s="2">
        <f>IF(SUM('Actual species'!S1055)&gt;=1,1,IF(SUM('Actual species'!S1055)="X",1,0))</f>
        <v>1</v>
      </c>
      <c r="Q1055" s="2">
        <f>IF(SUM('Actual species'!T1055)&gt;=1,1,IF(SUM('Actual species'!T1055)="X",1,0))</f>
        <v>0</v>
      </c>
      <c r="R1055" s="2">
        <f>IF(SUM('Actual species'!U1055)&gt;=1,1,IF(SUM('Actual species'!U1055)="X",1,0))</f>
        <v>0</v>
      </c>
    </row>
    <row r="1056" spans="1:18" x14ac:dyDescent="0.3">
      <c r="A1056" s="113" t="str">
        <f>'Actual species'!A1056</f>
        <v>Quedius boops</v>
      </c>
      <c r="B1056" s="66">
        <f>IF(SUM('Actual species'!B1056:E1056)&gt;=1,1,IF(SUM('Actual species'!B1056:E1056)="X",1,0))</f>
        <v>0</v>
      </c>
      <c r="C1056" s="2">
        <f>IF(SUM('Actual species'!F1056)&gt;=1,1,IF(SUM('Actual species'!F1056)="X",1,0))</f>
        <v>0</v>
      </c>
      <c r="D1056" s="2">
        <f>IF(SUM('Actual species'!G1056)&gt;=1,1,IF(SUM('Actual species'!G1056)="X",1,0))</f>
        <v>0</v>
      </c>
      <c r="E1056" s="2">
        <f>IF(SUM('Actual species'!H1056)&gt;=1,1,IF(SUM('Actual species'!H1056)="X",1,0))</f>
        <v>0</v>
      </c>
      <c r="F1056" s="2">
        <f>IF(SUM('Actual species'!I1056)&gt;=1,1,IF(SUM('Actual species'!I1056)="X",1,0))</f>
        <v>0</v>
      </c>
      <c r="G1056" s="2">
        <f>IF(SUM('Actual species'!J1056)&gt;=1,1,IF(SUM('Actual species'!J1056)="X",1,0))</f>
        <v>0</v>
      </c>
      <c r="H1056" s="2">
        <f>IF(SUM('Actual species'!K1056)&gt;=1,1,IF(SUM('Actual species'!K1056)="X",1,0))</f>
        <v>0</v>
      </c>
      <c r="I1056" s="2">
        <f>IF(SUM('Actual species'!L1056)&gt;=1,1,IF(SUM('Actual species'!L1056)="X",1,0))</f>
        <v>0</v>
      </c>
      <c r="J1056" s="2">
        <f>IF(SUM('Actual species'!M1056)&gt;=1,1,IF(SUM('Actual species'!M1056)="X",1,0))</f>
        <v>1</v>
      </c>
      <c r="K1056" s="2">
        <f>IF(SUM('Actual species'!N1056)&gt;=1,1,IF(SUM('Actual species'!N1056)="X",1,0))</f>
        <v>0</v>
      </c>
      <c r="L1056" s="2">
        <f>IF(SUM('Actual species'!O1056)&gt;=1,1,IF(SUM('Actual species'!O1056)="X",1,0))</f>
        <v>0</v>
      </c>
      <c r="M1056" s="2">
        <f>IF(SUM('Actual species'!P1056)&gt;=1,1,IF(SUM('Actual species'!P1056)="X",1,0))</f>
        <v>0</v>
      </c>
      <c r="N1056" s="2">
        <f>IF(SUM('Actual species'!Q1056)&gt;=1,1,IF(SUM('Actual species'!Q1056)="X",1,0))</f>
        <v>0</v>
      </c>
      <c r="O1056" s="2">
        <f>IF(SUM('Actual species'!R1056)&gt;=1,1,IF(SUM('Actual species'!R1056)="X",1,0))</f>
        <v>0</v>
      </c>
      <c r="P1056" s="2">
        <f>IF(SUM('Actual species'!S1056)&gt;=1,1,IF(SUM('Actual species'!S1056)="X",1,0))</f>
        <v>1</v>
      </c>
      <c r="Q1056" s="2">
        <f>IF(SUM('Actual species'!T1056)&gt;=1,1,IF(SUM('Actual species'!T1056)="X",1,0))</f>
        <v>0</v>
      </c>
      <c r="R1056" s="2">
        <f>IF(SUM('Actual species'!U1056)&gt;=1,1,IF(SUM('Actual species'!U1056)="X",1,0))</f>
        <v>0</v>
      </c>
    </row>
    <row r="1057" spans="1:18" x14ac:dyDescent="0.3">
      <c r="A1057" s="113" t="str">
        <f>'Actual species'!A1057</f>
        <v>Quedius cf. hellenicus</v>
      </c>
      <c r="B1057" s="66">
        <f>IF(SUM('Actual species'!B1057:E1057)&gt;=1,1,IF(SUM('Actual species'!B1057:E1057)="X",1,0))</f>
        <v>0</v>
      </c>
      <c r="C1057" s="2">
        <f>IF(SUM('Actual species'!F1057)&gt;=1,1,IF(SUM('Actual species'!F1057)="X",1,0))</f>
        <v>0</v>
      </c>
      <c r="D1057" s="2">
        <f>IF(SUM('Actual species'!G1057)&gt;=1,1,IF(SUM('Actual species'!G1057)="X",1,0))</f>
        <v>0</v>
      </c>
      <c r="E1057" s="2">
        <f>IF(SUM('Actual species'!H1057)&gt;=1,1,IF(SUM('Actual species'!H1057)="X",1,0))</f>
        <v>1</v>
      </c>
      <c r="F1057" s="2">
        <f>IF(SUM('Actual species'!I1057)&gt;=1,1,IF(SUM('Actual species'!I1057)="X",1,0))</f>
        <v>0</v>
      </c>
      <c r="G1057" s="2">
        <f>IF(SUM('Actual species'!J1057)&gt;=1,1,IF(SUM('Actual species'!J1057)="X",1,0))</f>
        <v>0</v>
      </c>
      <c r="H1057" s="2">
        <f>IF(SUM('Actual species'!K1057)&gt;=1,1,IF(SUM('Actual species'!K1057)="X",1,0))</f>
        <v>0</v>
      </c>
      <c r="I1057" s="2">
        <f>IF(SUM('Actual species'!L1057)&gt;=1,1,IF(SUM('Actual species'!L1057)="X",1,0))</f>
        <v>0</v>
      </c>
      <c r="J1057" s="2">
        <f>IF(SUM('Actual species'!M1057)&gt;=1,1,IF(SUM('Actual species'!M1057)="X",1,0))</f>
        <v>0</v>
      </c>
      <c r="K1057" s="2">
        <f>IF(SUM('Actual species'!N1057)&gt;=1,1,IF(SUM('Actual species'!N1057)="X",1,0))</f>
        <v>0</v>
      </c>
      <c r="L1057" s="2">
        <f>IF(SUM('Actual species'!O1057)&gt;=1,1,IF(SUM('Actual species'!O1057)="X",1,0))</f>
        <v>0</v>
      </c>
      <c r="M1057" s="2">
        <f>IF(SUM('Actual species'!P1057)&gt;=1,1,IF(SUM('Actual species'!P1057)="X",1,0))</f>
        <v>0</v>
      </c>
      <c r="N1057" s="2">
        <f>IF(SUM('Actual species'!Q1057)&gt;=1,1,IF(SUM('Actual species'!Q1057)="X",1,0))</f>
        <v>0</v>
      </c>
      <c r="O1057" s="2">
        <f>IF(SUM('Actual species'!R1057)&gt;=1,1,IF(SUM('Actual species'!R1057)="X",1,0))</f>
        <v>0</v>
      </c>
      <c r="P1057" s="2">
        <f>IF(SUM('Actual species'!S1057)&gt;=1,1,IF(SUM('Actual species'!S1057)="X",1,0))</f>
        <v>0</v>
      </c>
      <c r="Q1057" s="2">
        <f>IF(SUM('Actual species'!T1057)&gt;=1,1,IF(SUM('Actual species'!T1057)="X",1,0))</f>
        <v>0</v>
      </c>
      <c r="R1057" s="2">
        <f>IF(SUM('Actual species'!U1057)&gt;=1,1,IF(SUM('Actual species'!U1057)="X",1,0))</f>
        <v>0</v>
      </c>
    </row>
    <row r="1058" spans="1:18" x14ac:dyDescent="0.3">
      <c r="A1058" s="113" t="str">
        <f>'Actual species'!A1058</f>
        <v>Quedius cf. Paganettii</v>
      </c>
      <c r="B1058" s="66">
        <f>IF(SUM('Actual species'!B1058:E1058)&gt;=1,1,IF(SUM('Actual species'!B1058:E1058)="X",1,0))</f>
        <v>0</v>
      </c>
      <c r="C1058" s="2">
        <f>IF(SUM('Actual species'!F1058)&gt;=1,1,IF(SUM('Actual species'!F1058)="X",1,0))</f>
        <v>0</v>
      </c>
      <c r="D1058" s="2">
        <f>IF(SUM('Actual species'!G1058)&gt;=1,1,IF(SUM('Actual species'!G1058)="X",1,0))</f>
        <v>0</v>
      </c>
      <c r="E1058" s="2">
        <f>IF(SUM('Actual species'!H1058)&gt;=1,1,IF(SUM('Actual species'!H1058)="X",1,0))</f>
        <v>0</v>
      </c>
      <c r="F1058" s="2">
        <f>IF(SUM('Actual species'!I1058)&gt;=1,1,IF(SUM('Actual species'!I1058)="X",1,0))</f>
        <v>0</v>
      </c>
      <c r="G1058" s="2">
        <f>IF(SUM('Actual species'!J1058)&gt;=1,1,IF(SUM('Actual species'!J1058)="X",1,0))</f>
        <v>0</v>
      </c>
      <c r="H1058" s="2">
        <f>IF(SUM('Actual species'!K1058)&gt;=1,1,IF(SUM('Actual species'!K1058)="X",1,0))</f>
        <v>0</v>
      </c>
      <c r="I1058" s="2">
        <f>IF(SUM('Actual species'!L1058)&gt;=1,1,IF(SUM('Actual species'!L1058)="X",1,0))</f>
        <v>0</v>
      </c>
      <c r="J1058" s="2">
        <f>IF(SUM('Actual species'!M1058)&gt;=1,1,IF(SUM('Actual species'!M1058)="X",1,0))</f>
        <v>0</v>
      </c>
      <c r="K1058" s="2">
        <f>IF(SUM('Actual species'!N1058)&gt;=1,1,IF(SUM('Actual species'!N1058)="X",1,0))</f>
        <v>0</v>
      </c>
      <c r="L1058" s="2">
        <f>IF(SUM('Actual species'!O1058)&gt;=1,1,IF(SUM('Actual species'!O1058)="X",1,0))</f>
        <v>0</v>
      </c>
      <c r="M1058" s="2">
        <f>IF(SUM('Actual species'!P1058)&gt;=1,1,IF(SUM('Actual species'!P1058)="X",1,0))</f>
        <v>1</v>
      </c>
      <c r="N1058" s="2">
        <f>IF(SUM('Actual species'!Q1058)&gt;=1,1,IF(SUM('Actual species'!Q1058)="X",1,0))</f>
        <v>0</v>
      </c>
      <c r="O1058" s="2">
        <f>IF(SUM('Actual species'!R1058)&gt;=1,1,IF(SUM('Actual species'!R1058)="X",1,0))</f>
        <v>0</v>
      </c>
      <c r="P1058" s="2">
        <f>IF(SUM('Actual species'!S1058)&gt;=1,1,IF(SUM('Actual species'!S1058)="X",1,0))</f>
        <v>0</v>
      </c>
      <c r="Q1058" s="2">
        <f>IF(SUM('Actual species'!T1058)&gt;=1,1,IF(SUM('Actual species'!T1058)="X",1,0))</f>
        <v>0</v>
      </c>
      <c r="R1058" s="2">
        <f>IF(SUM('Actual species'!U1058)&gt;=1,1,IF(SUM('Actual species'!U1058)="X",1,0))</f>
        <v>0</v>
      </c>
    </row>
    <row r="1059" spans="1:18" x14ac:dyDescent="0.3">
      <c r="A1059" s="113" t="str">
        <f>'Actual species'!A1059</f>
        <v>Quedius cinctus</v>
      </c>
      <c r="B1059" s="66">
        <f>IF(SUM('Actual species'!B1059:E1059)&gt;=1,1,IF(SUM('Actual species'!B1059:E1059)="X",1,0))</f>
        <v>1</v>
      </c>
      <c r="C1059" s="2">
        <f>IF(SUM('Actual species'!F1059)&gt;=1,1,IF(SUM('Actual species'!F1059)="X",1,0))</f>
        <v>0</v>
      </c>
      <c r="D1059" s="2">
        <f>IF(SUM('Actual species'!G1059)&gt;=1,1,IF(SUM('Actual species'!G1059)="X",1,0))</f>
        <v>0</v>
      </c>
      <c r="E1059" s="2">
        <f>IF(SUM('Actual species'!H1059)&gt;=1,1,IF(SUM('Actual species'!H1059)="X",1,0))</f>
        <v>0</v>
      </c>
      <c r="F1059" s="2">
        <f>IF(SUM('Actual species'!I1059)&gt;=1,1,IF(SUM('Actual species'!I1059)="X",1,0))</f>
        <v>0</v>
      </c>
      <c r="G1059" s="2">
        <f>IF(SUM('Actual species'!J1059)&gt;=1,1,IF(SUM('Actual species'!J1059)="X",1,0))</f>
        <v>1</v>
      </c>
      <c r="H1059" s="2">
        <f>IF(SUM('Actual species'!K1059)&gt;=1,1,IF(SUM('Actual species'!K1059)="X",1,0))</f>
        <v>1</v>
      </c>
      <c r="I1059" s="2">
        <f>IF(SUM('Actual species'!L1059)&gt;=1,1,IF(SUM('Actual species'!L1059)="X",1,0))</f>
        <v>0</v>
      </c>
      <c r="J1059" s="2">
        <f>IF(SUM('Actual species'!M1059)&gt;=1,1,IF(SUM('Actual species'!M1059)="X",1,0))</f>
        <v>0</v>
      </c>
      <c r="K1059" s="2">
        <f>IF(SUM('Actual species'!N1059)&gt;=1,1,IF(SUM('Actual species'!N1059)="X",1,0))</f>
        <v>0</v>
      </c>
      <c r="L1059" s="2">
        <f>IF(SUM('Actual species'!O1059)&gt;=1,1,IF(SUM('Actual species'!O1059)="X",1,0))</f>
        <v>0</v>
      </c>
      <c r="M1059" s="2">
        <f>IF(SUM('Actual species'!P1059)&gt;=1,1,IF(SUM('Actual species'!P1059)="X",1,0))</f>
        <v>0</v>
      </c>
      <c r="N1059" s="2">
        <f>IF(SUM('Actual species'!Q1059)&gt;=1,1,IF(SUM('Actual species'!Q1059)="X",1,0))</f>
        <v>0</v>
      </c>
      <c r="O1059" s="2">
        <f>IF(SUM('Actual species'!R1059)&gt;=1,1,IF(SUM('Actual species'!R1059)="X",1,0))</f>
        <v>0</v>
      </c>
      <c r="P1059" s="2">
        <f>IF(SUM('Actual species'!S1059)&gt;=1,1,IF(SUM('Actual species'!S1059)="X",1,0))</f>
        <v>1</v>
      </c>
      <c r="Q1059" s="2">
        <f>IF(SUM('Actual species'!T1059)&gt;=1,1,IF(SUM('Actual species'!T1059)="X",1,0))</f>
        <v>0</v>
      </c>
      <c r="R1059" s="2">
        <f>IF(SUM('Actual species'!U1059)&gt;=1,1,IF(SUM('Actual species'!U1059)="X",1,0))</f>
        <v>0</v>
      </c>
    </row>
    <row r="1060" spans="1:18" x14ac:dyDescent="0.3">
      <c r="A1060" s="113" t="str">
        <f>'Actual species'!A1060</f>
        <v>Quedius coloratus</v>
      </c>
      <c r="B1060" s="66">
        <f>IF(SUM('Actual species'!B1060:E1060)&gt;=1,1,IF(SUM('Actual species'!B1060:E1060)="X",1,0))</f>
        <v>0</v>
      </c>
      <c r="C1060" s="2">
        <f>IF(SUM('Actual species'!F1060)&gt;=1,1,IF(SUM('Actual species'!F1060)="X",1,0))</f>
        <v>0</v>
      </c>
      <c r="D1060" s="2">
        <f>IF(SUM('Actual species'!G1060)&gt;=1,1,IF(SUM('Actual species'!G1060)="X",1,0))</f>
        <v>0</v>
      </c>
      <c r="E1060" s="2">
        <f>IF(SUM('Actual species'!H1060)&gt;=1,1,IF(SUM('Actual species'!H1060)="X",1,0))</f>
        <v>0</v>
      </c>
      <c r="F1060" s="2">
        <f>IF(SUM('Actual species'!I1060)&gt;=1,1,IF(SUM('Actual species'!I1060)="X",1,0))</f>
        <v>1</v>
      </c>
      <c r="G1060" s="2">
        <f>IF(SUM('Actual species'!J1060)&gt;=1,1,IF(SUM('Actual species'!J1060)="X",1,0))</f>
        <v>0</v>
      </c>
      <c r="H1060" s="2">
        <f>IF(SUM('Actual species'!K1060)&gt;=1,1,IF(SUM('Actual species'!K1060)="X",1,0))</f>
        <v>0</v>
      </c>
      <c r="I1060" s="2">
        <f>IF(SUM('Actual species'!L1060)&gt;=1,1,IF(SUM('Actual species'!L1060)="X",1,0))</f>
        <v>0</v>
      </c>
      <c r="J1060" s="2">
        <f>IF(SUM('Actual species'!M1060)&gt;=1,1,IF(SUM('Actual species'!M1060)="X",1,0))</f>
        <v>0</v>
      </c>
      <c r="K1060" s="2">
        <f>IF(SUM('Actual species'!N1060)&gt;=1,1,IF(SUM('Actual species'!N1060)="X",1,0))</f>
        <v>0</v>
      </c>
      <c r="L1060" s="2">
        <f>IF(SUM('Actual species'!O1060)&gt;=1,1,IF(SUM('Actual species'!O1060)="X",1,0))</f>
        <v>1</v>
      </c>
      <c r="M1060" s="2">
        <f>IF(SUM('Actual species'!P1060)&gt;=1,1,IF(SUM('Actual species'!P1060)="X",1,0))</f>
        <v>0</v>
      </c>
      <c r="N1060" s="2">
        <f>IF(SUM('Actual species'!Q1060)&gt;=1,1,IF(SUM('Actual species'!Q1060)="X",1,0))</f>
        <v>0</v>
      </c>
      <c r="O1060" s="2">
        <f>IF(SUM('Actual species'!R1060)&gt;=1,1,IF(SUM('Actual species'!R1060)="X",1,0))</f>
        <v>0</v>
      </c>
      <c r="P1060" s="2">
        <f>IF(SUM('Actual species'!S1060)&gt;=1,1,IF(SUM('Actual species'!S1060)="X",1,0))</f>
        <v>0</v>
      </c>
      <c r="Q1060" s="2">
        <f>IF(SUM('Actual species'!T1060)&gt;=1,1,IF(SUM('Actual species'!T1060)="X",1,0))</f>
        <v>0</v>
      </c>
      <c r="R1060" s="2">
        <f>IF(SUM('Actual species'!U1060)&gt;=1,1,IF(SUM('Actual species'!U1060)="X",1,0))</f>
        <v>0</v>
      </c>
    </row>
    <row r="1061" spans="1:18" x14ac:dyDescent="0.3">
      <c r="A1061" s="113" t="str">
        <f>'Actual species'!A1061</f>
        <v>Quedius coxalis</v>
      </c>
      <c r="B1061" s="66">
        <f>IF(SUM('Actual species'!B1061:E1061)&gt;=1,1,IF(SUM('Actual species'!B1061:E1061)="X",1,0))</f>
        <v>1</v>
      </c>
      <c r="C1061" s="2">
        <f>IF(SUM('Actual species'!F1061)&gt;=1,1,IF(SUM('Actual species'!F1061)="X",1,0))</f>
        <v>0</v>
      </c>
      <c r="D1061" s="2">
        <f>IF(SUM('Actual species'!G1061)&gt;=1,1,IF(SUM('Actual species'!G1061)="X",1,0))</f>
        <v>0</v>
      </c>
      <c r="E1061" s="2">
        <f>IF(SUM('Actual species'!H1061)&gt;=1,1,IF(SUM('Actual species'!H1061)="X",1,0))</f>
        <v>0</v>
      </c>
      <c r="F1061" s="2">
        <f>IF(SUM('Actual species'!I1061)&gt;=1,1,IF(SUM('Actual species'!I1061)="X",1,0))</f>
        <v>0</v>
      </c>
      <c r="G1061" s="2">
        <f>IF(SUM('Actual species'!J1061)&gt;=1,1,IF(SUM('Actual species'!J1061)="X",1,0))</f>
        <v>0</v>
      </c>
      <c r="H1061" s="2">
        <f>IF(SUM('Actual species'!K1061)&gt;=1,1,IF(SUM('Actual species'!K1061)="X",1,0))</f>
        <v>0</v>
      </c>
      <c r="I1061" s="2">
        <f>IF(SUM('Actual species'!L1061)&gt;=1,1,IF(SUM('Actual species'!L1061)="X",1,0))</f>
        <v>0</v>
      </c>
      <c r="J1061" s="2">
        <f>IF(SUM('Actual species'!M1061)&gt;=1,1,IF(SUM('Actual species'!M1061)="X",1,0))</f>
        <v>0</v>
      </c>
      <c r="K1061" s="2">
        <f>IF(SUM('Actual species'!N1061)&gt;=1,1,IF(SUM('Actual species'!N1061)="X",1,0))</f>
        <v>0</v>
      </c>
      <c r="L1061" s="2">
        <f>IF(SUM('Actual species'!O1061)&gt;=1,1,IF(SUM('Actual species'!O1061)="X",1,0))</f>
        <v>0</v>
      </c>
      <c r="M1061" s="2">
        <f>IF(SUM('Actual species'!P1061)&gt;=1,1,IF(SUM('Actual species'!P1061)="X",1,0))</f>
        <v>0</v>
      </c>
      <c r="N1061" s="2">
        <f>IF(SUM('Actual species'!Q1061)&gt;=1,1,IF(SUM('Actual species'!Q1061)="X",1,0))</f>
        <v>0</v>
      </c>
      <c r="O1061" s="2">
        <f>IF(SUM('Actual species'!R1061)&gt;=1,1,IF(SUM('Actual species'!R1061)="X",1,0))</f>
        <v>0</v>
      </c>
      <c r="P1061" s="2">
        <f>IF(SUM('Actual species'!S1061)&gt;=1,1,IF(SUM('Actual species'!S1061)="X",1,0))</f>
        <v>0</v>
      </c>
      <c r="Q1061" s="2">
        <f>IF(SUM('Actual species'!T1061)&gt;=1,1,IF(SUM('Actual species'!T1061)="X",1,0))</f>
        <v>0</v>
      </c>
      <c r="R1061" s="2">
        <f>IF(SUM('Actual species'!U1061)&gt;=1,1,IF(SUM('Actual species'!U1061)="X",1,0))</f>
        <v>0</v>
      </c>
    </row>
    <row r="1062" spans="1:18" x14ac:dyDescent="0.3">
      <c r="A1062" s="113" t="str">
        <f>'Actual species'!A1062</f>
        <v>Quedius curtidens</v>
      </c>
      <c r="B1062" s="66">
        <f>IF(SUM('Actual species'!B1062:E1062)&gt;=1,1,IF(SUM('Actual species'!B1062:E1062)="X",1,0))</f>
        <v>0</v>
      </c>
      <c r="C1062" s="2">
        <f>IF(SUM('Actual species'!F1062)&gt;=1,1,IF(SUM('Actual species'!F1062)="X",1,0))</f>
        <v>0</v>
      </c>
      <c r="D1062" s="2">
        <f>IF(SUM('Actual species'!G1062)&gt;=1,1,IF(SUM('Actual species'!G1062)="X",1,0))</f>
        <v>0</v>
      </c>
      <c r="E1062" s="2">
        <f>IF(SUM('Actual species'!H1062)&gt;=1,1,IF(SUM('Actual species'!H1062)="X",1,0))</f>
        <v>1</v>
      </c>
      <c r="F1062" s="2">
        <f>IF(SUM('Actual species'!I1062)&gt;=1,1,IF(SUM('Actual species'!I1062)="X",1,0))</f>
        <v>0</v>
      </c>
      <c r="G1062" s="2">
        <f>IF(SUM('Actual species'!J1062)&gt;=1,1,IF(SUM('Actual species'!J1062)="X",1,0))</f>
        <v>0</v>
      </c>
      <c r="H1062" s="2">
        <f>IF(SUM('Actual species'!K1062)&gt;=1,1,IF(SUM('Actual species'!K1062)="X",1,0))</f>
        <v>0</v>
      </c>
      <c r="I1062" s="2">
        <f>IF(SUM('Actual species'!L1062)&gt;=1,1,IF(SUM('Actual species'!L1062)="X",1,0))</f>
        <v>0</v>
      </c>
      <c r="J1062" s="2">
        <f>IF(SUM('Actual species'!M1062)&gt;=1,1,IF(SUM('Actual species'!M1062)="X",1,0))</f>
        <v>0</v>
      </c>
      <c r="K1062" s="2">
        <f>IF(SUM('Actual species'!N1062)&gt;=1,1,IF(SUM('Actual species'!N1062)="X",1,0))</f>
        <v>1</v>
      </c>
      <c r="L1062" s="2">
        <f>IF(SUM('Actual species'!O1062)&gt;=1,1,IF(SUM('Actual species'!O1062)="X",1,0))</f>
        <v>0</v>
      </c>
      <c r="M1062" s="2">
        <f>IF(SUM('Actual species'!P1062)&gt;=1,1,IF(SUM('Actual species'!P1062)="X",1,0))</f>
        <v>0</v>
      </c>
      <c r="N1062" s="2">
        <f>IF(SUM('Actual species'!Q1062)&gt;=1,1,IF(SUM('Actual species'!Q1062)="X",1,0))</f>
        <v>0</v>
      </c>
      <c r="O1062" s="2">
        <f>IF(SUM('Actual species'!R1062)&gt;=1,1,IF(SUM('Actual species'!R1062)="X",1,0))</f>
        <v>0</v>
      </c>
      <c r="P1062" s="2">
        <f>IF(SUM('Actual species'!S1062)&gt;=1,1,IF(SUM('Actual species'!S1062)="X",1,0))</f>
        <v>0</v>
      </c>
      <c r="Q1062" s="2">
        <f>IF(SUM('Actual species'!T1062)&gt;=1,1,IF(SUM('Actual species'!T1062)="X",1,0))</f>
        <v>0</v>
      </c>
      <c r="R1062" s="2">
        <f>IF(SUM('Actual species'!U1062)&gt;=1,1,IF(SUM('Actual species'!U1062)="X",1,0))</f>
        <v>0</v>
      </c>
    </row>
    <row r="1063" spans="1:18" x14ac:dyDescent="0.3">
      <c r="A1063" s="113" t="str">
        <f>'Actual species'!A1063</f>
        <v>Quedius cyprusensis</v>
      </c>
      <c r="B1063" s="66">
        <f>IF(SUM('Actual species'!B1063:E1063)&gt;=1,1,IF(SUM('Actual species'!B1063:E1063)="X",1,0))</f>
        <v>1</v>
      </c>
      <c r="C1063" s="2">
        <f>IF(SUM('Actual species'!F1063)&gt;=1,1,IF(SUM('Actual species'!F1063)="X",1,0))</f>
        <v>0</v>
      </c>
      <c r="D1063" s="2">
        <f>IF(SUM('Actual species'!G1063)&gt;=1,1,IF(SUM('Actual species'!G1063)="X",1,0))</f>
        <v>0</v>
      </c>
      <c r="E1063" s="2">
        <f>IF(SUM('Actual species'!H1063)&gt;=1,1,IF(SUM('Actual species'!H1063)="X",1,0))</f>
        <v>0</v>
      </c>
      <c r="F1063" s="2">
        <f>IF(SUM('Actual species'!I1063)&gt;=1,1,IF(SUM('Actual species'!I1063)="X",1,0))</f>
        <v>0</v>
      </c>
      <c r="G1063" s="2">
        <f>IF(SUM('Actual species'!J1063)&gt;=1,1,IF(SUM('Actual species'!J1063)="X",1,0))</f>
        <v>0</v>
      </c>
      <c r="H1063" s="2">
        <f>IF(SUM('Actual species'!K1063)&gt;=1,1,IF(SUM('Actual species'!K1063)="X",1,0))</f>
        <v>0</v>
      </c>
      <c r="I1063" s="2">
        <f>IF(SUM('Actual species'!L1063)&gt;=1,1,IF(SUM('Actual species'!L1063)="X",1,0))</f>
        <v>0</v>
      </c>
      <c r="J1063" s="2">
        <f>IF(SUM('Actual species'!M1063)&gt;=1,1,IF(SUM('Actual species'!M1063)="X",1,0))</f>
        <v>0</v>
      </c>
      <c r="K1063" s="2">
        <f>IF(SUM('Actual species'!N1063)&gt;=1,1,IF(SUM('Actual species'!N1063)="X",1,0))</f>
        <v>0</v>
      </c>
      <c r="L1063" s="2">
        <f>IF(SUM('Actual species'!O1063)&gt;=1,1,IF(SUM('Actual species'!O1063)="X",1,0))</f>
        <v>0</v>
      </c>
      <c r="M1063" s="2">
        <f>IF(SUM('Actual species'!P1063)&gt;=1,1,IF(SUM('Actual species'!P1063)="X",1,0))</f>
        <v>0</v>
      </c>
      <c r="N1063" s="2">
        <f>IF(SUM('Actual species'!Q1063)&gt;=1,1,IF(SUM('Actual species'!Q1063)="X",1,0))</f>
        <v>0</v>
      </c>
      <c r="O1063" s="2">
        <f>IF(SUM('Actual species'!R1063)&gt;=1,1,IF(SUM('Actual species'!R1063)="X",1,0))</f>
        <v>0</v>
      </c>
      <c r="P1063" s="2">
        <f>IF(SUM('Actual species'!S1063)&gt;=1,1,IF(SUM('Actual species'!S1063)="X",1,0))</f>
        <v>0</v>
      </c>
      <c r="Q1063" s="2">
        <f>IF(SUM('Actual species'!T1063)&gt;=1,1,IF(SUM('Actual species'!T1063)="X",1,0))</f>
        <v>0</v>
      </c>
      <c r="R1063" s="2">
        <f>IF(SUM('Actual species'!U1063)&gt;=1,1,IF(SUM('Actual species'!U1063)="X",1,0))</f>
        <v>0</v>
      </c>
    </row>
    <row r="1064" spans="1:18" x14ac:dyDescent="0.3">
      <c r="A1064" s="113" t="str">
        <f>'Actual species'!A1064</f>
        <v>Quedius erinci</v>
      </c>
      <c r="B1064" s="66">
        <f>IF(SUM('Actual species'!B1064:E1064)&gt;=1,1,IF(SUM('Actual species'!B1064:E1064)="X",1,0))</f>
        <v>0</v>
      </c>
      <c r="C1064" s="2">
        <f>IF(SUM('Actual species'!F1064)&gt;=1,1,IF(SUM('Actual species'!F1064)="X",1,0))</f>
        <v>0</v>
      </c>
      <c r="D1064" s="2">
        <f>IF(SUM('Actual species'!G1064)&gt;=1,1,IF(SUM('Actual species'!G1064)="X",1,0))</f>
        <v>0</v>
      </c>
      <c r="E1064" s="2">
        <f>IF(SUM('Actual species'!H1064)&gt;=1,1,IF(SUM('Actual species'!H1064)="X",1,0))</f>
        <v>0</v>
      </c>
      <c r="F1064" s="2">
        <f>IF(SUM('Actual species'!I1064)&gt;=1,1,IF(SUM('Actual species'!I1064)="X",1,0))</f>
        <v>0</v>
      </c>
      <c r="G1064" s="2">
        <f>IF(SUM('Actual species'!J1064)&gt;=1,1,IF(SUM('Actual species'!J1064)="X",1,0))</f>
        <v>0</v>
      </c>
      <c r="H1064" s="2">
        <f>IF(SUM('Actual species'!K1064)&gt;=1,1,IF(SUM('Actual species'!K1064)="X",1,0))</f>
        <v>0</v>
      </c>
      <c r="I1064" s="2">
        <f>IF(SUM('Actual species'!L1064)&gt;=1,1,IF(SUM('Actual species'!L1064)="X",1,0))</f>
        <v>0</v>
      </c>
      <c r="J1064" s="2">
        <f>IF(SUM('Actual species'!M1064)&gt;=1,1,IF(SUM('Actual species'!M1064)="X",1,0))</f>
        <v>0</v>
      </c>
      <c r="K1064" s="2">
        <f>IF(SUM('Actual species'!N1064)&gt;=1,1,IF(SUM('Actual species'!N1064)="X",1,0))</f>
        <v>0</v>
      </c>
      <c r="L1064" s="2">
        <f>IF(SUM('Actual species'!O1064)&gt;=1,1,IF(SUM('Actual species'!O1064)="X",1,0))</f>
        <v>0</v>
      </c>
      <c r="M1064" s="2">
        <f>IF(SUM('Actual species'!P1064)&gt;=1,1,IF(SUM('Actual species'!P1064)="X",1,0))</f>
        <v>0</v>
      </c>
      <c r="N1064" s="2">
        <f>IF(SUM('Actual species'!Q1064)&gt;=1,1,IF(SUM('Actual species'!Q1064)="X",1,0))</f>
        <v>0</v>
      </c>
      <c r="O1064" s="2">
        <f>IF(SUM('Actual species'!R1064)&gt;=1,1,IF(SUM('Actual species'!R1064)="X",1,0))</f>
        <v>1</v>
      </c>
      <c r="P1064" s="2">
        <f>IF(SUM('Actual species'!S1064)&gt;=1,1,IF(SUM('Actual species'!S1064)="X",1,0))</f>
        <v>1</v>
      </c>
      <c r="Q1064" s="2">
        <f>IF(SUM('Actual species'!T1064)&gt;=1,1,IF(SUM('Actual species'!T1064)="X",1,0))</f>
        <v>0</v>
      </c>
      <c r="R1064" s="2">
        <f>IF(SUM('Actual species'!U1064)&gt;=1,1,IF(SUM('Actual species'!U1064)="X",1,0))</f>
        <v>0</v>
      </c>
    </row>
    <row r="1065" spans="1:18" x14ac:dyDescent="0.3">
      <c r="A1065" s="113" t="str">
        <f>'Actual species'!A1065</f>
        <v>Quedius fissus</v>
      </c>
      <c r="B1065" s="66">
        <f>IF(SUM('Actual species'!B1065:E1065)&gt;=1,1,IF(SUM('Actual species'!B1065:E1065)="X",1,0))</f>
        <v>0</v>
      </c>
      <c r="C1065" s="2">
        <f>IF(SUM('Actual species'!F1065)&gt;=1,1,IF(SUM('Actual species'!F1065)="X",1,0))</f>
        <v>0</v>
      </c>
      <c r="D1065" s="2">
        <f>IF(SUM('Actual species'!G1065)&gt;=1,1,IF(SUM('Actual species'!G1065)="X",1,0))</f>
        <v>1</v>
      </c>
      <c r="E1065" s="2">
        <f>IF(SUM('Actual species'!H1065)&gt;=1,1,IF(SUM('Actual species'!H1065)="X",1,0))</f>
        <v>0</v>
      </c>
      <c r="F1065" s="2">
        <f>IF(SUM('Actual species'!I1065)&gt;=1,1,IF(SUM('Actual species'!I1065)="X",1,0))</f>
        <v>1</v>
      </c>
      <c r="G1065" s="2">
        <f>IF(SUM('Actual species'!J1065)&gt;=1,1,IF(SUM('Actual species'!J1065)="X",1,0))</f>
        <v>0</v>
      </c>
      <c r="H1065" s="2">
        <f>IF(SUM('Actual species'!K1065)&gt;=1,1,IF(SUM('Actual species'!K1065)="X",1,0))</f>
        <v>1</v>
      </c>
      <c r="I1065" s="2">
        <f>IF(SUM('Actual species'!L1065)&gt;=1,1,IF(SUM('Actual species'!L1065)="X",1,0))</f>
        <v>0</v>
      </c>
      <c r="J1065" s="2">
        <f>IF(SUM('Actual species'!M1065)&gt;=1,1,IF(SUM('Actual species'!M1065)="X",1,0))</f>
        <v>0</v>
      </c>
      <c r="K1065" s="2">
        <f>IF(SUM('Actual species'!N1065)&gt;=1,1,IF(SUM('Actual species'!N1065)="X",1,0))</f>
        <v>0</v>
      </c>
      <c r="L1065" s="2">
        <f>IF(SUM('Actual species'!O1065)&gt;=1,1,IF(SUM('Actual species'!O1065)="X",1,0))</f>
        <v>0</v>
      </c>
      <c r="M1065" s="2">
        <f>IF(SUM('Actual species'!P1065)&gt;=1,1,IF(SUM('Actual species'!P1065)="X",1,0))</f>
        <v>0</v>
      </c>
      <c r="N1065" s="2">
        <f>IF(SUM('Actual species'!Q1065)&gt;=1,1,IF(SUM('Actual species'!Q1065)="X",1,0))</f>
        <v>0</v>
      </c>
      <c r="O1065" s="2">
        <f>IF(SUM('Actual species'!R1065)&gt;=1,1,IF(SUM('Actual species'!R1065)="X",1,0))</f>
        <v>0</v>
      </c>
      <c r="P1065" s="2">
        <f>IF(SUM('Actual species'!S1065)&gt;=1,1,IF(SUM('Actual species'!S1065)="X",1,0))</f>
        <v>0</v>
      </c>
      <c r="Q1065" s="2">
        <f>IF(SUM('Actual species'!T1065)&gt;=1,1,IF(SUM('Actual species'!T1065)="X",1,0))</f>
        <v>0</v>
      </c>
      <c r="R1065" s="2">
        <f>IF(SUM('Actual species'!U1065)&gt;=1,1,IF(SUM('Actual species'!U1065)="X",1,0))</f>
        <v>0</v>
      </c>
    </row>
    <row r="1066" spans="1:18" x14ac:dyDescent="0.3">
      <c r="A1066" s="113" t="str">
        <f>'Actual species'!A1066</f>
        <v xml:space="preserve">Quedius fulgidus creticus (E) </v>
      </c>
      <c r="B1066" s="66">
        <f>IF(SUM('Actual species'!B1066:E1066)&gt;=1,1,IF(SUM('Actual species'!B1066:E1066)="X",1,0))</f>
        <v>0</v>
      </c>
      <c r="C1066" s="2">
        <f>IF(SUM('Actual species'!F1066)&gt;=1,1,IF(SUM('Actual species'!F1066)="X",1,0))</f>
        <v>0</v>
      </c>
      <c r="D1066" s="2">
        <f>IF(SUM('Actual species'!G1066)&gt;=1,1,IF(SUM('Actual species'!G1066)="X",1,0))</f>
        <v>0</v>
      </c>
      <c r="E1066" s="2">
        <f>IF(SUM('Actual species'!H1066)&gt;=1,1,IF(SUM('Actual species'!H1066)="X",1,0))</f>
        <v>0</v>
      </c>
      <c r="F1066" s="2">
        <f>IF(SUM('Actual species'!I1066)&gt;=1,1,IF(SUM('Actual species'!I1066)="X",1,0))</f>
        <v>0</v>
      </c>
      <c r="G1066" s="2">
        <f>IF(SUM('Actual species'!J1066)&gt;=1,1,IF(SUM('Actual species'!J1066)="X",1,0))</f>
        <v>0</v>
      </c>
      <c r="H1066" s="2">
        <f>IF(SUM('Actual species'!K1066)&gt;=1,1,IF(SUM('Actual species'!K1066)="X",1,0))</f>
        <v>0</v>
      </c>
      <c r="I1066" s="2">
        <f>IF(SUM('Actual species'!L1066)&gt;=1,1,IF(SUM('Actual species'!L1066)="X",1,0))</f>
        <v>0</v>
      </c>
      <c r="J1066" s="2">
        <f>IF(SUM('Actual species'!M1066)&gt;=1,1,IF(SUM('Actual species'!M1066)="X",1,0))</f>
        <v>0</v>
      </c>
      <c r="K1066" s="2">
        <f>IF(SUM('Actual species'!N1066)&gt;=1,1,IF(SUM('Actual species'!N1066)="X",1,0))</f>
        <v>0</v>
      </c>
      <c r="L1066" s="2">
        <f>IF(SUM('Actual species'!O1066)&gt;=1,1,IF(SUM('Actual species'!O1066)="X",1,0))</f>
        <v>0</v>
      </c>
      <c r="M1066" s="2">
        <f>IF(SUM('Actual species'!P1066)&gt;=1,1,IF(SUM('Actual species'!P1066)="X",1,0))</f>
        <v>0</v>
      </c>
      <c r="N1066" s="2">
        <f>IF(SUM('Actual species'!Q1066)&gt;=1,1,IF(SUM('Actual species'!Q1066)="X",1,0))</f>
        <v>0</v>
      </c>
      <c r="O1066" s="2">
        <f>IF(SUM('Actual species'!R1066)&gt;=1,1,IF(SUM('Actual species'!R1066)="X",1,0))</f>
        <v>0</v>
      </c>
      <c r="P1066" s="2">
        <f>IF(SUM('Actual species'!S1066)&gt;=1,1,IF(SUM('Actual species'!S1066)="X",1,0))</f>
        <v>0</v>
      </c>
      <c r="Q1066" s="2">
        <f>IF(SUM('Actual species'!T1066)&gt;=1,1,IF(SUM('Actual species'!T1066)="X",1,0))</f>
        <v>0</v>
      </c>
      <c r="R1066" s="2">
        <f>IF(SUM('Actual species'!U1066)&gt;=1,1,IF(SUM('Actual species'!U1066)="X",1,0))</f>
        <v>0</v>
      </c>
    </row>
    <row r="1067" spans="1:18" x14ac:dyDescent="0.3">
      <c r="A1067" s="113" t="str">
        <f>'Actual species'!A1067</f>
        <v>Quedius hellenicus (More at location)</v>
      </c>
      <c r="B1067" s="66">
        <f>IF(SUM('Actual species'!B1067:E1067)&gt;=1,1,IF(SUM('Actual species'!B1067:E1067)="X",1,0))</f>
        <v>0</v>
      </c>
      <c r="C1067" s="2">
        <f>IF(SUM('Actual species'!F1067)&gt;=1,1,IF(SUM('Actual species'!F1067)="X",1,0))</f>
        <v>0</v>
      </c>
      <c r="D1067" s="2">
        <f>IF(SUM('Actual species'!G1067)&gt;=1,1,IF(SUM('Actual species'!G1067)="X",1,0))</f>
        <v>0</v>
      </c>
      <c r="E1067" s="2">
        <f>IF(SUM('Actual species'!H1067)&gt;=1,1,IF(SUM('Actual species'!H1067)="X",1,0))</f>
        <v>0</v>
      </c>
      <c r="F1067" s="2">
        <f>IF(SUM('Actual species'!I1067)&gt;=1,1,IF(SUM('Actual species'!I1067)="X",1,0))</f>
        <v>0</v>
      </c>
      <c r="G1067" s="2">
        <f>IF(SUM('Actual species'!J1067)&gt;=1,1,IF(SUM('Actual species'!J1067)="X",1,0))</f>
        <v>0</v>
      </c>
      <c r="H1067" s="2">
        <f>IF(SUM('Actual species'!K1067)&gt;=1,1,IF(SUM('Actual species'!K1067)="X",1,0))</f>
        <v>0</v>
      </c>
      <c r="I1067" s="2">
        <f>IF(SUM('Actual species'!L1067)&gt;=1,1,IF(SUM('Actual species'!L1067)="X",1,0))</f>
        <v>0</v>
      </c>
      <c r="J1067" s="2">
        <f>IF(SUM('Actual species'!M1067)&gt;=1,1,IF(SUM('Actual species'!M1067)="X",1,0))</f>
        <v>1</v>
      </c>
      <c r="K1067" s="2">
        <f>IF(SUM('Actual species'!N1067)&gt;=1,1,IF(SUM('Actual species'!N1067)="X",1,0))</f>
        <v>0</v>
      </c>
      <c r="L1067" s="2">
        <f>IF(SUM('Actual species'!O1067)&gt;=1,1,IF(SUM('Actual species'!O1067)="X",1,0))</f>
        <v>0</v>
      </c>
      <c r="M1067" s="2">
        <f>IF(SUM('Actual species'!P1067)&gt;=1,1,IF(SUM('Actual species'!P1067)="X",1,0))</f>
        <v>0</v>
      </c>
      <c r="N1067" s="2">
        <f>IF(SUM('Actual species'!Q1067)&gt;=1,1,IF(SUM('Actual species'!Q1067)="X",1,0))</f>
        <v>0</v>
      </c>
      <c r="O1067" s="2">
        <f>IF(SUM('Actual species'!R1067)&gt;=1,1,IF(SUM('Actual species'!R1067)="X",1,0))</f>
        <v>0</v>
      </c>
      <c r="P1067" s="2">
        <f>IF(SUM('Actual species'!S1067)&gt;=1,1,IF(SUM('Actual species'!S1067)="X",1,0))</f>
        <v>0</v>
      </c>
      <c r="Q1067" s="2">
        <f>IF(SUM('Actual species'!T1067)&gt;=1,1,IF(SUM('Actual species'!T1067)="X",1,0))</f>
        <v>0</v>
      </c>
      <c r="R1067" s="2">
        <f>IF(SUM('Actual species'!U1067)&gt;=1,1,IF(SUM('Actual species'!U1067)="X",1,0))</f>
        <v>0</v>
      </c>
    </row>
    <row r="1068" spans="1:18" x14ac:dyDescent="0.3">
      <c r="A1068" s="113" t="str">
        <f>'Actual species'!A1068</f>
        <v>Quedius humeralis</v>
      </c>
      <c r="B1068" s="66">
        <f>IF(SUM('Actual species'!B1068:E1068)&gt;=1,1,IF(SUM('Actual species'!B1068:E1068)="X",1,0))</f>
        <v>0</v>
      </c>
      <c r="C1068" s="2">
        <f>IF(SUM('Actual species'!F1068)&gt;=1,1,IF(SUM('Actual species'!F1068)="X",1,0))</f>
        <v>1</v>
      </c>
      <c r="D1068" s="2">
        <f>IF(SUM('Actual species'!G1068)&gt;=1,1,IF(SUM('Actual species'!G1068)="X",1,0))</f>
        <v>0</v>
      </c>
      <c r="E1068" s="2">
        <f>IF(SUM('Actual species'!H1068)&gt;=1,1,IF(SUM('Actual species'!H1068)="X",1,0))</f>
        <v>0</v>
      </c>
      <c r="F1068" s="2">
        <f>IF(SUM('Actual species'!I1068)&gt;=1,1,IF(SUM('Actual species'!I1068)="X",1,0))</f>
        <v>1</v>
      </c>
      <c r="G1068" s="2">
        <f>IF(SUM('Actual species'!J1068)&gt;=1,1,IF(SUM('Actual species'!J1068)="X",1,0))</f>
        <v>1</v>
      </c>
      <c r="H1068" s="2">
        <f>IF(SUM('Actual species'!K1068)&gt;=1,1,IF(SUM('Actual species'!K1068)="X",1,0))</f>
        <v>1</v>
      </c>
      <c r="I1068" s="2">
        <f>IF(SUM('Actual species'!L1068)&gt;=1,1,IF(SUM('Actual species'!L1068)="X",1,0))</f>
        <v>0</v>
      </c>
      <c r="J1068" s="2">
        <f>IF(SUM('Actual species'!M1068)&gt;=1,1,IF(SUM('Actual species'!M1068)="X",1,0))</f>
        <v>0</v>
      </c>
      <c r="K1068" s="2">
        <f>IF(SUM('Actual species'!N1068)&gt;=1,1,IF(SUM('Actual species'!N1068)="X",1,0))</f>
        <v>1</v>
      </c>
      <c r="L1068" s="2">
        <f>IF(SUM('Actual species'!O1068)&gt;=1,1,IF(SUM('Actual species'!O1068)="X",1,0))</f>
        <v>1</v>
      </c>
      <c r="M1068" s="2">
        <f>IF(SUM('Actual species'!P1068)&gt;=1,1,IF(SUM('Actual species'!P1068)="X",1,0))</f>
        <v>0</v>
      </c>
      <c r="N1068" s="2">
        <f>IF(SUM('Actual species'!Q1068)&gt;=1,1,IF(SUM('Actual species'!Q1068)="X",1,0))</f>
        <v>0</v>
      </c>
      <c r="O1068" s="2">
        <f>IF(SUM('Actual species'!R1068)&gt;=1,1,IF(SUM('Actual species'!R1068)="X",1,0))</f>
        <v>0</v>
      </c>
      <c r="P1068" s="2">
        <f>IF(SUM('Actual species'!S1068)&gt;=1,1,IF(SUM('Actual species'!S1068)="X",1,0))</f>
        <v>0</v>
      </c>
      <c r="Q1068" s="2">
        <f>IF(SUM('Actual species'!T1068)&gt;=1,1,IF(SUM('Actual species'!T1068)="X",1,0))</f>
        <v>0</v>
      </c>
      <c r="R1068" s="2">
        <f>IF(SUM('Actual species'!U1068)&gt;=1,1,IF(SUM('Actual species'!U1068)="X",1,0))</f>
        <v>0</v>
      </c>
    </row>
    <row r="1069" spans="1:18" x14ac:dyDescent="0.3">
      <c r="A1069" s="113" t="str">
        <f>'Actual species'!A1069</f>
        <v>Quedius incensus</v>
      </c>
      <c r="B1069" s="66">
        <f>IF(SUM('Actual species'!B1069:E1069)&gt;=1,1,IF(SUM('Actual species'!B1069:E1069)="X",1,0))</f>
        <v>0</v>
      </c>
      <c r="C1069" s="2">
        <f>IF(SUM('Actual species'!F1069)&gt;=1,1,IF(SUM('Actual species'!F1069)="X",1,0))</f>
        <v>0</v>
      </c>
      <c r="D1069" s="2">
        <f>IF(SUM('Actual species'!G1069)&gt;=1,1,IF(SUM('Actual species'!G1069)="X",1,0))</f>
        <v>0</v>
      </c>
      <c r="E1069" s="2">
        <f>IF(SUM('Actual species'!H1069)&gt;=1,1,IF(SUM('Actual species'!H1069)="X",1,0))</f>
        <v>0</v>
      </c>
      <c r="F1069" s="2">
        <f>IF(SUM('Actual species'!I1069)&gt;=1,1,IF(SUM('Actual species'!I1069)="X",1,0))</f>
        <v>0</v>
      </c>
      <c r="G1069" s="2">
        <f>IF(SUM('Actual species'!J1069)&gt;=1,1,IF(SUM('Actual species'!J1069)="X",1,0))</f>
        <v>0</v>
      </c>
      <c r="H1069" s="2">
        <f>IF(SUM('Actual species'!K1069)&gt;=1,1,IF(SUM('Actual species'!K1069)="X",1,0))</f>
        <v>0</v>
      </c>
      <c r="I1069" s="2">
        <f>IF(SUM('Actual species'!L1069)&gt;=1,1,IF(SUM('Actual species'!L1069)="X",1,0))</f>
        <v>0</v>
      </c>
      <c r="J1069" s="2">
        <f>IF(SUM('Actual species'!M1069)&gt;=1,1,IF(SUM('Actual species'!M1069)="X",1,0))</f>
        <v>1</v>
      </c>
      <c r="K1069" s="2">
        <f>IF(SUM('Actual species'!N1069)&gt;=1,1,IF(SUM('Actual species'!N1069)="X",1,0))</f>
        <v>0</v>
      </c>
      <c r="L1069" s="2">
        <f>IF(SUM('Actual species'!O1069)&gt;=1,1,IF(SUM('Actual species'!O1069)="X",1,0))</f>
        <v>0</v>
      </c>
      <c r="M1069" s="2">
        <f>IF(SUM('Actual species'!P1069)&gt;=1,1,IF(SUM('Actual species'!P1069)="X",1,0))</f>
        <v>0</v>
      </c>
      <c r="N1069" s="2">
        <f>IF(SUM('Actual species'!Q1069)&gt;=1,1,IF(SUM('Actual species'!Q1069)="X",1,0))</f>
        <v>0</v>
      </c>
      <c r="O1069" s="2">
        <f>IF(SUM('Actual species'!R1069)&gt;=1,1,IF(SUM('Actual species'!R1069)="X",1,0))</f>
        <v>0</v>
      </c>
      <c r="P1069" s="2">
        <f>IF(SUM('Actual species'!S1069)&gt;=1,1,IF(SUM('Actual species'!S1069)="X",1,0))</f>
        <v>0</v>
      </c>
      <c r="Q1069" s="2">
        <f>IF(SUM('Actual species'!T1069)&gt;=1,1,IF(SUM('Actual species'!T1069)="X",1,0))</f>
        <v>0</v>
      </c>
      <c r="R1069" s="2">
        <f>IF(SUM('Actual species'!U1069)&gt;=1,1,IF(SUM('Actual species'!U1069)="X",1,0))</f>
        <v>0</v>
      </c>
    </row>
    <row r="1070" spans="1:18" x14ac:dyDescent="0.3">
      <c r="A1070" s="113" t="str">
        <f>'Actual species'!A1070</f>
        <v>Quedius job</v>
      </c>
      <c r="B1070" s="66">
        <f>IF(SUM('Actual species'!B1070:E1070)&gt;=1,1,IF(SUM('Actual species'!B1070:E1070)="X",1,0))</f>
        <v>0</v>
      </c>
      <c r="C1070" s="2">
        <f>IF(SUM('Actual species'!F1070)&gt;=1,1,IF(SUM('Actual species'!F1070)="X",1,0))</f>
        <v>0</v>
      </c>
      <c r="D1070" s="2">
        <f>IF(SUM('Actual species'!G1070)&gt;=1,1,IF(SUM('Actual species'!G1070)="X",1,0))</f>
        <v>0</v>
      </c>
      <c r="E1070" s="2">
        <f>IF(SUM('Actual species'!H1070)&gt;=1,1,IF(SUM('Actual species'!H1070)="X",1,0))</f>
        <v>1</v>
      </c>
      <c r="F1070" s="2">
        <f>IF(SUM('Actual species'!I1070)&gt;=1,1,IF(SUM('Actual species'!I1070)="X",1,0))</f>
        <v>1</v>
      </c>
      <c r="G1070" s="2">
        <f>IF(SUM('Actual species'!J1070)&gt;=1,1,IF(SUM('Actual species'!J1070)="X",1,0))</f>
        <v>0</v>
      </c>
      <c r="H1070" s="2">
        <f>IF(SUM('Actual species'!K1070)&gt;=1,1,IF(SUM('Actual species'!K1070)="X",1,0))</f>
        <v>0</v>
      </c>
      <c r="I1070" s="2">
        <f>IF(SUM('Actual species'!L1070)&gt;=1,1,IF(SUM('Actual species'!L1070)="X",1,0))</f>
        <v>0</v>
      </c>
      <c r="J1070" s="2">
        <f>IF(SUM('Actual species'!M1070)&gt;=1,1,IF(SUM('Actual species'!M1070)="X",1,0))</f>
        <v>0</v>
      </c>
      <c r="K1070" s="2">
        <f>IF(SUM('Actual species'!N1070)&gt;=1,1,IF(SUM('Actual species'!N1070)="X",1,0))</f>
        <v>0</v>
      </c>
      <c r="L1070" s="2">
        <f>IF(SUM('Actual species'!O1070)&gt;=1,1,IF(SUM('Actual species'!O1070)="X",1,0))</f>
        <v>1</v>
      </c>
      <c r="M1070" s="2">
        <f>IF(SUM('Actual species'!P1070)&gt;=1,1,IF(SUM('Actual species'!P1070)="X",1,0))</f>
        <v>0</v>
      </c>
      <c r="N1070" s="2">
        <f>IF(SUM('Actual species'!Q1070)&gt;=1,1,IF(SUM('Actual species'!Q1070)="X",1,0))</f>
        <v>0</v>
      </c>
      <c r="O1070" s="2">
        <f>IF(SUM('Actual species'!R1070)&gt;=1,1,IF(SUM('Actual species'!R1070)="X",1,0))</f>
        <v>0</v>
      </c>
      <c r="P1070" s="2">
        <f>IF(SUM('Actual species'!S1070)&gt;=1,1,IF(SUM('Actual species'!S1070)="X",1,0))</f>
        <v>0</v>
      </c>
      <c r="Q1070" s="2">
        <f>IF(SUM('Actual species'!T1070)&gt;=1,1,IF(SUM('Actual species'!T1070)="X",1,0))</f>
        <v>0</v>
      </c>
      <c r="R1070" s="2">
        <f>IF(SUM('Actual species'!U1070)&gt;=1,1,IF(SUM('Actual species'!U1070)="X",1,0))</f>
        <v>0</v>
      </c>
    </row>
    <row r="1071" spans="1:18" x14ac:dyDescent="0.3">
      <c r="A1071" s="113" t="str">
        <f>'Actual species'!A1071</f>
        <v>Quedius lateralis</v>
      </c>
      <c r="B1071" s="66">
        <f>IF(SUM('Actual species'!B1071:E1071)&gt;=1,1,IF(SUM('Actual species'!B1071:E1071)="X",1,0))</f>
        <v>0</v>
      </c>
      <c r="C1071" s="2">
        <f>IF(SUM('Actual species'!F1071)&gt;=1,1,IF(SUM('Actual species'!F1071)="X",1,0))</f>
        <v>0</v>
      </c>
      <c r="D1071" s="2">
        <f>IF(SUM('Actual species'!G1071)&gt;=1,1,IF(SUM('Actual species'!G1071)="X",1,0))</f>
        <v>0</v>
      </c>
      <c r="E1071" s="2">
        <f>IF(SUM('Actual species'!H1071)&gt;=1,1,IF(SUM('Actual species'!H1071)="X",1,0))</f>
        <v>0</v>
      </c>
      <c r="F1071" s="2">
        <f>IF(SUM('Actual species'!I1071)&gt;=1,1,IF(SUM('Actual species'!I1071)="X",1,0))</f>
        <v>0</v>
      </c>
      <c r="G1071" s="2">
        <f>IF(SUM('Actual species'!J1071)&gt;=1,1,IF(SUM('Actual species'!J1071)="X",1,0))</f>
        <v>0</v>
      </c>
      <c r="H1071" s="2">
        <f>IF(SUM('Actual species'!K1071)&gt;=1,1,IF(SUM('Actual species'!K1071)="X",1,0))</f>
        <v>1</v>
      </c>
      <c r="I1071" s="2">
        <f>IF(SUM('Actual species'!L1071)&gt;=1,1,IF(SUM('Actual species'!L1071)="X",1,0))</f>
        <v>0</v>
      </c>
      <c r="J1071" s="2">
        <f>IF(SUM('Actual species'!M1071)&gt;=1,1,IF(SUM('Actual species'!M1071)="X",1,0))</f>
        <v>1</v>
      </c>
      <c r="K1071" s="2">
        <f>IF(SUM('Actual species'!N1071)&gt;=1,1,IF(SUM('Actual species'!N1071)="X",1,0))</f>
        <v>0</v>
      </c>
      <c r="L1071" s="2">
        <f>IF(SUM('Actual species'!O1071)&gt;=1,1,IF(SUM('Actual species'!O1071)="X",1,0))</f>
        <v>0</v>
      </c>
      <c r="M1071" s="2">
        <f>IF(SUM('Actual species'!P1071)&gt;=1,1,IF(SUM('Actual species'!P1071)="X",1,0))</f>
        <v>0</v>
      </c>
      <c r="N1071" s="2">
        <f>IF(SUM('Actual species'!Q1071)&gt;=1,1,IF(SUM('Actual species'!Q1071)="X",1,0))</f>
        <v>1</v>
      </c>
      <c r="O1071" s="2">
        <f>IF(SUM('Actual species'!R1071)&gt;=1,1,IF(SUM('Actual species'!R1071)="X",1,0))</f>
        <v>0</v>
      </c>
      <c r="P1071" s="2">
        <f>IF(SUM('Actual species'!S1071)&gt;=1,1,IF(SUM('Actual species'!S1071)="X",1,0))</f>
        <v>0</v>
      </c>
      <c r="Q1071" s="2">
        <f>IF(SUM('Actual species'!T1071)&gt;=1,1,IF(SUM('Actual species'!T1071)="X",1,0))</f>
        <v>0</v>
      </c>
      <c r="R1071" s="2">
        <f>IF(SUM('Actual species'!U1071)&gt;=1,1,IF(SUM('Actual species'!U1071)="X",1,0))</f>
        <v>0</v>
      </c>
    </row>
    <row r="1072" spans="1:18" x14ac:dyDescent="0.3">
      <c r="A1072" s="113" t="str">
        <f>'Actual species'!A1072</f>
        <v>Quedius levicollis</v>
      </c>
      <c r="B1072" s="66">
        <f>IF(SUM('Actual species'!B1072:E1072)&gt;=1,1,IF(SUM('Actual species'!B1072:E1072)="X",1,0))</f>
        <v>0</v>
      </c>
      <c r="C1072" s="2">
        <f>IF(SUM('Actual species'!F1072)&gt;=1,1,IF(SUM('Actual species'!F1072)="X",1,0))</f>
        <v>0</v>
      </c>
      <c r="D1072" s="2">
        <f>IF(SUM('Actual species'!G1072)&gt;=1,1,IF(SUM('Actual species'!G1072)="X",1,0))</f>
        <v>0</v>
      </c>
      <c r="E1072" s="2">
        <f>IF(SUM('Actual species'!H1072)&gt;=1,1,IF(SUM('Actual species'!H1072)="X",1,0))</f>
        <v>0</v>
      </c>
      <c r="F1072" s="2">
        <f>IF(SUM('Actual species'!I1072)&gt;=1,1,IF(SUM('Actual species'!I1072)="X",1,0))</f>
        <v>1</v>
      </c>
      <c r="G1072" s="2">
        <f>IF(SUM('Actual species'!J1072)&gt;=1,1,IF(SUM('Actual species'!J1072)="X",1,0))</f>
        <v>1</v>
      </c>
      <c r="H1072" s="2">
        <f>IF(SUM('Actual species'!K1072)&gt;=1,1,IF(SUM('Actual species'!K1072)="X",1,0))</f>
        <v>1</v>
      </c>
      <c r="I1072" s="2">
        <f>IF(SUM('Actual species'!L1072)&gt;=1,1,IF(SUM('Actual species'!L1072)="X",1,0))</f>
        <v>0</v>
      </c>
      <c r="J1072" s="2">
        <f>IF(SUM('Actual species'!M1072)&gt;=1,1,IF(SUM('Actual species'!M1072)="X",1,0))</f>
        <v>1</v>
      </c>
      <c r="K1072" s="2">
        <f>IF(SUM('Actual species'!N1072)&gt;=1,1,IF(SUM('Actual species'!N1072)="X",1,0))</f>
        <v>0</v>
      </c>
      <c r="L1072" s="2">
        <f>IF(SUM('Actual species'!O1072)&gt;=1,1,IF(SUM('Actual species'!O1072)="X",1,0))</f>
        <v>1</v>
      </c>
      <c r="M1072" s="2">
        <f>IF(SUM('Actual species'!P1072)&gt;=1,1,IF(SUM('Actual species'!P1072)="X",1,0))</f>
        <v>0</v>
      </c>
      <c r="N1072" s="2">
        <f>IF(SUM('Actual species'!Q1072)&gt;=1,1,IF(SUM('Actual species'!Q1072)="X",1,0))</f>
        <v>0</v>
      </c>
      <c r="O1072" s="2">
        <f>IF(SUM('Actual species'!R1072)&gt;=1,1,IF(SUM('Actual species'!R1072)="X",1,0))</f>
        <v>0</v>
      </c>
      <c r="P1072" s="2">
        <f>IF(SUM('Actual species'!S1072)&gt;=1,1,IF(SUM('Actual species'!S1072)="X",1,0))</f>
        <v>0</v>
      </c>
      <c r="Q1072" s="2">
        <f>IF(SUM('Actual species'!T1072)&gt;=1,1,IF(SUM('Actual species'!T1072)="X",1,0))</f>
        <v>0</v>
      </c>
      <c r="R1072" s="2">
        <f>IF(SUM('Actual species'!U1072)&gt;=1,1,IF(SUM('Actual species'!U1072)="X",1,0))</f>
        <v>0</v>
      </c>
    </row>
    <row r="1073" spans="1:18" x14ac:dyDescent="0.3">
      <c r="A1073" s="113" t="str">
        <f>'Actual species'!A1073</f>
        <v>Quedius limbatus</v>
      </c>
      <c r="B1073" s="66">
        <f>IF(SUM('Actual species'!B1073:E1073)&gt;=1,1,IF(SUM('Actual species'!B1073:E1073)="X",1,0))</f>
        <v>0</v>
      </c>
      <c r="C1073" s="2">
        <f>IF(SUM('Actual species'!F1073)&gt;=1,1,IF(SUM('Actual species'!F1073)="X",1,0))</f>
        <v>0</v>
      </c>
      <c r="D1073" s="2">
        <f>IF(SUM('Actual species'!G1073)&gt;=1,1,IF(SUM('Actual species'!G1073)="X",1,0))</f>
        <v>0</v>
      </c>
      <c r="E1073" s="2">
        <f>IF(SUM('Actual species'!H1073)&gt;=1,1,IF(SUM('Actual species'!H1073)="X",1,0))</f>
        <v>0</v>
      </c>
      <c r="F1073" s="2">
        <f>IF(SUM('Actual species'!I1073)&gt;=1,1,IF(SUM('Actual species'!I1073)="X",1,0))</f>
        <v>0</v>
      </c>
      <c r="G1073" s="2">
        <f>IF(SUM('Actual species'!J1073)&gt;=1,1,IF(SUM('Actual species'!J1073)="X",1,0))</f>
        <v>0</v>
      </c>
      <c r="H1073" s="2">
        <f>IF(SUM('Actual species'!K1073)&gt;=1,1,IF(SUM('Actual species'!K1073)="X",1,0))</f>
        <v>0</v>
      </c>
      <c r="I1073" s="2">
        <f>IF(SUM('Actual species'!L1073)&gt;=1,1,IF(SUM('Actual species'!L1073)="X",1,0))</f>
        <v>0</v>
      </c>
      <c r="J1073" s="2">
        <f>IF(SUM('Actual species'!M1073)&gt;=1,1,IF(SUM('Actual species'!M1073)="X",1,0))</f>
        <v>0</v>
      </c>
      <c r="K1073" s="2">
        <f>IF(SUM('Actual species'!N1073)&gt;=1,1,IF(SUM('Actual species'!N1073)="X",1,0))</f>
        <v>0</v>
      </c>
      <c r="L1073" s="2">
        <f>IF(SUM('Actual species'!O1073)&gt;=1,1,IF(SUM('Actual species'!O1073)="X",1,0))</f>
        <v>0</v>
      </c>
      <c r="M1073" s="2">
        <f>IF(SUM('Actual species'!P1073)&gt;=1,1,IF(SUM('Actual species'!P1073)="X",1,0))</f>
        <v>0</v>
      </c>
      <c r="N1073" s="2">
        <f>IF(SUM('Actual species'!Q1073)&gt;=1,1,IF(SUM('Actual species'!Q1073)="X",1,0))</f>
        <v>0</v>
      </c>
      <c r="O1073" s="2">
        <f>IF(SUM('Actual species'!R1073)&gt;=1,1,IF(SUM('Actual species'!R1073)="X",1,0))</f>
        <v>0</v>
      </c>
      <c r="P1073" s="2">
        <f>IF(SUM('Actual species'!S1073)&gt;=1,1,IF(SUM('Actual species'!S1073)="X",1,0))</f>
        <v>1</v>
      </c>
      <c r="Q1073" s="2">
        <f>IF(SUM('Actual species'!T1073)&gt;=1,1,IF(SUM('Actual species'!T1073)="X",1,0))</f>
        <v>0</v>
      </c>
      <c r="R1073" s="2">
        <f>IF(SUM('Actual species'!U1073)&gt;=1,1,IF(SUM('Actual species'!U1073)="X",1,0))</f>
        <v>0</v>
      </c>
    </row>
    <row r="1074" spans="1:18" x14ac:dyDescent="0.3">
      <c r="A1074" s="113" t="str">
        <f>'Actual species'!A1074</f>
        <v>Quedius meridiocarpathicus</v>
      </c>
      <c r="B1074" s="66">
        <f>IF(SUM('Actual species'!B1074:E1074)&gt;=1,1,IF(SUM('Actual species'!B1074:E1074)="X",1,0))</f>
        <v>0</v>
      </c>
      <c r="C1074" s="2">
        <f>IF(SUM('Actual species'!F1074)&gt;=1,1,IF(SUM('Actual species'!F1074)="X",1,0))</f>
        <v>0</v>
      </c>
      <c r="D1074" s="2">
        <f>IF(SUM('Actual species'!G1074)&gt;=1,1,IF(SUM('Actual species'!G1074)="X",1,0))</f>
        <v>0</v>
      </c>
      <c r="E1074" s="2">
        <f>IF(SUM('Actual species'!H1074)&gt;=1,1,IF(SUM('Actual species'!H1074)="X",1,0))</f>
        <v>0</v>
      </c>
      <c r="F1074" s="2">
        <f>IF(SUM('Actual species'!I1074)&gt;=1,1,IF(SUM('Actual species'!I1074)="X",1,0))</f>
        <v>0</v>
      </c>
      <c r="G1074" s="2">
        <f>IF(SUM('Actual species'!J1074)&gt;=1,1,IF(SUM('Actual species'!J1074)="X",1,0))</f>
        <v>0</v>
      </c>
      <c r="H1074" s="2">
        <f>IF(SUM('Actual species'!K1074)&gt;=1,1,IF(SUM('Actual species'!K1074)="X",1,0))</f>
        <v>0</v>
      </c>
      <c r="I1074" s="2">
        <f>IF(SUM('Actual species'!L1074)&gt;=1,1,IF(SUM('Actual species'!L1074)="X",1,0))</f>
        <v>0</v>
      </c>
      <c r="J1074" s="2">
        <f>IF(SUM('Actual species'!M1074)&gt;=1,1,IF(SUM('Actual species'!M1074)="X",1,0))</f>
        <v>0</v>
      </c>
      <c r="K1074" s="2">
        <f>IF(SUM('Actual species'!N1074)&gt;=1,1,IF(SUM('Actual species'!N1074)="X",1,0))</f>
        <v>0</v>
      </c>
      <c r="L1074" s="2">
        <f>IF(SUM('Actual species'!O1074)&gt;=1,1,IF(SUM('Actual species'!O1074)="X",1,0))</f>
        <v>0</v>
      </c>
      <c r="M1074" s="2">
        <f>IF(SUM('Actual species'!P1074)&gt;=1,1,IF(SUM('Actual species'!P1074)="X",1,0))</f>
        <v>0</v>
      </c>
      <c r="N1074" s="2">
        <f>IF(SUM('Actual species'!Q1074)&gt;=1,1,IF(SUM('Actual species'!Q1074)="X",1,0))</f>
        <v>0</v>
      </c>
      <c r="O1074" s="2">
        <f>IF(SUM('Actual species'!R1074)&gt;=1,1,IF(SUM('Actual species'!R1074)="X",1,0))</f>
        <v>0</v>
      </c>
      <c r="P1074" s="2">
        <f>IF(SUM('Actual species'!S1074)&gt;=1,1,IF(SUM('Actual species'!S1074)="X",1,0))</f>
        <v>0</v>
      </c>
      <c r="Q1074" s="2">
        <f>IF(SUM('Actual species'!T1074)&gt;=1,1,IF(SUM('Actual species'!T1074)="X",1,0))</f>
        <v>0</v>
      </c>
      <c r="R1074" s="2">
        <f>IF(SUM('Actual species'!U1074)&gt;=1,1,IF(SUM('Actual species'!U1074)="X",1,0))</f>
        <v>0</v>
      </c>
    </row>
    <row r="1075" spans="1:18" x14ac:dyDescent="0.3">
      <c r="A1075" s="113" t="str">
        <f>'Actual species'!A1075</f>
        <v>Quedius mesomelinus</v>
      </c>
      <c r="B1075" s="66">
        <f>IF(SUM('Actual species'!B1075:E1075)&gt;=1,1,IF(SUM('Actual species'!B1075:E1075)="X",1,0))</f>
        <v>0</v>
      </c>
      <c r="C1075" s="2">
        <f>IF(SUM('Actual species'!F1075)&gt;=1,1,IF(SUM('Actual species'!F1075)="X",1,0))</f>
        <v>0</v>
      </c>
      <c r="D1075" s="2">
        <f>IF(SUM('Actual species'!G1075)&gt;=1,1,IF(SUM('Actual species'!G1075)="X",1,0))</f>
        <v>0</v>
      </c>
      <c r="E1075" s="2">
        <f>IF(SUM('Actual species'!H1075)&gt;=1,1,IF(SUM('Actual species'!H1075)="X",1,0))</f>
        <v>0</v>
      </c>
      <c r="F1075" s="2">
        <f>IF(SUM('Actual species'!I1075)&gt;=1,1,IF(SUM('Actual species'!I1075)="X",1,0))</f>
        <v>0</v>
      </c>
      <c r="G1075" s="2">
        <f>IF(SUM('Actual species'!J1075)&gt;=1,1,IF(SUM('Actual species'!J1075)="X",1,0))</f>
        <v>0</v>
      </c>
      <c r="H1075" s="2">
        <f>IF(SUM('Actual species'!K1075)&gt;=1,1,IF(SUM('Actual species'!K1075)="X",1,0))</f>
        <v>0</v>
      </c>
      <c r="I1075" s="2">
        <f>IF(SUM('Actual species'!L1075)&gt;=1,1,IF(SUM('Actual species'!L1075)="X",1,0))</f>
        <v>0</v>
      </c>
      <c r="J1075" s="2">
        <f>IF(SUM('Actual species'!M1075)&gt;=1,1,IF(SUM('Actual species'!M1075)="X",1,0))</f>
        <v>0</v>
      </c>
      <c r="K1075" s="2">
        <f>IF(SUM('Actual species'!N1075)&gt;=1,1,IF(SUM('Actual species'!N1075)="X",1,0))</f>
        <v>0</v>
      </c>
      <c r="L1075" s="2">
        <f>IF(SUM('Actual species'!O1075)&gt;=1,1,IF(SUM('Actual species'!O1075)="X",1,0))</f>
        <v>0</v>
      </c>
      <c r="M1075" s="2">
        <f>IF(SUM('Actual species'!P1075)&gt;=1,1,IF(SUM('Actual species'!P1075)="X",1,0))</f>
        <v>0</v>
      </c>
      <c r="N1075" s="2">
        <f>IF(SUM('Actual species'!Q1075)&gt;=1,1,IF(SUM('Actual species'!Q1075)="X",1,0))</f>
        <v>0</v>
      </c>
      <c r="O1075" s="2">
        <f>IF(SUM('Actual species'!R1075)&gt;=1,1,IF(SUM('Actual species'!R1075)="X",1,0))</f>
        <v>0</v>
      </c>
      <c r="P1075" s="2">
        <f>IF(SUM('Actual species'!S1075)&gt;=1,1,IF(SUM('Actual species'!S1075)="X",1,0))</f>
        <v>1</v>
      </c>
      <c r="Q1075" s="2">
        <f>IF(SUM('Actual species'!T1075)&gt;=1,1,IF(SUM('Actual species'!T1075)="X",1,0))</f>
        <v>1</v>
      </c>
      <c r="R1075" s="2">
        <f>IF(SUM('Actual species'!U1075)&gt;=1,1,IF(SUM('Actual species'!U1075)="X",1,0))</f>
        <v>0</v>
      </c>
    </row>
    <row r="1076" spans="1:18" x14ac:dyDescent="0.3">
      <c r="A1076" s="113" t="str">
        <f>'Actual species'!A1076</f>
        <v>Quedius microps</v>
      </c>
      <c r="B1076" s="66">
        <f>IF(SUM('Actual species'!B1076:E1076)&gt;=1,1,IF(SUM('Actual species'!B1076:E1076)="X",1,0))</f>
        <v>0</v>
      </c>
      <c r="C1076" s="2">
        <f>IF(SUM('Actual species'!F1076)&gt;=1,1,IF(SUM('Actual species'!F1076)="X",1,0))</f>
        <v>0</v>
      </c>
      <c r="D1076" s="2">
        <f>IF(SUM('Actual species'!G1076)&gt;=1,1,IF(SUM('Actual species'!G1076)="X",1,0))</f>
        <v>0</v>
      </c>
      <c r="E1076" s="2">
        <f>IF(SUM('Actual species'!H1076)&gt;=1,1,IF(SUM('Actual species'!H1076)="X",1,0))</f>
        <v>0</v>
      </c>
      <c r="F1076" s="2">
        <f>IF(SUM('Actual species'!I1076)&gt;=1,1,IF(SUM('Actual species'!I1076)="X",1,0))</f>
        <v>0</v>
      </c>
      <c r="G1076" s="2">
        <f>IF(SUM('Actual species'!J1076)&gt;=1,1,IF(SUM('Actual species'!J1076)="X",1,0))</f>
        <v>0</v>
      </c>
      <c r="H1076" s="2">
        <f>IF(SUM('Actual species'!K1076)&gt;=1,1,IF(SUM('Actual species'!K1076)="X",1,0))</f>
        <v>0</v>
      </c>
      <c r="I1076" s="2">
        <f>IF(SUM('Actual species'!L1076)&gt;=1,1,IF(SUM('Actual species'!L1076)="X",1,0))</f>
        <v>0</v>
      </c>
      <c r="J1076" s="2">
        <f>IF(SUM('Actual species'!M1076)&gt;=1,1,IF(SUM('Actual species'!M1076)="X",1,0))</f>
        <v>0</v>
      </c>
      <c r="K1076" s="2">
        <f>IF(SUM('Actual species'!N1076)&gt;=1,1,IF(SUM('Actual species'!N1076)="X",1,0))</f>
        <v>0</v>
      </c>
      <c r="L1076" s="2">
        <f>IF(SUM('Actual species'!O1076)&gt;=1,1,IF(SUM('Actual species'!O1076)="X",1,0))</f>
        <v>0</v>
      </c>
      <c r="M1076" s="2">
        <f>IF(SUM('Actual species'!P1076)&gt;=1,1,IF(SUM('Actual species'!P1076)="X",1,0))</f>
        <v>1</v>
      </c>
      <c r="N1076" s="2">
        <f>IF(SUM('Actual species'!Q1076)&gt;=1,1,IF(SUM('Actual species'!Q1076)="X",1,0))</f>
        <v>0</v>
      </c>
      <c r="O1076" s="2">
        <f>IF(SUM('Actual species'!R1076)&gt;=1,1,IF(SUM('Actual species'!R1076)="X",1,0))</f>
        <v>0</v>
      </c>
      <c r="P1076" s="2">
        <f>IF(SUM('Actual species'!S1076)&gt;=1,1,IF(SUM('Actual species'!S1076)="X",1,0))</f>
        <v>0</v>
      </c>
      <c r="Q1076" s="2">
        <f>IF(SUM('Actual species'!T1076)&gt;=1,1,IF(SUM('Actual species'!T1076)="X",1,0))</f>
        <v>0</v>
      </c>
      <c r="R1076" s="2">
        <f>IF(SUM('Actual species'!U1076)&gt;=1,1,IF(SUM('Actual species'!U1076)="X",1,0))</f>
        <v>0</v>
      </c>
    </row>
    <row r="1077" spans="1:18" x14ac:dyDescent="0.3">
      <c r="A1077" s="113" t="str">
        <f>'Actual species'!A1077</f>
        <v>Quedius nemoralis</v>
      </c>
      <c r="B1077" s="66">
        <f>IF(SUM('Actual species'!B1077:E1077)&gt;=1,1,IF(SUM('Actual species'!B1077:E1077)="X",1,0))</f>
        <v>0</v>
      </c>
      <c r="C1077" s="2">
        <f>IF(SUM('Actual species'!F1077)&gt;=1,1,IF(SUM('Actual species'!F1077)="X",1,0))</f>
        <v>0</v>
      </c>
      <c r="D1077" s="2">
        <f>IF(SUM('Actual species'!G1077)&gt;=1,1,IF(SUM('Actual species'!G1077)="X",1,0))</f>
        <v>1</v>
      </c>
      <c r="E1077" s="2">
        <f>IF(SUM('Actual species'!H1077)&gt;=1,1,IF(SUM('Actual species'!H1077)="X",1,0))</f>
        <v>1</v>
      </c>
      <c r="F1077" s="2">
        <f>IF(SUM('Actual species'!I1077)&gt;=1,1,IF(SUM('Actual species'!I1077)="X",1,0))</f>
        <v>1</v>
      </c>
      <c r="G1077" s="2">
        <f>IF(SUM('Actual species'!J1077)&gt;=1,1,IF(SUM('Actual species'!J1077)="X",1,0))</f>
        <v>1</v>
      </c>
      <c r="H1077" s="2">
        <f>IF(SUM('Actual species'!K1077)&gt;=1,1,IF(SUM('Actual species'!K1077)="X",1,0))</f>
        <v>1</v>
      </c>
      <c r="I1077" s="2">
        <f>IF(SUM('Actual species'!L1077)&gt;=1,1,IF(SUM('Actual species'!L1077)="X",1,0))</f>
        <v>1</v>
      </c>
      <c r="J1077" s="2">
        <f>IF(SUM('Actual species'!M1077)&gt;=1,1,IF(SUM('Actual species'!M1077)="X",1,0))</f>
        <v>1</v>
      </c>
      <c r="K1077" s="2">
        <f>IF(SUM('Actual species'!N1077)&gt;=1,1,IF(SUM('Actual species'!N1077)="X",1,0))</f>
        <v>1</v>
      </c>
      <c r="L1077" s="2">
        <f>IF(SUM('Actual species'!O1077)&gt;=1,1,IF(SUM('Actual species'!O1077)="X",1,0))</f>
        <v>1</v>
      </c>
      <c r="M1077" s="2">
        <f>IF(SUM('Actual species'!P1077)&gt;=1,1,IF(SUM('Actual species'!P1077)="X",1,0))</f>
        <v>0</v>
      </c>
      <c r="N1077" s="2">
        <f>IF(SUM('Actual species'!Q1077)&gt;=1,1,IF(SUM('Actual species'!Q1077)="X",1,0))</f>
        <v>0</v>
      </c>
      <c r="O1077" s="2">
        <f>IF(SUM('Actual species'!R1077)&gt;=1,1,IF(SUM('Actual species'!R1077)="X",1,0))</f>
        <v>0</v>
      </c>
      <c r="P1077" s="2">
        <f>IF(SUM('Actual species'!S1077)&gt;=1,1,IF(SUM('Actual species'!S1077)="X",1,0))</f>
        <v>0</v>
      </c>
      <c r="Q1077" s="2">
        <f>IF(SUM('Actual species'!T1077)&gt;=1,1,IF(SUM('Actual species'!T1077)="X",1,0))</f>
        <v>1</v>
      </c>
      <c r="R1077" s="2">
        <f>IF(SUM('Actual species'!U1077)&gt;=1,1,IF(SUM('Actual species'!U1077)="X",1,0))</f>
        <v>1</v>
      </c>
    </row>
    <row r="1078" spans="1:18" x14ac:dyDescent="0.3">
      <c r="A1078" s="113" t="str">
        <f>'Actual species'!A1078</f>
        <v>Quedius nivicola</v>
      </c>
      <c r="B1078" s="66">
        <f>IF(SUM('Actual species'!B1078:E1078)&gt;=1,1,IF(SUM('Actual species'!B1078:E1078)="X",1,0))</f>
        <v>0</v>
      </c>
      <c r="C1078" s="2">
        <f>IF(SUM('Actual species'!F1078)&gt;=1,1,IF(SUM('Actual species'!F1078)="X",1,0))</f>
        <v>1</v>
      </c>
      <c r="D1078" s="2">
        <f>IF(SUM('Actual species'!G1078)&gt;=1,1,IF(SUM('Actual species'!G1078)="X",1,0))</f>
        <v>1</v>
      </c>
      <c r="E1078" s="2">
        <f>IF(SUM('Actual species'!H1078)&gt;=1,1,IF(SUM('Actual species'!H1078)="X",1,0))</f>
        <v>1</v>
      </c>
      <c r="F1078" s="2">
        <f>IF(SUM('Actual species'!I1078)&gt;=1,1,IF(SUM('Actual species'!I1078)="X",1,0))</f>
        <v>0</v>
      </c>
      <c r="G1078" s="2">
        <f>IF(SUM('Actual species'!J1078)&gt;=1,1,IF(SUM('Actual species'!J1078)="X",1,0))</f>
        <v>0</v>
      </c>
      <c r="H1078" s="2">
        <f>IF(SUM('Actual species'!K1078)&gt;=1,1,IF(SUM('Actual species'!K1078)="X",1,0))</f>
        <v>0</v>
      </c>
      <c r="I1078" s="2">
        <f>IF(SUM('Actual species'!L1078)&gt;=1,1,IF(SUM('Actual species'!L1078)="X",1,0))</f>
        <v>0</v>
      </c>
      <c r="J1078" s="2">
        <f>IF(SUM('Actual species'!M1078)&gt;=1,1,IF(SUM('Actual species'!M1078)="X",1,0))</f>
        <v>1</v>
      </c>
      <c r="K1078" s="2">
        <f>IF(SUM('Actual species'!N1078)&gt;=1,1,IF(SUM('Actual species'!N1078)="X",1,0))</f>
        <v>1</v>
      </c>
      <c r="L1078" s="2">
        <f>IF(SUM('Actual species'!O1078)&gt;=1,1,IF(SUM('Actual species'!O1078)="X",1,0))</f>
        <v>0</v>
      </c>
      <c r="M1078" s="2">
        <f>IF(SUM('Actual species'!P1078)&gt;=1,1,IF(SUM('Actual species'!P1078)="X",1,0))</f>
        <v>0</v>
      </c>
      <c r="N1078" s="2">
        <f>IF(SUM('Actual species'!Q1078)&gt;=1,1,IF(SUM('Actual species'!Q1078)="X",1,0))</f>
        <v>0</v>
      </c>
      <c r="O1078" s="2">
        <f>IF(SUM('Actual species'!R1078)&gt;=1,1,IF(SUM('Actual species'!R1078)="X",1,0))</f>
        <v>0</v>
      </c>
      <c r="P1078" s="2">
        <f>IF(SUM('Actual species'!S1078)&gt;=1,1,IF(SUM('Actual species'!S1078)="X",1,0))</f>
        <v>0</v>
      </c>
      <c r="Q1078" s="2">
        <f>IF(SUM('Actual species'!T1078)&gt;=1,1,IF(SUM('Actual species'!T1078)="X",1,0))</f>
        <v>0</v>
      </c>
      <c r="R1078" s="2">
        <f>IF(SUM('Actual species'!U1078)&gt;=1,1,IF(SUM('Actual species'!U1078)="X",1,0))</f>
        <v>0</v>
      </c>
    </row>
    <row r="1079" spans="1:18" x14ac:dyDescent="0.3">
      <c r="A1079" s="113" t="str">
        <f>'Actual species'!A1079</f>
        <v>Quedius paradisianus</v>
      </c>
      <c r="B1079" s="66">
        <f>IF(SUM('Actual species'!B1079:E1079)&gt;=1,1,IF(SUM('Actual species'!B1079:E1079)="X",1,0))</f>
        <v>0</v>
      </c>
      <c r="C1079" s="2">
        <f>IF(SUM('Actual species'!F1079)&gt;=1,1,IF(SUM('Actual species'!F1079)="X",1,0))</f>
        <v>0</v>
      </c>
      <c r="D1079" s="2">
        <f>IF(SUM('Actual species'!G1079)&gt;=1,1,IF(SUM('Actual species'!G1079)="X",1,0))</f>
        <v>0</v>
      </c>
      <c r="E1079" s="2">
        <f>IF(SUM('Actual species'!H1079)&gt;=1,1,IF(SUM('Actual species'!H1079)="X",1,0))</f>
        <v>0</v>
      </c>
      <c r="F1079" s="2">
        <f>IF(SUM('Actual species'!I1079)&gt;=1,1,IF(SUM('Actual species'!I1079)="X",1,0))</f>
        <v>0</v>
      </c>
      <c r="G1079" s="2">
        <f>IF(SUM('Actual species'!J1079)&gt;=1,1,IF(SUM('Actual species'!J1079)="X",1,0))</f>
        <v>0</v>
      </c>
      <c r="H1079" s="2">
        <f>IF(SUM('Actual species'!K1079)&gt;=1,1,IF(SUM('Actual species'!K1079)="X",1,0))</f>
        <v>0</v>
      </c>
      <c r="I1079" s="2">
        <f>IF(SUM('Actual species'!L1079)&gt;=1,1,IF(SUM('Actual species'!L1079)="X",1,0))</f>
        <v>0</v>
      </c>
      <c r="J1079" s="2">
        <f>IF(SUM('Actual species'!M1079)&gt;=1,1,IF(SUM('Actual species'!M1079)="X",1,0))</f>
        <v>0</v>
      </c>
      <c r="K1079" s="2">
        <f>IF(SUM('Actual species'!N1079)&gt;=1,1,IF(SUM('Actual species'!N1079)="X",1,0))</f>
        <v>0</v>
      </c>
      <c r="L1079" s="2">
        <f>IF(SUM('Actual species'!O1079)&gt;=1,1,IF(SUM('Actual species'!O1079)="X",1,0))</f>
        <v>0</v>
      </c>
      <c r="M1079" s="2">
        <f>IF(SUM('Actual species'!P1079)&gt;=1,1,IF(SUM('Actual species'!P1079)="X",1,0))</f>
        <v>0</v>
      </c>
      <c r="N1079" s="2">
        <f>IF(SUM('Actual species'!Q1079)&gt;=1,1,IF(SUM('Actual species'!Q1079)="X",1,0))</f>
        <v>0</v>
      </c>
      <c r="O1079" s="2">
        <f>IF(SUM('Actual species'!R1079)&gt;=1,1,IF(SUM('Actual species'!R1079)="X",1,0))</f>
        <v>0</v>
      </c>
      <c r="P1079" s="2">
        <f>IF(SUM('Actual species'!S1079)&gt;=1,1,IF(SUM('Actual species'!S1079)="X",1,0))</f>
        <v>0</v>
      </c>
      <c r="Q1079" s="2">
        <f>IF(SUM('Actual species'!T1079)&gt;=1,1,IF(SUM('Actual species'!T1079)="X",1,0))</f>
        <v>0</v>
      </c>
      <c r="R1079" s="2">
        <f>IF(SUM('Actual species'!U1079)&gt;=1,1,IF(SUM('Actual species'!U1079)="X",1,0))</f>
        <v>1</v>
      </c>
    </row>
    <row r="1080" spans="1:18" x14ac:dyDescent="0.3">
      <c r="A1080" s="113" t="str">
        <f>'Actual species'!A1080</f>
        <v>Quedius persimilis</v>
      </c>
      <c r="B1080" s="66">
        <f>IF(SUM('Actual species'!B1080:E1080)&gt;=1,1,IF(SUM('Actual species'!B1080:E1080)="X",1,0))</f>
        <v>0</v>
      </c>
      <c r="C1080" s="2">
        <f>IF(SUM('Actual species'!F1080)&gt;=1,1,IF(SUM('Actual species'!F1080)="X",1,0))</f>
        <v>0</v>
      </c>
      <c r="D1080" s="2">
        <f>IF(SUM('Actual species'!G1080)&gt;=1,1,IF(SUM('Actual species'!G1080)="X",1,0))</f>
        <v>0</v>
      </c>
      <c r="E1080" s="2">
        <f>IF(SUM('Actual species'!H1080)&gt;=1,1,IF(SUM('Actual species'!H1080)="X",1,0))</f>
        <v>0</v>
      </c>
      <c r="F1080" s="2">
        <f>IF(SUM('Actual species'!I1080)&gt;=1,1,IF(SUM('Actual species'!I1080)="X",1,0))</f>
        <v>0</v>
      </c>
      <c r="G1080" s="2">
        <f>IF(SUM('Actual species'!J1080)&gt;=1,1,IF(SUM('Actual species'!J1080)="X",1,0))</f>
        <v>0</v>
      </c>
      <c r="H1080" s="2">
        <f>IF(SUM('Actual species'!K1080)&gt;=1,1,IF(SUM('Actual species'!K1080)="X",1,0))</f>
        <v>0</v>
      </c>
      <c r="I1080" s="2">
        <f>IF(SUM('Actual species'!L1080)&gt;=1,1,IF(SUM('Actual species'!L1080)="X",1,0))</f>
        <v>0</v>
      </c>
      <c r="J1080" s="2">
        <f>IF(SUM('Actual species'!M1080)&gt;=1,1,IF(SUM('Actual species'!M1080)="X",1,0))</f>
        <v>0</v>
      </c>
      <c r="K1080" s="2">
        <f>IF(SUM('Actual species'!N1080)&gt;=1,1,IF(SUM('Actual species'!N1080)="X",1,0))</f>
        <v>0</v>
      </c>
      <c r="L1080" s="2">
        <f>IF(SUM('Actual species'!O1080)&gt;=1,1,IF(SUM('Actual species'!O1080)="X",1,0))</f>
        <v>0</v>
      </c>
      <c r="M1080" s="2">
        <f>IF(SUM('Actual species'!P1080)&gt;=1,1,IF(SUM('Actual species'!P1080)="X",1,0))</f>
        <v>0</v>
      </c>
      <c r="N1080" s="2">
        <f>IF(SUM('Actual species'!Q1080)&gt;=1,1,IF(SUM('Actual species'!Q1080)="X",1,0))</f>
        <v>0</v>
      </c>
      <c r="O1080" s="2">
        <f>IF(SUM('Actual species'!R1080)&gt;=1,1,IF(SUM('Actual species'!R1080)="X",1,0))</f>
        <v>0</v>
      </c>
      <c r="P1080" s="2">
        <f>IF(SUM('Actual species'!S1080)&gt;=1,1,IF(SUM('Actual species'!S1080)="X",1,0))</f>
        <v>1</v>
      </c>
      <c r="Q1080" s="2">
        <f>IF(SUM('Actual species'!T1080)&gt;=1,1,IF(SUM('Actual species'!T1080)="X",1,0))</f>
        <v>1</v>
      </c>
      <c r="R1080" s="2">
        <f>IF(SUM('Actual species'!U1080)&gt;=1,1,IF(SUM('Actual species'!U1080)="X",1,0))</f>
        <v>1</v>
      </c>
    </row>
    <row r="1081" spans="1:18" x14ac:dyDescent="0.3">
      <c r="A1081" s="113" t="str">
        <f>'Actual species'!A1081</f>
        <v>Quedius picipes</v>
      </c>
      <c r="B1081" s="66">
        <f>IF(SUM('Actual species'!B1081:E1081)&gt;=1,1,IF(SUM('Actual species'!B1081:E1081)="X",1,0))</f>
        <v>0</v>
      </c>
      <c r="C1081" s="2">
        <f>IF(SUM('Actual species'!F1081)&gt;=1,1,IF(SUM('Actual species'!F1081)="X",1,0))</f>
        <v>0</v>
      </c>
      <c r="D1081" s="2">
        <f>IF(SUM('Actual species'!G1081)&gt;=1,1,IF(SUM('Actual species'!G1081)="X",1,0))</f>
        <v>0</v>
      </c>
      <c r="E1081" s="2">
        <f>IF(SUM('Actual species'!H1081)&gt;=1,1,IF(SUM('Actual species'!H1081)="X",1,0))</f>
        <v>0</v>
      </c>
      <c r="F1081" s="2">
        <f>IF(SUM('Actual species'!I1081)&gt;=1,1,IF(SUM('Actual species'!I1081)="X",1,0))</f>
        <v>0</v>
      </c>
      <c r="G1081" s="2">
        <f>IF(SUM('Actual species'!J1081)&gt;=1,1,IF(SUM('Actual species'!J1081)="X",1,0))</f>
        <v>0</v>
      </c>
      <c r="H1081" s="2">
        <f>IF(SUM('Actual species'!K1081)&gt;=1,1,IF(SUM('Actual species'!K1081)="X",1,0))</f>
        <v>0</v>
      </c>
      <c r="I1081" s="2">
        <f>IF(SUM('Actual species'!L1081)&gt;=1,1,IF(SUM('Actual species'!L1081)="X",1,0))</f>
        <v>0</v>
      </c>
      <c r="J1081" s="2">
        <f>IF(SUM('Actual species'!M1081)&gt;=1,1,IF(SUM('Actual species'!M1081)="X",1,0))</f>
        <v>0</v>
      </c>
      <c r="K1081" s="2">
        <f>IF(SUM('Actual species'!N1081)&gt;=1,1,IF(SUM('Actual species'!N1081)="X",1,0))</f>
        <v>0</v>
      </c>
      <c r="L1081" s="2">
        <f>IF(SUM('Actual species'!O1081)&gt;=1,1,IF(SUM('Actual species'!O1081)="X",1,0))</f>
        <v>0</v>
      </c>
      <c r="M1081" s="2">
        <f>IF(SUM('Actual species'!P1081)&gt;=1,1,IF(SUM('Actual species'!P1081)="X",1,0))</f>
        <v>0</v>
      </c>
      <c r="N1081" s="2">
        <f>IF(SUM('Actual species'!Q1081)&gt;=1,1,IF(SUM('Actual species'!Q1081)="X",1,0))</f>
        <v>0</v>
      </c>
      <c r="O1081" s="2">
        <f>IF(SUM('Actual species'!R1081)&gt;=1,1,IF(SUM('Actual species'!R1081)="X",1,0))</f>
        <v>0</v>
      </c>
      <c r="P1081" s="2">
        <f>IF(SUM('Actual species'!S1081)&gt;=1,1,IF(SUM('Actual species'!S1081)="X",1,0))</f>
        <v>0</v>
      </c>
      <c r="Q1081" s="2">
        <f>IF(SUM('Actual species'!T1081)&gt;=1,1,IF(SUM('Actual species'!T1081)="X",1,0))</f>
        <v>0</v>
      </c>
      <c r="R1081" s="2">
        <f>IF(SUM('Actual species'!U1081)&gt;=1,1,IF(SUM('Actual species'!U1081)="X",1,0))</f>
        <v>0</v>
      </c>
    </row>
    <row r="1082" spans="1:18" x14ac:dyDescent="0.3">
      <c r="A1082" s="113" t="str">
        <f>'Actual species'!A1082</f>
        <v xml:space="preserve">Quedius praecisus (E) </v>
      </c>
      <c r="B1082" s="66">
        <f>IF(SUM('Actual species'!B1082:E1082)&gt;=1,1,IF(SUM('Actual species'!B1082:E1082)="X",1,0))</f>
        <v>0</v>
      </c>
      <c r="C1082" s="2">
        <f>IF(SUM('Actual species'!F1082)&gt;=1,1,IF(SUM('Actual species'!F1082)="X",1,0))</f>
        <v>0</v>
      </c>
      <c r="D1082" s="2">
        <f>IF(SUM('Actual species'!G1082)&gt;=1,1,IF(SUM('Actual species'!G1082)="X",1,0))</f>
        <v>0</v>
      </c>
      <c r="E1082" s="2">
        <f>IF(SUM('Actual species'!H1082)&gt;=1,1,IF(SUM('Actual species'!H1082)="X",1,0))</f>
        <v>0</v>
      </c>
      <c r="F1082" s="2">
        <f>IF(SUM('Actual species'!I1082)&gt;=1,1,IF(SUM('Actual species'!I1082)="X",1,0))</f>
        <v>0</v>
      </c>
      <c r="G1082" s="2">
        <f>IF(SUM('Actual species'!J1082)&gt;=1,1,IF(SUM('Actual species'!J1082)="X",1,0))</f>
        <v>1</v>
      </c>
      <c r="H1082" s="2">
        <f>IF(SUM('Actual species'!K1082)&gt;=1,1,IF(SUM('Actual species'!K1082)="X",1,0))</f>
        <v>0</v>
      </c>
      <c r="I1082" s="2">
        <f>IF(SUM('Actual species'!L1082)&gt;=1,1,IF(SUM('Actual species'!L1082)="X",1,0))</f>
        <v>0</v>
      </c>
      <c r="J1082" s="2">
        <f>IF(SUM('Actual species'!M1082)&gt;=1,1,IF(SUM('Actual species'!M1082)="X",1,0))</f>
        <v>0</v>
      </c>
      <c r="K1082" s="2">
        <f>IF(SUM('Actual species'!N1082)&gt;=1,1,IF(SUM('Actual species'!N1082)="X",1,0))</f>
        <v>0</v>
      </c>
      <c r="L1082" s="2">
        <f>IF(SUM('Actual species'!O1082)&gt;=1,1,IF(SUM('Actual species'!O1082)="X",1,0))</f>
        <v>0</v>
      </c>
      <c r="M1082" s="2">
        <f>IF(SUM('Actual species'!P1082)&gt;=1,1,IF(SUM('Actual species'!P1082)="X",1,0))</f>
        <v>0</v>
      </c>
      <c r="N1082" s="2">
        <f>IF(SUM('Actual species'!Q1082)&gt;=1,1,IF(SUM('Actual species'!Q1082)="X",1,0))</f>
        <v>0</v>
      </c>
      <c r="O1082" s="2">
        <f>IF(SUM('Actual species'!R1082)&gt;=1,1,IF(SUM('Actual species'!R1082)="X",1,0))</f>
        <v>0</v>
      </c>
      <c r="P1082" s="2">
        <f>IF(SUM('Actual species'!S1082)&gt;=1,1,IF(SUM('Actual species'!S1082)="X",1,0))</f>
        <v>0</v>
      </c>
      <c r="Q1082" s="2">
        <f>IF(SUM('Actual species'!T1082)&gt;=1,1,IF(SUM('Actual species'!T1082)="X",1,0))</f>
        <v>0</v>
      </c>
      <c r="R1082" s="2">
        <f>IF(SUM('Actual species'!U1082)&gt;=1,1,IF(SUM('Actual species'!U1082)="X",1,0))</f>
        <v>0</v>
      </c>
    </row>
    <row r="1083" spans="1:18" x14ac:dyDescent="0.3">
      <c r="A1083" s="113" t="str">
        <f>'Actual species'!A1083</f>
        <v>Quedius pseudonigriceps</v>
      </c>
      <c r="B1083" s="66">
        <f>IF(SUM('Actual species'!B1083:E1083)&gt;=1,1,IF(SUM('Actual species'!B1083:E1083)="X",1,0))</f>
        <v>0</v>
      </c>
      <c r="C1083" s="2">
        <f>IF(SUM('Actual species'!F1083)&gt;=1,1,IF(SUM('Actual species'!F1083)="X",1,0))</f>
        <v>0</v>
      </c>
      <c r="D1083" s="2">
        <f>IF(SUM('Actual species'!G1083)&gt;=1,1,IF(SUM('Actual species'!G1083)="X",1,0))</f>
        <v>0</v>
      </c>
      <c r="E1083" s="2">
        <f>IF(SUM('Actual species'!H1083)&gt;=1,1,IF(SUM('Actual species'!H1083)="X",1,0))</f>
        <v>1</v>
      </c>
      <c r="F1083" s="2">
        <f>IF(SUM('Actual species'!I1083)&gt;=1,1,IF(SUM('Actual species'!I1083)="X",1,0))</f>
        <v>0</v>
      </c>
      <c r="G1083" s="2">
        <f>IF(SUM('Actual species'!J1083)&gt;=1,1,IF(SUM('Actual species'!J1083)="X",1,0))</f>
        <v>0</v>
      </c>
      <c r="H1083" s="2">
        <f>IF(SUM('Actual species'!K1083)&gt;=1,1,IF(SUM('Actual species'!K1083)="X",1,0))</f>
        <v>0</v>
      </c>
      <c r="I1083" s="2">
        <f>IF(SUM('Actual species'!L1083)&gt;=1,1,IF(SUM('Actual species'!L1083)="X",1,0))</f>
        <v>0</v>
      </c>
      <c r="J1083" s="2">
        <f>IF(SUM('Actual species'!M1083)&gt;=1,1,IF(SUM('Actual species'!M1083)="X",1,0))</f>
        <v>0</v>
      </c>
      <c r="K1083" s="2">
        <f>IF(SUM('Actual species'!N1083)&gt;=1,1,IF(SUM('Actual species'!N1083)="X",1,0))</f>
        <v>0</v>
      </c>
      <c r="L1083" s="2">
        <f>IF(SUM('Actual species'!O1083)&gt;=1,1,IF(SUM('Actual species'!O1083)="X",1,0))</f>
        <v>0</v>
      </c>
      <c r="M1083" s="2">
        <f>IF(SUM('Actual species'!P1083)&gt;=1,1,IF(SUM('Actual species'!P1083)="X",1,0))</f>
        <v>1</v>
      </c>
      <c r="N1083" s="2">
        <f>IF(SUM('Actual species'!Q1083)&gt;=1,1,IF(SUM('Actual species'!Q1083)="X",1,0))</f>
        <v>1</v>
      </c>
      <c r="O1083" s="2">
        <f>IF(SUM('Actual species'!R1083)&gt;=1,1,IF(SUM('Actual species'!R1083)="X",1,0))</f>
        <v>0</v>
      </c>
      <c r="P1083" s="2">
        <f>IF(SUM('Actual species'!S1083)&gt;=1,1,IF(SUM('Actual species'!S1083)="X",1,0))</f>
        <v>1</v>
      </c>
      <c r="Q1083" s="2">
        <f>IF(SUM('Actual species'!T1083)&gt;=1,1,IF(SUM('Actual species'!T1083)="X",1,0))</f>
        <v>1</v>
      </c>
      <c r="R1083" s="2">
        <f>IF(SUM('Actual species'!U1083)&gt;=1,1,IF(SUM('Actual species'!U1083)="X",1,0))</f>
        <v>0</v>
      </c>
    </row>
    <row r="1084" spans="1:18" x14ac:dyDescent="0.3">
      <c r="A1084" s="113" t="str">
        <f>'Actual species'!A1084</f>
        <v>Quedius pseudopyrenaeus</v>
      </c>
      <c r="B1084" s="66">
        <f>IF(SUM('Actual species'!B1084:E1084)&gt;=1,1,IF(SUM('Actual species'!B1084:E1084)="X",1,0))</f>
        <v>0</v>
      </c>
      <c r="C1084" s="2">
        <f>IF(SUM('Actual species'!F1084)&gt;=1,1,IF(SUM('Actual species'!F1084)="X",1,0))</f>
        <v>0</v>
      </c>
      <c r="D1084" s="2">
        <f>IF(SUM('Actual species'!G1084)&gt;=1,1,IF(SUM('Actual species'!G1084)="X",1,0))</f>
        <v>0</v>
      </c>
      <c r="E1084" s="2">
        <f>IF(SUM('Actual species'!H1084)&gt;=1,1,IF(SUM('Actual species'!H1084)="X",1,0))</f>
        <v>0</v>
      </c>
      <c r="F1084" s="2">
        <f>IF(SUM('Actual species'!I1084)&gt;=1,1,IF(SUM('Actual species'!I1084)="X",1,0))</f>
        <v>0</v>
      </c>
      <c r="G1084" s="2">
        <f>IF(SUM('Actual species'!J1084)&gt;=1,1,IF(SUM('Actual species'!J1084)="X",1,0))</f>
        <v>0</v>
      </c>
      <c r="H1084" s="2">
        <f>IF(SUM('Actual species'!K1084)&gt;=1,1,IF(SUM('Actual species'!K1084)="X",1,0))</f>
        <v>0</v>
      </c>
      <c r="I1084" s="2">
        <f>IF(SUM('Actual species'!L1084)&gt;=1,1,IF(SUM('Actual species'!L1084)="X",1,0))</f>
        <v>0</v>
      </c>
      <c r="J1084" s="2">
        <f>IF(SUM('Actual species'!M1084)&gt;=1,1,IF(SUM('Actual species'!M1084)="X",1,0))</f>
        <v>0</v>
      </c>
      <c r="K1084" s="2">
        <f>IF(SUM('Actual species'!N1084)&gt;=1,1,IF(SUM('Actual species'!N1084)="X",1,0))</f>
        <v>0</v>
      </c>
      <c r="L1084" s="2">
        <f>IF(SUM('Actual species'!O1084)&gt;=1,1,IF(SUM('Actual species'!O1084)="X",1,0))</f>
        <v>0</v>
      </c>
      <c r="M1084" s="2">
        <f>IF(SUM('Actual species'!P1084)&gt;=1,1,IF(SUM('Actual species'!P1084)="X",1,0))</f>
        <v>0</v>
      </c>
      <c r="N1084" s="2">
        <f>IF(SUM('Actual species'!Q1084)&gt;=1,1,IF(SUM('Actual species'!Q1084)="X",1,0))</f>
        <v>0</v>
      </c>
      <c r="O1084" s="2">
        <f>IF(SUM('Actual species'!R1084)&gt;=1,1,IF(SUM('Actual species'!R1084)="X",1,0))</f>
        <v>0</v>
      </c>
      <c r="P1084" s="2">
        <f>IF(SUM('Actual species'!S1084)&gt;=1,1,IF(SUM('Actual species'!S1084)="X",1,0))</f>
        <v>1</v>
      </c>
      <c r="Q1084" s="2">
        <f>IF(SUM('Actual species'!T1084)&gt;=1,1,IF(SUM('Actual species'!T1084)="X",1,0))</f>
        <v>0</v>
      </c>
      <c r="R1084" s="2">
        <f>IF(SUM('Actual species'!U1084)&gt;=1,1,IF(SUM('Actual species'!U1084)="X",1,0))</f>
        <v>1</v>
      </c>
    </row>
    <row r="1085" spans="1:18" x14ac:dyDescent="0.3">
      <c r="A1085" s="113" t="str">
        <f>'Actual species'!A1085</f>
        <v>Quedius rugosipennis</v>
      </c>
      <c r="B1085" s="66">
        <f>IF(SUM('Actual species'!B1085:E1085)&gt;=1,1,IF(SUM('Actual species'!B1085:E1085)="X",1,0))</f>
        <v>1</v>
      </c>
      <c r="C1085" s="2">
        <f>IF(SUM('Actual species'!F1085)&gt;=1,1,IF(SUM('Actual species'!F1085)="X",1,0))</f>
        <v>0</v>
      </c>
      <c r="D1085" s="2">
        <f>IF(SUM('Actual species'!G1085)&gt;=1,1,IF(SUM('Actual species'!G1085)="X",1,0))</f>
        <v>0</v>
      </c>
      <c r="E1085" s="2">
        <f>IF(SUM('Actual species'!H1085)&gt;=1,1,IF(SUM('Actual species'!H1085)="X",1,0))</f>
        <v>1</v>
      </c>
      <c r="F1085" s="2">
        <f>IF(SUM('Actual species'!I1085)&gt;=1,1,IF(SUM('Actual species'!I1085)="X",1,0))</f>
        <v>0</v>
      </c>
      <c r="G1085" s="2">
        <f>IF(SUM('Actual species'!J1085)&gt;=1,1,IF(SUM('Actual species'!J1085)="X",1,0))</f>
        <v>0</v>
      </c>
      <c r="H1085" s="2">
        <f>IF(SUM('Actual species'!K1085)&gt;=1,1,IF(SUM('Actual species'!K1085)="X",1,0))</f>
        <v>0</v>
      </c>
      <c r="I1085" s="2">
        <f>IF(SUM('Actual species'!L1085)&gt;=1,1,IF(SUM('Actual species'!L1085)="X",1,0))</f>
        <v>0</v>
      </c>
      <c r="J1085" s="2">
        <f>IF(SUM('Actual species'!M1085)&gt;=1,1,IF(SUM('Actual species'!M1085)="X",1,0))</f>
        <v>0</v>
      </c>
      <c r="K1085" s="2">
        <f>IF(SUM('Actual species'!N1085)&gt;=1,1,IF(SUM('Actual species'!N1085)="X",1,0))</f>
        <v>0</v>
      </c>
      <c r="L1085" s="2">
        <f>IF(SUM('Actual species'!O1085)&gt;=1,1,IF(SUM('Actual species'!O1085)="X",1,0))</f>
        <v>0</v>
      </c>
      <c r="M1085" s="2">
        <f>IF(SUM('Actual species'!P1085)&gt;=1,1,IF(SUM('Actual species'!P1085)="X",1,0))</f>
        <v>0</v>
      </c>
      <c r="N1085" s="2">
        <f>IF(SUM('Actual species'!Q1085)&gt;=1,1,IF(SUM('Actual species'!Q1085)="X",1,0))</f>
        <v>0</v>
      </c>
      <c r="O1085" s="2">
        <f>IF(SUM('Actual species'!R1085)&gt;=1,1,IF(SUM('Actual species'!R1085)="X",1,0))</f>
        <v>0</v>
      </c>
      <c r="P1085" s="2">
        <f>IF(SUM('Actual species'!S1085)&gt;=1,1,IF(SUM('Actual species'!S1085)="X",1,0))</f>
        <v>0</v>
      </c>
      <c r="Q1085" s="2">
        <f>IF(SUM('Actual species'!T1085)&gt;=1,1,IF(SUM('Actual species'!T1085)="X",1,0))</f>
        <v>0</v>
      </c>
      <c r="R1085" s="2">
        <f>IF(SUM('Actual species'!U1085)&gt;=1,1,IF(SUM('Actual species'!U1085)="X",1,0))</f>
        <v>0</v>
      </c>
    </row>
    <row r="1086" spans="1:18" x14ac:dyDescent="0.3">
      <c r="A1086" s="113" t="str">
        <f>'Actual species'!A1086</f>
        <v>Quedius scintillans</v>
      </c>
      <c r="B1086" s="66">
        <f>IF(SUM('Actual species'!B1086:E1086)&gt;=1,1,IF(SUM('Actual species'!B1086:E1086)="X",1,0))</f>
        <v>1</v>
      </c>
      <c r="C1086" s="2">
        <f>IF(SUM('Actual species'!F1086)&gt;=1,1,IF(SUM('Actual species'!F1086)="X",1,0))</f>
        <v>1</v>
      </c>
      <c r="D1086" s="2">
        <f>IF(SUM('Actual species'!G1086)&gt;=1,1,IF(SUM('Actual species'!G1086)="X",1,0))</f>
        <v>0</v>
      </c>
      <c r="E1086" s="2">
        <f>IF(SUM('Actual species'!H1086)&gt;=1,1,IF(SUM('Actual species'!H1086)="X",1,0))</f>
        <v>1</v>
      </c>
      <c r="F1086" s="2">
        <f>IF(SUM('Actual species'!I1086)&gt;=1,1,IF(SUM('Actual species'!I1086)="X",1,0))</f>
        <v>0</v>
      </c>
      <c r="G1086" s="2">
        <f>IF(SUM('Actual species'!J1086)&gt;=1,1,IF(SUM('Actual species'!J1086)="X",1,0))</f>
        <v>1</v>
      </c>
      <c r="H1086" s="2">
        <f>IF(SUM('Actual species'!K1086)&gt;=1,1,IF(SUM('Actual species'!K1086)="X",1,0))</f>
        <v>1</v>
      </c>
      <c r="I1086" s="2">
        <f>IF(SUM('Actual species'!L1086)&gt;=1,1,IF(SUM('Actual species'!L1086)="X",1,0))</f>
        <v>0</v>
      </c>
      <c r="J1086" s="2">
        <f>IF(SUM('Actual species'!M1086)&gt;=1,1,IF(SUM('Actual species'!M1086)="X",1,0))</f>
        <v>1</v>
      </c>
      <c r="K1086" s="2">
        <f>IF(SUM('Actual species'!N1086)&gt;=1,1,IF(SUM('Actual species'!N1086)="X",1,0))</f>
        <v>1</v>
      </c>
      <c r="L1086" s="2">
        <f>IF(SUM('Actual species'!O1086)&gt;=1,1,IF(SUM('Actual species'!O1086)="X",1,0))</f>
        <v>0</v>
      </c>
      <c r="M1086" s="2">
        <f>IF(SUM('Actual species'!P1086)&gt;=1,1,IF(SUM('Actual species'!P1086)="X",1,0))</f>
        <v>0</v>
      </c>
      <c r="N1086" s="2">
        <f>IF(SUM('Actual species'!Q1086)&gt;=1,1,IF(SUM('Actual species'!Q1086)="X",1,0))</f>
        <v>0</v>
      </c>
      <c r="O1086" s="2">
        <f>IF(SUM('Actual species'!R1086)&gt;=1,1,IF(SUM('Actual species'!R1086)="X",1,0))</f>
        <v>0</v>
      </c>
      <c r="P1086" s="2">
        <f>IF(SUM('Actual species'!S1086)&gt;=1,1,IF(SUM('Actual species'!S1086)="X",1,0))</f>
        <v>0</v>
      </c>
      <c r="Q1086" s="2">
        <f>IF(SUM('Actual species'!T1086)&gt;=1,1,IF(SUM('Actual species'!T1086)="X",1,0))</f>
        <v>0</v>
      </c>
      <c r="R1086" s="2">
        <f>IF(SUM('Actual species'!U1086)&gt;=1,1,IF(SUM('Actual species'!U1086)="X",1,0))</f>
        <v>0</v>
      </c>
    </row>
    <row r="1087" spans="1:18" x14ac:dyDescent="0.3">
      <c r="A1087" s="113" t="str">
        <f>'Actual species'!A1087</f>
        <v xml:space="preserve">*Quedius scheerpeltzi (E) </v>
      </c>
      <c r="B1087" s="66">
        <f>IF(SUM('Actual species'!B1087:E1087)&gt;=1,1,IF(SUM('Actual species'!B1087:E1087)="X",1,0))</f>
        <v>1</v>
      </c>
      <c r="C1087" s="2">
        <f>IF(SUM('Actual species'!F1087)&gt;=1,1,IF(SUM('Actual species'!F1087)="X",1,0))</f>
        <v>0</v>
      </c>
      <c r="D1087" s="2">
        <f>IF(SUM('Actual species'!G1087)&gt;=1,1,IF(SUM('Actual species'!G1087)="X",1,0))</f>
        <v>0</v>
      </c>
      <c r="E1087" s="2">
        <f>IF(SUM('Actual species'!H1087)&gt;=1,1,IF(SUM('Actual species'!H1087)="X",1,0))</f>
        <v>0</v>
      </c>
      <c r="F1087" s="2">
        <f>IF(SUM('Actual species'!I1087)&gt;=1,1,IF(SUM('Actual species'!I1087)="X",1,0))</f>
        <v>0</v>
      </c>
      <c r="G1087" s="2">
        <f>IF(SUM('Actual species'!J1087)&gt;=1,1,IF(SUM('Actual species'!J1087)="X",1,0))</f>
        <v>0</v>
      </c>
      <c r="H1087" s="2">
        <f>IF(SUM('Actual species'!K1087)&gt;=1,1,IF(SUM('Actual species'!K1087)="X",1,0))</f>
        <v>0</v>
      </c>
      <c r="I1087" s="2">
        <f>IF(SUM('Actual species'!L1087)&gt;=1,1,IF(SUM('Actual species'!L1087)="X",1,0))</f>
        <v>0</v>
      </c>
      <c r="J1087" s="2">
        <f>IF(SUM('Actual species'!M1087)&gt;=1,1,IF(SUM('Actual species'!M1087)="X",1,0))</f>
        <v>0</v>
      </c>
      <c r="K1087" s="2">
        <f>IF(SUM('Actual species'!N1087)&gt;=1,1,IF(SUM('Actual species'!N1087)="X",1,0))</f>
        <v>0</v>
      </c>
      <c r="L1087" s="2">
        <f>IF(SUM('Actual species'!O1087)&gt;=1,1,IF(SUM('Actual species'!O1087)="X",1,0))</f>
        <v>0</v>
      </c>
      <c r="M1087" s="2">
        <f>IF(SUM('Actual species'!P1087)&gt;=1,1,IF(SUM('Actual species'!P1087)="X",1,0))</f>
        <v>0</v>
      </c>
      <c r="N1087" s="2">
        <f>IF(SUM('Actual species'!Q1087)&gt;=1,1,IF(SUM('Actual species'!Q1087)="X",1,0))</f>
        <v>0</v>
      </c>
      <c r="O1087" s="2">
        <f>IF(SUM('Actual species'!R1087)&gt;=1,1,IF(SUM('Actual species'!R1087)="X",1,0))</f>
        <v>0</v>
      </c>
      <c r="P1087" s="2">
        <f>IF(SUM('Actual species'!S1087)&gt;=1,1,IF(SUM('Actual species'!S1087)="X",1,0))</f>
        <v>0</v>
      </c>
      <c r="Q1087" s="2">
        <f>IF(SUM('Actual species'!T1087)&gt;=1,1,IF(SUM('Actual species'!T1087)="X",1,0))</f>
        <v>0</v>
      </c>
      <c r="R1087" s="2">
        <f>IF(SUM('Actual species'!U1087)&gt;=1,1,IF(SUM('Actual species'!U1087)="X",1,0))</f>
        <v>0</v>
      </c>
    </row>
    <row r="1088" spans="1:18" x14ac:dyDescent="0.3">
      <c r="A1088" s="113" t="str">
        <f>'Actual species'!A1088</f>
        <v>Quedius semiaeneus</v>
      </c>
      <c r="B1088" s="66">
        <f>IF(SUM('Actual species'!B1088:E1088)&gt;=1,1,IF(SUM('Actual species'!B1088:E1088)="X",1,0))</f>
        <v>1</v>
      </c>
      <c r="C1088" s="2">
        <f>IF(SUM('Actual species'!F1088)&gt;=1,1,IF(SUM('Actual species'!F1088)="X",1,0))</f>
        <v>0</v>
      </c>
      <c r="D1088" s="2">
        <f>IF(SUM('Actual species'!G1088)&gt;=1,1,IF(SUM('Actual species'!G1088)="X",1,0))</f>
        <v>1</v>
      </c>
      <c r="E1088" s="2">
        <f>IF(SUM('Actual species'!H1088)&gt;=1,1,IF(SUM('Actual species'!H1088)="X",1,0))</f>
        <v>1</v>
      </c>
      <c r="F1088" s="2">
        <f>IF(SUM('Actual species'!I1088)&gt;=1,1,IF(SUM('Actual species'!I1088)="X",1,0))</f>
        <v>1</v>
      </c>
      <c r="G1088" s="2">
        <f>IF(SUM('Actual species'!J1088)&gt;=1,1,IF(SUM('Actual species'!J1088)="X",1,0))</f>
        <v>0</v>
      </c>
      <c r="H1088" s="2">
        <f>IF(SUM('Actual species'!K1088)&gt;=1,1,IF(SUM('Actual species'!K1088)="X",1,0))</f>
        <v>0</v>
      </c>
      <c r="I1088" s="2">
        <f>IF(SUM('Actual species'!L1088)&gt;=1,1,IF(SUM('Actual species'!L1088)="X",1,0))</f>
        <v>0</v>
      </c>
      <c r="J1088" s="2">
        <f>IF(SUM('Actual species'!M1088)&gt;=1,1,IF(SUM('Actual species'!M1088)="X",1,0))</f>
        <v>0</v>
      </c>
      <c r="K1088" s="2">
        <f>IF(SUM('Actual species'!N1088)&gt;=1,1,IF(SUM('Actual species'!N1088)="X",1,0))</f>
        <v>0</v>
      </c>
      <c r="L1088" s="2">
        <f>IF(SUM('Actual species'!O1088)&gt;=1,1,IF(SUM('Actual species'!O1088)="X",1,0))</f>
        <v>0</v>
      </c>
      <c r="M1088" s="2">
        <f>IF(SUM('Actual species'!P1088)&gt;=1,1,IF(SUM('Actual species'!P1088)="X",1,0))</f>
        <v>0</v>
      </c>
      <c r="N1088" s="2">
        <f>IF(SUM('Actual species'!Q1088)&gt;=1,1,IF(SUM('Actual species'!Q1088)="X",1,0))</f>
        <v>0</v>
      </c>
      <c r="O1088" s="2">
        <f>IF(SUM('Actual species'!R1088)&gt;=1,1,IF(SUM('Actual species'!R1088)="X",1,0))</f>
        <v>0</v>
      </c>
      <c r="P1088" s="2">
        <f>IF(SUM('Actual species'!S1088)&gt;=1,1,IF(SUM('Actual species'!S1088)="X",1,0))</f>
        <v>0</v>
      </c>
      <c r="Q1088" s="2">
        <f>IF(SUM('Actual species'!T1088)&gt;=1,1,IF(SUM('Actual species'!T1088)="X",1,0))</f>
        <v>0</v>
      </c>
      <c r="R1088" s="2">
        <f>IF(SUM('Actual species'!U1088)&gt;=1,1,IF(SUM('Actual species'!U1088)="X",1,0))</f>
        <v>0</v>
      </c>
    </row>
    <row r="1089" spans="1:18" x14ac:dyDescent="0.3">
      <c r="A1089" s="113" t="str">
        <f>'Actual species'!A1089</f>
        <v>Quedius semiobscurus</v>
      </c>
      <c r="B1089" s="66">
        <f>IF(SUM('Actual species'!B1089:E1089)&gt;=1,1,IF(SUM('Actual species'!B1089:E1089)="X",1,0))</f>
        <v>1</v>
      </c>
      <c r="C1089" s="2">
        <f>IF(SUM('Actual species'!F1089)&gt;=1,1,IF(SUM('Actual species'!F1089)="X",1,0))</f>
        <v>0</v>
      </c>
      <c r="D1089" s="2">
        <f>IF(SUM('Actual species'!G1089)&gt;=1,1,IF(SUM('Actual species'!G1089)="X",1,0))</f>
        <v>0</v>
      </c>
      <c r="E1089" s="2">
        <f>IF(SUM('Actual species'!H1089)&gt;=1,1,IF(SUM('Actual species'!H1089)="X",1,0))</f>
        <v>0</v>
      </c>
      <c r="F1089" s="2">
        <f>IF(SUM('Actual species'!I1089)&gt;=1,1,IF(SUM('Actual species'!I1089)="X",1,0))</f>
        <v>0</v>
      </c>
      <c r="G1089" s="2">
        <f>IF(SUM('Actual species'!J1089)&gt;=1,1,IF(SUM('Actual species'!J1089)="X",1,0))</f>
        <v>1</v>
      </c>
      <c r="H1089" s="2">
        <f>IF(SUM('Actual species'!K1089)&gt;=1,1,IF(SUM('Actual species'!K1089)="X",1,0))</f>
        <v>1</v>
      </c>
      <c r="I1089" s="2">
        <f>IF(SUM('Actual species'!L1089)&gt;=1,1,IF(SUM('Actual species'!L1089)="X",1,0))</f>
        <v>0</v>
      </c>
      <c r="J1089" s="2">
        <f>IF(SUM('Actual species'!M1089)&gt;=1,1,IF(SUM('Actual species'!M1089)="X",1,0))</f>
        <v>1</v>
      </c>
      <c r="K1089" s="2">
        <f>IF(SUM('Actual species'!N1089)&gt;=1,1,IF(SUM('Actual species'!N1089)="X",1,0))</f>
        <v>0</v>
      </c>
      <c r="L1089" s="2">
        <f>IF(SUM('Actual species'!O1089)&gt;=1,1,IF(SUM('Actual species'!O1089)="X",1,0))</f>
        <v>0</v>
      </c>
      <c r="M1089" s="2">
        <f>IF(SUM('Actual species'!P1089)&gt;=1,1,IF(SUM('Actual species'!P1089)="X",1,0))</f>
        <v>0</v>
      </c>
      <c r="N1089" s="2">
        <f>IF(SUM('Actual species'!Q1089)&gt;=1,1,IF(SUM('Actual species'!Q1089)="X",1,0))</f>
        <v>0</v>
      </c>
      <c r="O1089" s="2">
        <f>IF(SUM('Actual species'!R1089)&gt;=1,1,IF(SUM('Actual species'!R1089)="X",1,0))</f>
        <v>0</v>
      </c>
      <c r="P1089" s="2">
        <f>IF(SUM('Actual species'!S1089)&gt;=1,1,IF(SUM('Actual species'!S1089)="X",1,0))</f>
        <v>0</v>
      </c>
      <c r="Q1089" s="2">
        <f>IF(SUM('Actual species'!T1089)&gt;=1,1,IF(SUM('Actual species'!T1089)="X",1,0))</f>
        <v>0</v>
      </c>
      <c r="R1089" s="2">
        <f>IF(SUM('Actual species'!U1089)&gt;=1,1,IF(SUM('Actual species'!U1089)="X",1,0))</f>
        <v>0</v>
      </c>
    </row>
    <row r="1090" spans="1:18" x14ac:dyDescent="0.3">
      <c r="A1090" s="113" t="str">
        <f>'Actual species'!A1090</f>
        <v xml:space="preserve">Quedius sigwalti (E) </v>
      </c>
      <c r="B1090" s="66">
        <f>IF(SUM('Actual species'!B1090:E1090)&gt;=1,1,IF(SUM('Actual species'!B1090:E1090)="X",1,0))</f>
        <v>0</v>
      </c>
      <c r="C1090" s="2">
        <f>IF(SUM('Actual species'!F1090)&gt;=1,1,IF(SUM('Actual species'!F1090)="X",1,0))</f>
        <v>0</v>
      </c>
      <c r="D1090" s="2">
        <f>IF(SUM('Actual species'!G1090)&gt;=1,1,IF(SUM('Actual species'!G1090)="X",1,0))</f>
        <v>0</v>
      </c>
      <c r="E1090" s="2">
        <f>IF(SUM('Actual species'!H1090)&gt;=1,1,IF(SUM('Actual species'!H1090)="X",1,0))</f>
        <v>0</v>
      </c>
      <c r="F1090" s="2">
        <f>IF(SUM('Actual species'!I1090)&gt;=1,1,IF(SUM('Actual species'!I1090)="X",1,0))</f>
        <v>0</v>
      </c>
      <c r="G1090" s="2">
        <f>IF(SUM('Actual species'!J1090)&gt;=1,1,IF(SUM('Actual species'!J1090)="X",1,0))</f>
        <v>1</v>
      </c>
      <c r="H1090" s="2">
        <f>IF(SUM('Actual species'!K1090)&gt;=1,1,IF(SUM('Actual species'!K1090)="X",1,0))</f>
        <v>0</v>
      </c>
      <c r="I1090" s="2">
        <f>IF(SUM('Actual species'!L1090)&gt;=1,1,IF(SUM('Actual species'!L1090)="X",1,0))</f>
        <v>0</v>
      </c>
      <c r="J1090" s="2">
        <f>IF(SUM('Actual species'!M1090)&gt;=1,1,IF(SUM('Actual species'!M1090)="X",1,0))</f>
        <v>0</v>
      </c>
      <c r="K1090" s="2">
        <f>IF(SUM('Actual species'!N1090)&gt;=1,1,IF(SUM('Actual species'!N1090)="X",1,0))</f>
        <v>0</v>
      </c>
      <c r="L1090" s="2">
        <f>IF(SUM('Actual species'!O1090)&gt;=1,1,IF(SUM('Actual species'!O1090)="X",1,0))</f>
        <v>0</v>
      </c>
      <c r="M1090" s="2">
        <f>IF(SUM('Actual species'!P1090)&gt;=1,1,IF(SUM('Actual species'!P1090)="X",1,0))</f>
        <v>0</v>
      </c>
      <c r="N1090" s="2">
        <f>IF(SUM('Actual species'!Q1090)&gt;=1,1,IF(SUM('Actual species'!Q1090)="X",1,0))</f>
        <v>0</v>
      </c>
      <c r="O1090" s="2">
        <f>IF(SUM('Actual species'!R1090)&gt;=1,1,IF(SUM('Actual species'!R1090)="X",1,0))</f>
        <v>0</v>
      </c>
      <c r="P1090" s="2">
        <f>IF(SUM('Actual species'!S1090)&gt;=1,1,IF(SUM('Actual species'!S1090)="X",1,0))</f>
        <v>0</v>
      </c>
      <c r="Q1090" s="2">
        <f>IF(SUM('Actual species'!T1090)&gt;=1,1,IF(SUM('Actual species'!T1090)="X",1,0))</f>
        <v>0</v>
      </c>
      <c r="R1090" s="2">
        <f>IF(SUM('Actual species'!U1090)&gt;=1,1,IF(SUM('Actual species'!U1090)="X",1,0))</f>
        <v>0</v>
      </c>
    </row>
    <row r="1091" spans="1:18" x14ac:dyDescent="0.3">
      <c r="A1091" s="113" t="str">
        <f>'Actual species'!A1091</f>
        <v>Quedius sp. aff. Boops</v>
      </c>
      <c r="B1091" s="66">
        <f>IF(SUM('Actual species'!B1091:E1091)&gt;=1,1,IF(SUM('Actual species'!B1091:E1091)="X",1,0))</f>
        <v>1</v>
      </c>
      <c r="C1091" s="2">
        <f>IF(SUM('Actual species'!F1091)&gt;=1,1,IF(SUM('Actual species'!F1091)="X",1,0))</f>
        <v>0</v>
      </c>
      <c r="D1091" s="2">
        <f>IF(SUM('Actual species'!G1091)&gt;=1,1,IF(SUM('Actual species'!G1091)="X",1,0))</f>
        <v>0</v>
      </c>
      <c r="E1091" s="2">
        <f>IF(SUM('Actual species'!H1091)&gt;=1,1,IF(SUM('Actual species'!H1091)="X",1,0))</f>
        <v>0</v>
      </c>
      <c r="F1091" s="2">
        <f>IF(SUM('Actual species'!I1091)&gt;=1,1,IF(SUM('Actual species'!I1091)="X",1,0))</f>
        <v>0</v>
      </c>
      <c r="G1091" s="2">
        <f>IF(SUM('Actual species'!J1091)&gt;=1,1,IF(SUM('Actual species'!J1091)="X",1,0))</f>
        <v>0</v>
      </c>
      <c r="H1091" s="2">
        <f>IF(SUM('Actual species'!K1091)&gt;=1,1,IF(SUM('Actual species'!K1091)="X",1,0))</f>
        <v>0</v>
      </c>
      <c r="I1091" s="2">
        <f>IF(SUM('Actual species'!L1091)&gt;=1,1,IF(SUM('Actual species'!L1091)="X",1,0))</f>
        <v>0</v>
      </c>
      <c r="J1091" s="2">
        <f>IF(SUM('Actual species'!M1091)&gt;=1,1,IF(SUM('Actual species'!M1091)="X",1,0))</f>
        <v>0</v>
      </c>
      <c r="K1091" s="2">
        <f>IF(SUM('Actual species'!N1091)&gt;=1,1,IF(SUM('Actual species'!N1091)="X",1,0))</f>
        <v>0</v>
      </c>
      <c r="L1091" s="2">
        <f>IF(SUM('Actual species'!O1091)&gt;=1,1,IF(SUM('Actual species'!O1091)="X",1,0))</f>
        <v>0</v>
      </c>
      <c r="M1091" s="2">
        <f>IF(SUM('Actual species'!P1091)&gt;=1,1,IF(SUM('Actual species'!P1091)="X",1,0))</f>
        <v>0</v>
      </c>
      <c r="N1091" s="2">
        <f>IF(SUM('Actual species'!Q1091)&gt;=1,1,IF(SUM('Actual species'!Q1091)="X",1,0))</f>
        <v>0</v>
      </c>
      <c r="O1091" s="2">
        <f>IF(SUM('Actual species'!R1091)&gt;=1,1,IF(SUM('Actual species'!R1091)="X",1,0))</f>
        <v>0</v>
      </c>
      <c r="P1091" s="2">
        <f>IF(SUM('Actual species'!S1091)&gt;=1,1,IF(SUM('Actual species'!S1091)="X",1,0))</f>
        <v>0</v>
      </c>
      <c r="Q1091" s="2">
        <f>IF(SUM('Actual species'!T1091)&gt;=1,1,IF(SUM('Actual species'!T1091)="X",1,0))</f>
        <v>0</v>
      </c>
      <c r="R1091" s="2">
        <f>IF(SUM('Actual species'!U1091)&gt;=1,1,IF(SUM('Actual species'!U1091)="X",1,0))</f>
        <v>0</v>
      </c>
    </row>
    <row r="1092" spans="1:18" x14ac:dyDescent="0.3">
      <c r="A1092" s="113" t="str">
        <f>'Actual species'!A1092</f>
        <v>Quedius spp. (female)</v>
      </c>
      <c r="B1092" s="66">
        <f>IF(SUM('Actual species'!B1092:E1092)&gt;=1,1,IF(SUM('Actual species'!B1092:E1092)="X",1,0))</f>
        <v>0</v>
      </c>
      <c r="C1092" s="2">
        <f>IF(SUM('Actual species'!F1092)&gt;=1,1,IF(SUM('Actual species'!F1092)="X",1,0))</f>
        <v>0</v>
      </c>
      <c r="D1092" s="2">
        <f>IF(SUM('Actual species'!G1092)&gt;=1,1,IF(SUM('Actual species'!G1092)="X",1,0))</f>
        <v>0</v>
      </c>
      <c r="E1092" s="2">
        <f>IF(SUM('Actual species'!H1092)&gt;=1,1,IF(SUM('Actual species'!H1092)="X",1,0))</f>
        <v>0</v>
      </c>
      <c r="F1092" s="2">
        <f>IF(SUM('Actual species'!I1092)&gt;=1,1,IF(SUM('Actual species'!I1092)="X",1,0))</f>
        <v>0</v>
      </c>
      <c r="G1092" s="2">
        <f>IF(SUM('Actual species'!J1092)&gt;=1,1,IF(SUM('Actual species'!J1092)="X",1,0))</f>
        <v>0</v>
      </c>
      <c r="H1092" s="2">
        <f>IF(SUM('Actual species'!K1092)&gt;=1,1,IF(SUM('Actual species'!K1092)="X",1,0))</f>
        <v>0</v>
      </c>
      <c r="I1092" s="2">
        <f>IF(SUM('Actual species'!L1092)&gt;=1,1,IF(SUM('Actual species'!L1092)="X",1,0))</f>
        <v>0</v>
      </c>
      <c r="J1092" s="2">
        <f>IF(SUM('Actual species'!M1092)&gt;=1,1,IF(SUM('Actual species'!M1092)="X",1,0))</f>
        <v>0</v>
      </c>
      <c r="K1092" s="2">
        <f>IF(SUM('Actual species'!N1092)&gt;=1,1,IF(SUM('Actual species'!N1092)="X",1,0))</f>
        <v>0</v>
      </c>
      <c r="L1092" s="2">
        <f>IF(SUM('Actual species'!O1092)&gt;=1,1,IF(SUM('Actual species'!O1092)="X",1,0))</f>
        <v>0</v>
      </c>
      <c r="M1092" s="2">
        <f>IF(SUM('Actual species'!P1092)&gt;=1,1,IF(SUM('Actual species'!P1092)="X",1,0))</f>
        <v>1</v>
      </c>
      <c r="N1092" s="2">
        <f>IF(SUM('Actual species'!Q1092)&gt;=1,1,IF(SUM('Actual species'!Q1092)="X",1,0))</f>
        <v>1</v>
      </c>
      <c r="O1092" s="2">
        <f>IF(SUM('Actual species'!R1092)&gt;=1,1,IF(SUM('Actual species'!R1092)="X",1,0))</f>
        <v>1</v>
      </c>
      <c r="P1092" s="2">
        <f>IF(SUM('Actual species'!S1092)&gt;=1,1,IF(SUM('Actual species'!S1092)="X",1,0))</f>
        <v>1</v>
      </c>
      <c r="Q1092" s="2">
        <f>IF(SUM('Actual species'!T1092)&gt;=1,1,IF(SUM('Actual species'!T1092)="X",1,0))</f>
        <v>0</v>
      </c>
      <c r="R1092" s="2">
        <f>IF(SUM('Actual species'!U1092)&gt;=1,1,IF(SUM('Actual species'!U1092)="X",1,0))</f>
        <v>0</v>
      </c>
    </row>
    <row r="1093" spans="1:18" x14ac:dyDescent="0.3">
      <c r="A1093" s="113" t="str">
        <f>'Actual species'!A1093</f>
        <v xml:space="preserve">Quedius suturalis </v>
      </c>
      <c r="B1093" s="66">
        <f>IF(SUM('Actual species'!B1093:E1093)&gt;=1,1,IF(SUM('Actual species'!B1093:E1093)="X",1,0))</f>
        <v>0</v>
      </c>
      <c r="C1093" s="2">
        <f>IF(SUM('Actual species'!F1093)&gt;=1,1,IF(SUM('Actual species'!F1093)="X",1,0))</f>
        <v>0</v>
      </c>
      <c r="D1093" s="2">
        <f>IF(SUM('Actual species'!G1093)&gt;=1,1,IF(SUM('Actual species'!G1093)="X",1,0))</f>
        <v>0</v>
      </c>
      <c r="E1093" s="2">
        <f>IF(SUM('Actual species'!H1093)&gt;=1,1,IF(SUM('Actual species'!H1093)="X",1,0))</f>
        <v>0</v>
      </c>
      <c r="F1093" s="2">
        <f>IF(SUM('Actual species'!I1093)&gt;=1,1,IF(SUM('Actual species'!I1093)="X",1,0))</f>
        <v>0</v>
      </c>
      <c r="G1093" s="2">
        <f>IF(SUM('Actual species'!J1093)&gt;=1,1,IF(SUM('Actual species'!J1093)="X",1,0))</f>
        <v>0</v>
      </c>
      <c r="H1093" s="2">
        <f>IF(SUM('Actual species'!K1093)&gt;=1,1,IF(SUM('Actual species'!K1093)="X",1,0))</f>
        <v>0</v>
      </c>
      <c r="I1093" s="2">
        <f>IF(SUM('Actual species'!L1093)&gt;=1,1,IF(SUM('Actual species'!L1093)="X",1,0))</f>
        <v>0</v>
      </c>
      <c r="J1093" s="2">
        <f>IF(SUM('Actual species'!M1093)&gt;=1,1,IF(SUM('Actual species'!M1093)="X",1,0))</f>
        <v>1</v>
      </c>
      <c r="K1093" s="2">
        <f>IF(SUM('Actual species'!N1093)&gt;=1,1,IF(SUM('Actual species'!N1093)="X",1,0))</f>
        <v>0</v>
      </c>
      <c r="L1093" s="2">
        <f>IF(SUM('Actual species'!O1093)&gt;=1,1,IF(SUM('Actual species'!O1093)="X",1,0))</f>
        <v>0</v>
      </c>
      <c r="M1093" s="2">
        <f>IF(SUM('Actual species'!P1093)&gt;=1,1,IF(SUM('Actual species'!P1093)="X",1,0))</f>
        <v>0</v>
      </c>
      <c r="N1093" s="2">
        <f>IF(SUM('Actual species'!Q1093)&gt;=1,1,IF(SUM('Actual species'!Q1093)="X",1,0))</f>
        <v>0</v>
      </c>
      <c r="O1093" s="2">
        <f>IF(SUM('Actual species'!R1093)&gt;=1,1,IF(SUM('Actual species'!R1093)="X",1,0))</f>
        <v>0</v>
      </c>
      <c r="P1093" s="2">
        <f>IF(SUM('Actual species'!S1093)&gt;=1,1,IF(SUM('Actual species'!S1093)="X",1,0))</f>
        <v>1</v>
      </c>
      <c r="Q1093" s="2">
        <f>IF(SUM('Actual species'!T1093)&gt;=1,1,IF(SUM('Actual species'!T1093)="X",1,0))</f>
        <v>0</v>
      </c>
      <c r="R1093" s="2">
        <f>IF(SUM('Actual species'!U1093)&gt;=1,1,IF(SUM('Actual species'!U1093)="X",1,0))</f>
        <v>0</v>
      </c>
    </row>
    <row r="1094" spans="1:18" x14ac:dyDescent="0.3">
      <c r="A1094" s="113" t="str">
        <f>'Actual species'!A1094</f>
        <v>Quedius tristis</v>
      </c>
      <c r="B1094" s="66">
        <f>IF(SUM('Actual species'!B1094:E1094)&gt;=1,1,IF(SUM('Actual species'!B1094:E1094)="X",1,0))</f>
        <v>1</v>
      </c>
      <c r="C1094" s="2">
        <f>IF(SUM('Actual species'!F1094)&gt;=1,1,IF(SUM('Actual species'!F1094)="X",1,0))</f>
        <v>0</v>
      </c>
      <c r="D1094" s="2">
        <f>IF(SUM('Actual species'!G1094)&gt;=1,1,IF(SUM('Actual species'!G1094)="X",1,0))</f>
        <v>0</v>
      </c>
      <c r="E1094" s="2">
        <f>IF(SUM('Actual species'!H1094)&gt;=1,1,IF(SUM('Actual species'!H1094)="X",1,0))</f>
        <v>0</v>
      </c>
      <c r="F1094" s="2">
        <f>IF(SUM('Actual species'!I1094)&gt;=1,1,IF(SUM('Actual species'!I1094)="X",1,0))</f>
        <v>0</v>
      </c>
      <c r="G1094" s="2">
        <f>IF(SUM('Actual species'!J1094)&gt;=1,1,IF(SUM('Actual species'!J1094)="X",1,0))</f>
        <v>0</v>
      </c>
      <c r="H1094" s="2">
        <f>IF(SUM('Actual species'!K1094)&gt;=1,1,IF(SUM('Actual species'!K1094)="X",1,0))</f>
        <v>0</v>
      </c>
      <c r="I1094" s="2">
        <f>IF(SUM('Actual species'!L1094)&gt;=1,1,IF(SUM('Actual species'!L1094)="X",1,0))</f>
        <v>0</v>
      </c>
      <c r="J1094" s="2">
        <f>IF(SUM('Actual species'!M1094)&gt;=1,1,IF(SUM('Actual species'!M1094)="X",1,0))</f>
        <v>0</v>
      </c>
      <c r="K1094" s="2">
        <f>IF(SUM('Actual species'!N1094)&gt;=1,1,IF(SUM('Actual species'!N1094)="X",1,0))</f>
        <v>0</v>
      </c>
      <c r="L1094" s="2">
        <f>IF(SUM('Actual species'!O1094)&gt;=1,1,IF(SUM('Actual species'!O1094)="X",1,0))</f>
        <v>0</v>
      </c>
      <c r="M1094" s="2">
        <f>IF(SUM('Actual species'!P1094)&gt;=1,1,IF(SUM('Actual species'!P1094)="X",1,0))</f>
        <v>0</v>
      </c>
      <c r="N1094" s="2">
        <f>IF(SUM('Actual species'!Q1094)&gt;=1,1,IF(SUM('Actual species'!Q1094)="X",1,0))</f>
        <v>0</v>
      </c>
      <c r="O1094" s="2">
        <f>IF(SUM('Actual species'!R1094)&gt;=1,1,IF(SUM('Actual species'!R1094)="X",1,0))</f>
        <v>0</v>
      </c>
      <c r="P1094" s="2">
        <f>IF(SUM('Actual species'!S1094)&gt;=1,1,IF(SUM('Actual species'!S1094)="X",1,0))</f>
        <v>0</v>
      </c>
      <c r="Q1094" s="2">
        <f>IF(SUM('Actual species'!T1094)&gt;=1,1,IF(SUM('Actual species'!T1094)="X",1,0))</f>
        <v>0</v>
      </c>
      <c r="R1094" s="2">
        <f>IF(SUM('Actual species'!U1094)&gt;=1,1,IF(SUM('Actual species'!U1094)="X",1,0))</f>
        <v>0</v>
      </c>
    </row>
    <row r="1095" spans="1:18" x14ac:dyDescent="0.3">
      <c r="A1095" s="113" t="str">
        <f>'Actual species'!A1095</f>
        <v xml:space="preserve">*Quedius troodites (E) </v>
      </c>
      <c r="B1095" s="66">
        <f>IF(SUM('Actual species'!B1095:E1095)&gt;=1,1,IF(SUM('Actual species'!B1095:E1095)="X",1,0))</f>
        <v>1</v>
      </c>
      <c r="C1095" s="2">
        <f>IF(SUM('Actual species'!F1095)&gt;=1,1,IF(SUM('Actual species'!F1095)="X",1,0))</f>
        <v>0</v>
      </c>
      <c r="D1095" s="2">
        <f>IF(SUM('Actual species'!G1095)&gt;=1,1,IF(SUM('Actual species'!G1095)="X",1,0))</f>
        <v>0</v>
      </c>
      <c r="E1095" s="2">
        <f>IF(SUM('Actual species'!H1095)&gt;=1,1,IF(SUM('Actual species'!H1095)="X",1,0))</f>
        <v>0</v>
      </c>
      <c r="F1095" s="2">
        <f>IF(SUM('Actual species'!I1095)&gt;=1,1,IF(SUM('Actual species'!I1095)="X",1,0))</f>
        <v>0</v>
      </c>
      <c r="G1095" s="2">
        <f>IF(SUM('Actual species'!J1095)&gt;=1,1,IF(SUM('Actual species'!J1095)="X",1,0))</f>
        <v>0</v>
      </c>
      <c r="H1095" s="2">
        <f>IF(SUM('Actual species'!K1095)&gt;=1,1,IF(SUM('Actual species'!K1095)="X",1,0))</f>
        <v>0</v>
      </c>
      <c r="I1095" s="2">
        <f>IF(SUM('Actual species'!L1095)&gt;=1,1,IF(SUM('Actual species'!L1095)="X",1,0))</f>
        <v>0</v>
      </c>
      <c r="J1095" s="2">
        <f>IF(SUM('Actual species'!M1095)&gt;=1,1,IF(SUM('Actual species'!M1095)="X",1,0))</f>
        <v>0</v>
      </c>
      <c r="K1095" s="2">
        <f>IF(SUM('Actual species'!N1095)&gt;=1,1,IF(SUM('Actual species'!N1095)="X",1,0))</f>
        <v>0</v>
      </c>
      <c r="L1095" s="2">
        <f>IF(SUM('Actual species'!O1095)&gt;=1,1,IF(SUM('Actual species'!O1095)="X",1,0))</f>
        <v>0</v>
      </c>
      <c r="M1095" s="2">
        <f>IF(SUM('Actual species'!P1095)&gt;=1,1,IF(SUM('Actual species'!P1095)="X",1,0))</f>
        <v>0</v>
      </c>
      <c r="N1095" s="2">
        <f>IF(SUM('Actual species'!Q1095)&gt;=1,1,IF(SUM('Actual species'!Q1095)="X",1,0))</f>
        <v>0</v>
      </c>
      <c r="O1095" s="2">
        <f>IF(SUM('Actual species'!R1095)&gt;=1,1,IF(SUM('Actual species'!R1095)="X",1,0))</f>
        <v>0</v>
      </c>
      <c r="P1095" s="2">
        <f>IF(SUM('Actual species'!S1095)&gt;=1,1,IF(SUM('Actual species'!S1095)="X",1,0))</f>
        <v>0</v>
      </c>
      <c r="Q1095" s="2">
        <f>IF(SUM('Actual species'!T1095)&gt;=1,1,IF(SUM('Actual species'!T1095)="X",1,0))</f>
        <v>0</v>
      </c>
      <c r="R1095" s="2">
        <f>IF(SUM('Actual species'!U1095)&gt;=1,1,IF(SUM('Actual species'!U1095)="X",1,0))</f>
        <v>0</v>
      </c>
    </row>
    <row r="1096" spans="1:18" x14ac:dyDescent="0.3">
      <c r="A1096" s="113" t="str">
        <f>'Actual species'!A1096</f>
        <v>Quedius umbrinus</v>
      </c>
      <c r="B1096" s="66">
        <f>IF(SUM('Actual species'!B1096:E1096)&gt;=1,1,IF(SUM('Actual species'!B1096:E1096)="X",1,0))</f>
        <v>0</v>
      </c>
      <c r="C1096" s="2">
        <f>IF(SUM('Actual species'!F1096)&gt;=1,1,IF(SUM('Actual species'!F1096)="X",1,0))</f>
        <v>0</v>
      </c>
      <c r="D1096" s="2">
        <f>IF(SUM('Actual species'!G1096)&gt;=1,1,IF(SUM('Actual species'!G1096)="X",1,0))</f>
        <v>1</v>
      </c>
      <c r="E1096" s="2">
        <f>IF(SUM('Actual species'!H1096)&gt;=1,1,IF(SUM('Actual species'!H1096)="X",1,0))</f>
        <v>1</v>
      </c>
      <c r="F1096" s="2">
        <f>IF(SUM('Actual species'!I1096)&gt;=1,1,IF(SUM('Actual species'!I1096)="X",1,0))</f>
        <v>0</v>
      </c>
      <c r="G1096" s="2">
        <f>IF(SUM('Actual species'!J1096)&gt;=1,1,IF(SUM('Actual species'!J1096)="X",1,0))</f>
        <v>1</v>
      </c>
      <c r="H1096" s="2">
        <f>IF(SUM('Actual species'!K1096)&gt;=1,1,IF(SUM('Actual species'!K1096)="X",1,0))</f>
        <v>0</v>
      </c>
      <c r="I1096" s="2">
        <f>IF(SUM('Actual species'!L1096)&gt;=1,1,IF(SUM('Actual species'!L1096)="X",1,0))</f>
        <v>0</v>
      </c>
      <c r="J1096" s="2">
        <f>IF(SUM('Actual species'!M1096)&gt;=1,1,IF(SUM('Actual species'!M1096)="X",1,0))</f>
        <v>1</v>
      </c>
      <c r="K1096" s="2">
        <f>IF(SUM('Actual species'!N1096)&gt;=1,1,IF(SUM('Actual species'!N1096)="X",1,0))</f>
        <v>0</v>
      </c>
      <c r="L1096" s="2">
        <f>IF(SUM('Actual species'!O1096)&gt;=1,1,IF(SUM('Actual species'!O1096)="X",1,0))</f>
        <v>0</v>
      </c>
      <c r="M1096" s="2">
        <f>IF(SUM('Actual species'!P1096)&gt;=1,1,IF(SUM('Actual species'!P1096)="X",1,0))</f>
        <v>0</v>
      </c>
      <c r="N1096" s="2">
        <f>IF(SUM('Actual species'!Q1096)&gt;=1,1,IF(SUM('Actual species'!Q1096)="X",1,0))</f>
        <v>1</v>
      </c>
      <c r="O1096" s="2">
        <f>IF(SUM('Actual species'!R1096)&gt;=1,1,IF(SUM('Actual species'!R1096)="X",1,0))</f>
        <v>0</v>
      </c>
      <c r="P1096" s="2">
        <f>IF(SUM('Actual species'!S1096)&gt;=1,1,IF(SUM('Actual species'!S1096)="X",1,0))</f>
        <v>1</v>
      </c>
      <c r="Q1096" s="2">
        <f>IF(SUM('Actual species'!T1096)&gt;=1,1,IF(SUM('Actual species'!T1096)="X",1,0))</f>
        <v>0</v>
      </c>
      <c r="R1096" s="2">
        <f>IF(SUM('Actual species'!U1096)&gt;=1,1,IF(SUM('Actual species'!U1096)="X",1,0))</f>
        <v>0</v>
      </c>
    </row>
    <row r="1097" spans="1:18" x14ac:dyDescent="0.3">
      <c r="A1097" s="113" t="str">
        <f>'Actual species'!A1097</f>
        <v>Quedius vicinus</v>
      </c>
      <c r="B1097" s="66">
        <f>IF(SUM('Actual species'!B1097:E1097)&gt;=1,1,IF(SUM('Actual species'!B1097:E1097)="X",1,0))</f>
        <v>1</v>
      </c>
      <c r="C1097" s="2">
        <f>IF(SUM('Actual species'!F1097)&gt;=1,1,IF(SUM('Actual species'!F1097)="X",1,0))</f>
        <v>0</v>
      </c>
      <c r="D1097" s="2">
        <f>IF(SUM('Actual species'!G1097)&gt;=1,1,IF(SUM('Actual species'!G1097)="X",1,0))</f>
        <v>0</v>
      </c>
      <c r="E1097" s="2">
        <f>IF(SUM('Actual species'!H1097)&gt;=1,1,IF(SUM('Actual species'!H1097)="X",1,0))</f>
        <v>0</v>
      </c>
      <c r="F1097" s="2">
        <f>IF(SUM('Actual species'!I1097)&gt;=1,1,IF(SUM('Actual species'!I1097)="X",1,0))</f>
        <v>0</v>
      </c>
      <c r="G1097" s="2">
        <f>IF(SUM('Actual species'!J1097)&gt;=1,1,IF(SUM('Actual species'!J1097)="X",1,0))</f>
        <v>0</v>
      </c>
      <c r="H1097" s="2">
        <f>IF(SUM('Actual species'!K1097)&gt;=1,1,IF(SUM('Actual species'!K1097)="X",1,0))</f>
        <v>0</v>
      </c>
      <c r="I1097" s="2">
        <f>IF(SUM('Actual species'!L1097)&gt;=1,1,IF(SUM('Actual species'!L1097)="X",1,0))</f>
        <v>0</v>
      </c>
      <c r="J1097" s="2">
        <f>IF(SUM('Actual species'!M1097)&gt;=1,1,IF(SUM('Actual species'!M1097)="X",1,0))</f>
        <v>0</v>
      </c>
      <c r="K1097" s="2">
        <f>IF(SUM('Actual species'!N1097)&gt;=1,1,IF(SUM('Actual species'!N1097)="X",1,0))</f>
        <v>0</v>
      </c>
      <c r="L1097" s="2">
        <f>IF(SUM('Actual species'!O1097)&gt;=1,1,IF(SUM('Actual species'!O1097)="X",1,0))</f>
        <v>0</v>
      </c>
      <c r="M1097" s="2">
        <f>IF(SUM('Actual species'!P1097)&gt;=1,1,IF(SUM('Actual species'!P1097)="X",1,0))</f>
        <v>0</v>
      </c>
      <c r="N1097" s="2">
        <f>IF(SUM('Actual species'!Q1097)&gt;=1,1,IF(SUM('Actual species'!Q1097)="X",1,0))</f>
        <v>0</v>
      </c>
      <c r="O1097" s="2">
        <f>IF(SUM('Actual species'!R1097)&gt;=1,1,IF(SUM('Actual species'!R1097)="X",1,0))</f>
        <v>0</v>
      </c>
      <c r="P1097" s="2">
        <f>IF(SUM('Actual species'!S1097)&gt;=1,1,IF(SUM('Actual species'!S1097)="X",1,0))</f>
        <v>0</v>
      </c>
      <c r="Q1097" s="2">
        <f>IF(SUM('Actual species'!T1097)&gt;=1,1,IF(SUM('Actual species'!T1097)="X",1,0))</f>
        <v>0</v>
      </c>
      <c r="R1097" s="2">
        <f>IF(SUM('Actual species'!U1097)&gt;=1,1,IF(SUM('Actual species'!U1097)="X",1,0))</f>
        <v>0</v>
      </c>
    </row>
    <row r="1098" spans="1:18" x14ac:dyDescent="0.3">
      <c r="A1098" s="113" t="str">
        <f>'Actual species'!A1098</f>
        <v>Quedius xanthopus</v>
      </c>
      <c r="B1098" s="66">
        <f>IF(SUM('Actual species'!B1098:E1098)&gt;=1,1,IF(SUM('Actual species'!B1098:E1098)="X",1,0))</f>
        <v>0</v>
      </c>
      <c r="C1098" s="2">
        <f>IF(SUM('Actual species'!F1098)&gt;=1,1,IF(SUM('Actual species'!F1098)="X",1,0))</f>
        <v>0</v>
      </c>
      <c r="D1098" s="2">
        <f>IF(SUM('Actual species'!G1098)&gt;=1,1,IF(SUM('Actual species'!G1098)="X",1,0))</f>
        <v>0</v>
      </c>
      <c r="E1098" s="2">
        <f>IF(SUM('Actual species'!H1098)&gt;=1,1,IF(SUM('Actual species'!H1098)="X",1,0))</f>
        <v>0</v>
      </c>
      <c r="F1098" s="2">
        <f>IF(SUM('Actual species'!I1098)&gt;=1,1,IF(SUM('Actual species'!I1098)="X",1,0))</f>
        <v>0</v>
      </c>
      <c r="G1098" s="2">
        <f>IF(SUM('Actual species'!J1098)&gt;=1,1,IF(SUM('Actual species'!J1098)="X",1,0))</f>
        <v>0</v>
      </c>
      <c r="H1098" s="2">
        <f>IF(SUM('Actual species'!K1098)&gt;=1,1,IF(SUM('Actual species'!K1098)="X",1,0))</f>
        <v>0</v>
      </c>
      <c r="I1098" s="2">
        <f>IF(SUM('Actual species'!L1098)&gt;=1,1,IF(SUM('Actual species'!L1098)="X",1,0))</f>
        <v>0</v>
      </c>
      <c r="J1098" s="2">
        <f>IF(SUM('Actual species'!M1098)&gt;=1,1,IF(SUM('Actual species'!M1098)="X",1,0))</f>
        <v>0</v>
      </c>
      <c r="K1098" s="2">
        <f>IF(SUM('Actual species'!N1098)&gt;=1,1,IF(SUM('Actual species'!N1098)="X",1,0))</f>
        <v>0</v>
      </c>
      <c r="L1098" s="2">
        <f>IF(SUM('Actual species'!O1098)&gt;=1,1,IF(SUM('Actual species'!O1098)="X",1,0))</f>
        <v>0</v>
      </c>
      <c r="M1098" s="2">
        <f>IF(SUM('Actual species'!P1098)&gt;=1,1,IF(SUM('Actual species'!P1098)="X",1,0))</f>
        <v>0</v>
      </c>
      <c r="N1098" s="2">
        <f>IF(SUM('Actual species'!Q1098)&gt;=1,1,IF(SUM('Actual species'!Q1098)="X",1,0))</f>
        <v>0</v>
      </c>
      <c r="O1098" s="2">
        <f>IF(SUM('Actual species'!R1098)&gt;=1,1,IF(SUM('Actual species'!R1098)="X",1,0))</f>
        <v>0</v>
      </c>
      <c r="P1098" s="2">
        <f>IF(SUM('Actual species'!S1098)&gt;=1,1,IF(SUM('Actual species'!S1098)="X",1,0))</f>
        <v>1</v>
      </c>
      <c r="Q1098" s="2">
        <f>IF(SUM('Actual species'!T1098)&gt;=1,1,IF(SUM('Actual species'!T1098)="X",1,0))</f>
        <v>0</v>
      </c>
      <c r="R1098" s="2">
        <f>IF(SUM('Actual species'!U1098)&gt;=1,1,IF(SUM('Actual species'!U1098)="X",1,0))</f>
        <v>0</v>
      </c>
    </row>
    <row r="1099" spans="1:18" x14ac:dyDescent="0.3">
      <c r="A1099" s="113" t="str">
        <f>'Actual species'!A1099</f>
        <v>Rabigus pullus</v>
      </c>
      <c r="B1099" s="66">
        <f>IF(SUM('Actual species'!B1099:E1099)&gt;=1,1,IF(SUM('Actual species'!B1099:E1099)="X",1,0))</f>
        <v>0</v>
      </c>
      <c r="C1099" s="2">
        <f>IF(SUM('Actual species'!F1099)&gt;=1,1,IF(SUM('Actual species'!F1099)="X",1,0))</f>
        <v>0</v>
      </c>
      <c r="D1099" s="2">
        <f>IF(SUM('Actual species'!G1099)&gt;=1,1,IF(SUM('Actual species'!G1099)="X",1,0))</f>
        <v>0</v>
      </c>
      <c r="E1099" s="2">
        <f>IF(SUM('Actual species'!H1099)&gt;=1,1,IF(SUM('Actual species'!H1099)="X",1,0))</f>
        <v>0</v>
      </c>
      <c r="F1099" s="2">
        <f>IF(SUM('Actual species'!I1099)&gt;=1,1,IF(SUM('Actual species'!I1099)="X",1,0))</f>
        <v>1</v>
      </c>
      <c r="G1099" s="2">
        <f>IF(SUM('Actual species'!J1099)&gt;=1,1,IF(SUM('Actual species'!J1099)="X",1,0))</f>
        <v>0</v>
      </c>
      <c r="H1099" s="2">
        <f>IF(SUM('Actual species'!K1099)&gt;=1,1,IF(SUM('Actual species'!K1099)="X",1,0))</f>
        <v>0</v>
      </c>
      <c r="I1099" s="2">
        <f>IF(SUM('Actual species'!L1099)&gt;=1,1,IF(SUM('Actual species'!L1099)="X",1,0))</f>
        <v>0</v>
      </c>
      <c r="J1099" s="2">
        <f>IF(SUM('Actual species'!M1099)&gt;=1,1,IF(SUM('Actual species'!M1099)="X",1,0))</f>
        <v>0</v>
      </c>
      <c r="K1099" s="2">
        <f>IF(SUM('Actual species'!N1099)&gt;=1,1,IF(SUM('Actual species'!N1099)="X",1,0))</f>
        <v>0</v>
      </c>
      <c r="L1099" s="2">
        <f>IF(SUM('Actual species'!O1099)&gt;=1,1,IF(SUM('Actual species'!O1099)="X",1,0))</f>
        <v>0</v>
      </c>
      <c r="M1099" s="2">
        <f>IF(SUM('Actual species'!P1099)&gt;=1,1,IF(SUM('Actual species'!P1099)="X",1,0))</f>
        <v>0</v>
      </c>
      <c r="N1099" s="2">
        <f>IF(SUM('Actual species'!Q1099)&gt;=1,1,IF(SUM('Actual species'!Q1099)="X",1,0))</f>
        <v>0</v>
      </c>
      <c r="O1099" s="2">
        <f>IF(SUM('Actual species'!R1099)&gt;=1,1,IF(SUM('Actual species'!R1099)="X",1,0))</f>
        <v>0</v>
      </c>
      <c r="P1099" s="2">
        <f>IF(SUM('Actual species'!S1099)&gt;=1,1,IF(SUM('Actual species'!S1099)="X",1,0))</f>
        <v>0</v>
      </c>
      <c r="Q1099" s="2">
        <f>IF(SUM('Actual species'!T1099)&gt;=1,1,IF(SUM('Actual species'!T1099)="X",1,0))</f>
        <v>0</v>
      </c>
      <c r="R1099" s="2">
        <f>IF(SUM('Actual species'!U1099)&gt;=1,1,IF(SUM('Actual species'!U1099)="X",1,0))</f>
        <v>0</v>
      </c>
    </row>
    <row r="1100" spans="1:18" x14ac:dyDescent="0.3">
      <c r="A1100" s="113" t="str">
        <f>'Actual species'!A1100</f>
        <v>Remus filum</v>
      </c>
      <c r="B1100" s="66">
        <f>IF(SUM('Actual species'!B1100:E1100)&gt;=1,1,IF(SUM('Actual species'!B1100:E1100)="X",1,0))</f>
        <v>1</v>
      </c>
      <c r="C1100" s="2">
        <f>IF(SUM('Actual species'!F1100)&gt;=1,1,IF(SUM('Actual species'!F1100)="X",1,0))</f>
        <v>0</v>
      </c>
      <c r="D1100" s="2">
        <f>IF(SUM('Actual species'!G1100)&gt;=1,1,IF(SUM('Actual species'!G1100)="X",1,0))</f>
        <v>0</v>
      </c>
      <c r="E1100" s="2">
        <f>IF(SUM('Actual species'!H1100)&gt;=1,1,IF(SUM('Actual species'!H1100)="X",1,0))</f>
        <v>0</v>
      </c>
      <c r="F1100" s="2">
        <f>IF(SUM('Actual species'!I1100)&gt;=1,1,IF(SUM('Actual species'!I1100)="X",1,0))</f>
        <v>1</v>
      </c>
      <c r="G1100" s="2">
        <f>IF(SUM('Actual species'!J1100)&gt;=1,1,IF(SUM('Actual species'!J1100)="X",1,0))</f>
        <v>0</v>
      </c>
      <c r="H1100" s="2">
        <f>IF(SUM('Actual species'!K1100)&gt;=1,1,IF(SUM('Actual species'!K1100)="X",1,0))</f>
        <v>0</v>
      </c>
      <c r="I1100" s="2">
        <f>IF(SUM('Actual species'!L1100)&gt;=1,1,IF(SUM('Actual species'!L1100)="X",1,0))</f>
        <v>0</v>
      </c>
      <c r="J1100" s="2">
        <f>IF(SUM('Actual species'!M1100)&gt;=1,1,IF(SUM('Actual species'!M1100)="X",1,0))</f>
        <v>0</v>
      </c>
      <c r="K1100" s="2">
        <f>IF(SUM('Actual species'!N1100)&gt;=1,1,IF(SUM('Actual species'!N1100)="X",1,0))</f>
        <v>0</v>
      </c>
      <c r="L1100" s="2">
        <f>IF(SUM('Actual species'!O1100)&gt;=1,1,IF(SUM('Actual species'!O1100)="X",1,0))</f>
        <v>0</v>
      </c>
      <c r="M1100" s="2">
        <f>IF(SUM('Actual species'!P1100)&gt;=1,1,IF(SUM('Actual species'!P1100)="X",1,0))</f>
        <v>0</v>
      </c>
      <c r="N1100" s="2">
        <f>IF(SUM('Actual species'!Q1100)&gt;=1,1,IF(SUM('Actual species'!Q1100)="X",1,0))</f>
        <v>0</v>
      </c>
      <c r="O1100" s="2">
        <f>IF(SUM('Actual species'!R1100)&gt;=1,1,IF(SUM('Actual species'!R1100)="X",1,0))</f>
        <v>0</v>
      </c>
      <c r="P1100" s="2">
        <f>IF(SUM('Actual species'!S1100)&gt;=1,1,IF(SUM('Actual species'!S1100)="X",1,0))</f>
        <v>0</v>
      </c>
      <c r="Q1100" s="2">
        <f>IF(SUM('Actual species'!T1100)&gt;=1,1,IF(SUM('Actual species'!T1100)="X",1,0))</f>
        <v>0</v>
      </c>
      <c r="R1100" s="2">
        <f>IF(SUM('Actual species'!U1100)&gt;=1,1,IF(SUM('Actual species'!U1100)="X",1,0))</f>
        <v>0</v>
      </c>
    </row>
    <row r="1101" spans="1:18" x14ac:dyDescent="0.3">
      <c r="A1101" s="113" t="str">
        <f>'Actual species'!A1101</f>
        <v>Remus sericeus</v>
      </c>
      <c r="B1101" s="66">
        <f>IF(SUM('Actual species'!B1101:E1101)&gt;=1,1,IF(SUM('Actual species'!B1101:E1101)="X",1,0))</f>
        <v>1</v>
      </c>
      <c r="C1101" s="2">
        <f>IF(SUM('Actual species'!F1101)&gt;=1,1,IF(SUM('Actual species'!F1101)="X",1,0))</f>
        <v>0</v>
      </c>
      <c r="D1101" s="2">
        <f>IF(SUM('Actual species'!G1101)&gt;=1,1,IF(SUM('Actual species'!G1101)="X",1,0))</f>
        <v>0</v>
      </c>
      <c r="E1101" s="2">
        <f>IF(SUM('Actual species'!H1101)&gt;=1,1,IF(SUM('Actual species'!H1101)="X",1,0))</f>
        <v>0</v>
      </c>
      <c r="F1101" s="2">
        <f>IF(SUM('Actual species'!I1101)&gt;=1,1,IF(SUM('Actual species'!I1101)="X",1,0))</f>
        <v>1</v>
      </c>
      <c r="G1101" s="2">
        <f>IF(SUM('Actual species'!J1101)&gt;=1,1,IF(SUM('Actual species'!J1101)="X",1,0))</f>
        <v>0</v>
      </c>
      <c r="H1101" s="2">
        <f>IF(SUM('Actual species'!K1101)&gt;=1,1,IF(SUM('Actual species'!K1101)="X",1,0))</f>
        <v>0</v>
      </c>
      <c r="I1101" s="2">
        <f>IF(SUM('Actual species'!L1101)&gt;=1,1,IF(SUM('Actual species'!L1101)="X",1,0))</f>
        <v>0</v>
      </c>
      <c r="J1101" s="2">
        <f>IF(SUM('Actual species'!M1101)&gt;=1,1,IF(SUM('Actual species'!M1101)="X",1,0))</f>
        <v>0</v>
      </c>
      <c r="K1101" s="2">
        <f>IF(SUM('Actual species'!N1101)&gt;=1,1,IF(SUM('Actual species'!N1101)="X",1,0))</f>
        <v>0</v>
      </c>
      <c r="L1101" s="2">
        <f>IF(SUM('Actual species'!O1101)&gt;=1,1,IF(SUM('Actual species'!O1101)="X",1,0))</f>
        <v>0</v>
      </c>
      <c r="M1101" s="2">
        <f>IF(SUM('Actual species'!P1101)&gt;=1,1,IF(SUM('Actual species'!P1101)="X",1,0))</f>
        <v>0</v>
      </c>
      <c r="N1101" s="2">
        <f>IF(SUM('Actual species'!Q1101)&gt;=1,1,IF(SUM('Actual species'!Q1101)="X",1,0))</f>
        <v>0</v>
      </c>
      <c r="O1101" s="2">
        <f>IF(SUM('Actual species'!R1101)&gt;=1,1,IF(SUM('Actual species'!R1101)="X",1,0))</f>
        <v>0</v>
      </c>
      <c r="P1101" s="2">
        <f>IF(SUM('Actual species'!S1101)&gt;=1,1,IF(SUM('Actual species'!S1101)="X",1,0))</f>
        <v>0</v>
      </c>
      <c r="Q1101" s="2">
        <f>IF(SUM('Actual species'!T1101)&gt;=1,1,IF(SUM('Actual species'!T1101)="X",1,0))</f>
        <v>0</v>
      </c>
      <c r="R1101" s="2">
        <f>IF(SUM('Actual species'!U1101)&gt;=1,1,IF(SUM('Actual species'!U1101)="X",1,0))</f>
        <v>0</v>
      </c>
    </row>
    <row r="1102" spans="1:18" x14ac:dyDescent="0.3">
      <c r="A1102" s="113" t="str">
        <f>'Actual species'!A1102</f>
        <v>Stenistoderus cephalotes</v>
      </c>
      <c r="B1102" s="66">
        <f>IF(SUM('Actual species'!B1102:E1102)&gt;=1,1,IF(SUM('Actual species'!B1102:E1102)="X",1,0))</f>
        <v>0</v>
      </c>
      <c r="C1102" s="2">
        <f>IF(SUM('Actual species'!F1102)&gt;=1,1,IF(SUM('Actual species'!F1102)="X",1,0))</f>
        <v>0</v>
      </c>
      <c r="D1102" s="2">
        <f>IF(SUM('Actual species'!G1102)&gt;=1,1,IF(SUM('Actual species'!G1102)="X",1,0))</f>
        <v>0</v>
      </c>
      <c r="E1102" s="2">
        <f>IF(SUM('Actual species'!H1102)&gt;=1,1,IF(SUM('Actual species'!H1102)="X",1,0))</f>
        <v>0</v>
      </c>
      <c r="F1102" s="2">
        <f>IF(SUM('Actual species'!I1102)&gt;=1,1,IF(SUM('Actual species'!I1102)="X",1,0))</f>
        <v>0</v>
      </c>
      <c r="G1102" s="2">
        <f>IF(SUM('Actual species'!J1102)&gt;=1,1,IF(SUM('Actual species'!J1102)="X",1,0))</f>
        <v>1</v>
      </c>
      <c r="H1102" s="2">
        <f>IF(SUM('Actual species'!K1102)&gt;=1,1,IF(SUM('Actual species'!K1102)="X",1,0))</f>
        <v>0</v>
      </c>
      <c r="I1102" s="2">
        <f>IF(SUM('Actual species'!L1102)&gt;=1,1,IF(SUM('Actual species'!L1102)="X",1,0))</f>
        <v>0</v>
      </c>
      <c r="J1102" s="2">
        <f>IF(SUM('Actual species'!M1102)&gt;=1,1,IF(SUM('Actual species'!M1102)="X",1,0))</f>
        <v>0</v>
      </c>
      <c r="K1102" s="2">
        <f>IF(SUM('Actual species'!N1102)&gt;=1,1,IF(SUM('Actual species'!N1102)="X",1,0))</f>
        <v>0</v>
      </c>
      <c r="L1102" s="2">
        <f>IF(SUM('Actual species'!O1102)&gt;=1,1,IF(SUM('Actual species'!O1102)="X",1,0))</f>
        <v>0</v>
      </c>
      <c r="M1102" s="2">
        <f>IF(SUM('Actual species'!P1102)&gt;=1,1,IF(SUM('Actual species'!P1102)="X",1,0))</f>
        <v>0</v>
      </c>
      <c r="N1102" s="2">
        <f>IF(SUM('Actual species'!Q1102)&gt;=1,1,IF(SUM('Actual species'!Q1102)="X",1,0))</f>
        <v>0</v>
      </c>
      <c r="O1102" s="2">
        <f>IF(SUM('Actual species'!R1102)&gt;=1,1,IF(SUM('Actual species'!R1102)="X",1,0))</f>
        <v>0</v>
      </c>
      <c r="P1102" s="2">
        <f>IF(SUM('Actual species'!S1102)&gt;=1,1,IF(SUM('Actual species'!S1102)="X",1,0))</f>
        <v>0</v>
      </c>
      <c r="Q1102" s="2">
        <f>IF(SUM('Actual species'!T1102)&gt;=1,1,IF(SUM('Actual species'!T1102)="X",1,0))</f>
        <v>0</v>
      </c>
      <c r="R1102" s="2">
        <f>IF(SUM('Actual species'!U1102)&gt;=1,1,IF(SUM('Actual species'!U1102)="X",1,0))</f>
        <v>0</v>
      </c>
    </row>
    <row r="1103" spans="1:18" x14ac:dyDescent="0.3">
      <c r="A1103" s="113" t="str">
        <f>'Actual species'!A1103</f>
        <v>Stenistoderus nothus</v>
      </c>
      <c r="B1103" s="66">
        <f>IF(SUM('Actual species'!B1103:E1103)&gt;=1,1,IF(SUM('Actual species'!B1103:E1103)="X",1,0))</f>
        <v>0</v>
      </c>
      <c r="C1103" s="2">
        <f>IF(SUM('Actual species'!F1103)&gt;=1,1,IF(SUM('Actual species'!F1103)="X",1,0))</f>
        <v>0</v>
      </c>
      <c r="D1103" s="2">
        <f>IF(SUM('Actual species'!G1103)&gt;=1,1,IF(SUM('Actual species'!G1103)="X",1,0))</f>
        <v>0</v>
      </c>
      <c r="E1103" s="2">
        <f>IF(SUM('Actual species'!H1103)&gt;=1,1,IF(SUM('Actual species'!H1103)="X",1,0))</f>
        <v>0</v>
      </c>
      <c r="F1103" s="2">
        <f>IF(SUM('Actual species'!I1103)&gt;=1,1,IF(SUM('Actual species'!I1103)="X",1,0))</f>
        <v>0</v>
      </c>
      <c r="G1103" s="2">
        <f>IF(SUM('Actual species'!J1103)&gt;=1,1,IF(SUM('Actual species'!J1103)="X",1,0))</f>
        <v>0</v>
      </c>
      <c r="H1103" s="2">
        <f>IF(SUM('Actual species'!K1103)&gt;=1,1,IF(SUM('Actual species'!K1103)="X",1,0))</f>
        <v>0</v>
      </c>
      <c r="I1103" s="2">
        <f>IF(SUM('Actual species'!L1103)&gt;=1,1,IF(SUM('Actual species'!L1103)="X",1,0))</f>
        <v>0</v>
      </c>
      <c r="J1103" s="2">
        <f>IF(SUM('Actual species'!M1103)&gt;=1,1,IF(SUM('Actual species'!M1103)="X",1,0))</f>
        <v>0</v>
      </c>
      <c r="K1103" s="2">
        <f>IF(SUM('Actual species'!N1103)&gt;=1,1,IF(SUM('Actual species'!N1103)="X",1,0))</f>
        <v>0</v>
      </c>
      <c r="L1103" s="2">
        <f>IF(SUM('Actual species'!O1103)&gt;=1,1,IF(SUM('Actual species'!O1103)="X",1,0))</f>
        <v>0</v>
      </c>
      <c r="M1103" s="2">
        <f>IF(SUM('Actual species'!P1103)&gt;=1,1,IF(SUM('Actual species'!P1103)="X",1,0))</f>
        <v>0</v>
      </c>
      <c r="N1103" s="2">
        <f>IF(SUM('Actual species'!Q1103)&gt;=1,1,IF(SUM('Actual species'!Q1103)="X",1,0))</f>
        <v>0</v>
      </c>
      <c r="O1103" s="2">
        <f>IF(SUM('Actual species'!R1103)&gt;=1,1,IF(SUM('Actual species'!R1103)="X",1,0))</f>
        <v>0</v>
      </c>
      <c r="P1103" s="2">
        <f>IF(SUM('Actual species'!S1103)&gt;=1,1,IF(SUM('Actual species'!S1103)="X",1,0))</f>
        <v>0</v>
      </c>
      <c r="Q1103" s="2">
        <f>IF(SUM('Actual species'!T1103)&gt;=1,1,IF(SUM('Actual species'!T1103)="X",1,0))</f>
        <v>0</v>
      </c>
      <c r="R1103" s="2">
        <f>IF(SUM('Actual species'!U1103)&gt;=1,1,IF(SUM('Actual species'!U1103)="X",1,0))</f>
        <v>0</v>
      </c>
    </row>
    <row r="1104" spans="1:18" x14ac:dyDescent="0.3">
      <c r="A1104" s="113" t="str">
        <f>'Actual species'!A1104</f>
        <v>Tasgius arrowi</v>
      </c>
      <c r="B1104" s="66">
        <f>IF(SUM('Actual species'!B1104:E1104)&gt;=1,1,IF(SUM('Actual species'!B1104:E1104)="X",1,0))</f>
        <v>0</v>
      </c>
      <c r="C1104" s="2">
        <f>IF(SUM('Actual species'!F1104)&gt;=1,1,IF(SUM('Actual species'!F1104)="X",1,0))</f>
        <v>0</v>
      </c>
      <c r="D1104" s="2">
        <f>IF(SUM('Actual species'!G1104)&gt;=1,1,IF(SUM('Actual species'!G1104)="X",1,0))</f>
        <v>0</v>
      </c>
      <c r="E1104" s="2">
        <f>IF(SUM('Actual species'!H1104)&gt;=1,1,IF(SUM('Actual species'!H1104)="X",1,0))</f>
        <v>0</v>
      </c>
      <c r="F1104" s="2">
        <f>IF(SUM('Actual species'!I1104)&gt;=1,1,IF(SUM('Actual species'!I1104)="X",1,0))</f>
        <v>0</v>
      </c>
      <c r="G1104" s="2">
        <f>IF(SUM('Actual species'!J1104)&gt;=1,1,IF(SUM('Actual species'!J1104)="X",1,0))</f>
        <v>0</v>
      </c>
      <c r="H1104" s="2">
        <f>IF(SUM('Actual species'!K1104)&gt;=1,1,IF(SUM('Actual species'!K1104)="X",1,0))</f>
        <v>0</v>
      </c>
      <c r="I1104" s="2">
        <f>IF(SUM('Actual species'!L1104)&gt;=1,1,IF(SUM('Actual species'!L1104)="X",1,0))</f>
        <v>0</v>
      </c>
      <c r="J1104" s="2">
        <f>IF(SUM('Actual species'!M1104)&gt;=1,1,IF(SUM('Actual species'!M1104)="X",1,0))</f>
        <v>0</v>
      </c>
      <c r="K1104" s="2">
        <f>IF(SUM('Actual species'!N1104)&gt;=1,1,IF(SUM('Actual species'!N1104)="X",1,0))</f>
        <v>0</v>
      </c>
      <c r="L1104" s="2">
        <f>IF(SUM('Actual species'!O1104)&gt;=1,1,IF(SUM('Actual species'!O1104)="X",1,0))</f>
        <v>0</v>
      </c>
      <c r="M1104" s="2">
        <f>IF(SUM('Actual species'!P1104)&gt;=1,1,IF(SUM('Actual species'!P1104)="X",1,0))</f>
        <v>0</v>
      </c>
      <c r="N1104" s="2">
        <f>IF(SUM('Actual species'!Q1104)&gt;=1,1,IF(SUM('Actual species'!Q1104)="X",1,0))</f>
        <v>0</v>
      </c>
      <c r="O1104" s="2">
        <f>IF(SUM('Actual species'!R1104)&gt;=1,1,IF(SUM('Actual species'!R1104)="X",1,0))</f>
        <v>0</v>
      </c>
      <c r="P1104" s="2">
        <f>IF(SUM('Actual species'!S1104)&gt;=1,1,IF(SUM('Actual species'!S1104)="X",1,0))</f>
        <v>0</v>
      </c>
      <c r="Q1104" s="2">
        <f>IF(SUM('Actual species'!T1104)&gt;=1,1,IF(SUM('Actual species'!T1104)="X",1,0))</f>
        <v>0</v>
      </c>
      <c r="R1104" s="2">
        <f>IF(SUM('Actual species'!U1104)&gt;=1,1,IF(SUM('Actual species'!U1104)="X",1,0))</f>
        <v>0</v>
      </c>
    </row>
    <row r="1105" spans="1:18" x14ac:dyDescent="0.3">
      <c r="A1105" s="113" t="str">
        <f>'Actual species'!A1105</f>
        <v>Tasgius globulifer globulifer</v>
      </c>
      <c r="B1105" s="66">
        <f>IF(SUM('Actual species'!B1105:E1105)&gt;=1,1,IF(SUM('Actual species'!B1105:E1105)="X",1,0))</f>
        <v>0</v>
      </c>
      <c r="C1105" s="2">
        <f>IF(SUM('Actual species'!F1105)&gt;=1,1,IF(SUM('Actual species'!F1105)="X",1,0))</f>
        <v>0</v>
      </c>
      <c r="D1105" s="2">
        <f>IF(SUM('Actual species'!G1105)&gt;=1,1,IF(SUM('Actual species'!G1105)="X",1,0))</f>
        <v>0</v>
      </c>
      <c r="E1105" s="2">
        <f>IF(SUM('Actual species'!H1105)&gt;=1,1,IF(SUM('Actual species'!H1105)="X",1,0))</f>
        <v>0</v>
      </c>
      <c r="F1105" s="2">
        <f>IF(SUM('Actual species'!I1105)&gt;=1,1,IF(SUM('Actual species'!I1105)="X",1,0))</f>
        <v>0</v>
      </c>
      <c r="G1105" s="2">
        <f>IF(SUM('Actual species'!J1105)&gt;=1,1,IF(SUM('Actual species'!J1105)="X",1,0))</f>
        <v>0</v>
      </c>
      <c r="H1105" s="2">
        <f>IF(SUM('Actual species'!K1105)&gt;=1,1,IF(SUM('Actual species'!K1105)="X",1,0))</f>
        <v>0</v>
      </c>
      <c r="I1105" s="2">
        <f>IF(SUM('Actual species'!L1105)&gt;=1,1,IF(SUM('Actual species'!L1105)="X",1,0))</f>
        <v>0</v>
      </c>
      <c r="J1105" s="2">
        <f>IF(SUM('Actual species'!M1105)&gt;=1,1,IF(SUM('Actual species'!M1105)="X",1,0))</f>
        <v>0</v>
      </c>
      <c r="K1105" s="2">
        <f>IF(SUM('Actual species'!N1105)&gt;=1,1,IF(SUM('Actual species'!N1105)="X",1,0))</f>
        <v>0</v>
      </c>
      <c r="L1105" s="2">
        <f>IF(SUM('Actual species'!O1105)&gt;=1,1,IF(SUM('Actual species'!O1105)="X",1,0))</f>
        <v>0</v>
      </c>
      <c r="M1105" s="2">
        <f>IF(SUM('Actual species'!P1105)&gt;=1,1,IF(SUM('Actual species'!P1105)="X",1,0))</f>
        <v>0</v>
      </c>
      <c r="N1105" s="2">
        <f>IF(SUM('Actual species'!Q1105)&gt;=1,1,IF(SUM('Actual species'!Q1105)="X",1,0))</f>
        <v>0</v>
      </c>
      <c r="O1105" s="2">
        <f>IF(SUM('Actual species'!R1105)&gt;=1,1,IF(SUM('Actual species'!R1105)="X",1,0))</f>
        <v>0</v>
      </c>
      <c r="P1105" s="2">
        <f>IF(SUM('Actual species'!S1105)&gt;=1,1,IF(SUM('Actual species'!S1105)="X",1,0))</f>
        <v>0</v>
      </c>
      <c r="Q1105" s="2">
        <f>IF(SUM('Actual species'!T1105)&gt;=1,1,IF(SUM('Actual species'!T1105)="X",1,0))</f>
        <v>0</v>
      </c>
      <c r="R1105" s="2">
        <f>IF(SUM('Actual species'!U1105)&gt;=1,1,IF(SUM('Actual species'!U1105)="X",1,0))</f>
        <v>0</v>
      </c>
    </row>
    <row r="1106" spans="1:18" x14ac:dyDescent="0.3">
      <c r="A1106" s="113" t="str">
        <f>'Actual species'!A1106</f>
        <v>Tasgius morsitans</v>
      </c>
      <c r="B1106" s="66">
        <f>IF(SUM('Actual species'!B1106:E1106)&gt;=1,1,IF(SUM('Actual species'!B1106:E1106)="X",1,0))</f>
        <v>0</v>
      </c>
      <c r="C1106" s="2">
        <f>IF(SUM('Actual species'!F1106)&gt;=1,1,IF(SUM('Actual species'!F1106)="X",1,0))</f>
        <v>0</v>
      </c>
      <c r="D1106" s="2">
        <f>IF(SUM('Actual species'!G1106)&gt;=1,1,IF(SUM('Actual species'!G1106)="X",1,0))</f>
        <v>0</v>
      </c>
      <c r="E1106" s="2">
        <f>IF(SUM('Actual species'!H1106)&gt;=1,1,IF(SUM('Actual species'!H1106)="X",1,0))</f>
        <v>0</v>
      </c>
      <c r="F1106" s="2">
        <f>IF(SUM('Actual species'!I1106)&gt;=1,1,IF(SUM('Actual species'!I1106)="X",1,0))</f>
        <v>0</v>
      </c>
      <c r="G1106" s="2">
        <f>IF(SUM('Actual species'!J1106)&gt;=1,1,IF(SUM('Actual species'!J1106)="X",1,0))</f>
        <v>0</v>
      </c>
      <c r="H1106" s="2">
        <f>IF(SUM('Actual species'!K1106)&gt;=1,1,IF(SUM('Actual species'!K1106)="X",1,0))</f>
        <v>0</v>
      </c>
      <c r="I1106" s="2">
        <f>IF(SUM('Actual species'!L1106)&gt;=1,1,IF(SUM('Actual species'!L1106)="X",1,0))</f>
        <v>0</v>
      </c>
      <c r="J1106" s="2">
        <f>IF(SUM('Actual species'!M1106)&gt;=1,1,IF(SUM('Actual species'!M1106)="X",1,0))</f>
        <v>1</v>
      </c>
      <c r="K1106" s="2">
        <f>IF(SUM('Actual species'!N1106)&gt;=1,1,IF(SUM('Actual species'!N1106)="X",1,0))</f>
        <v>1</v>
      </c>
      <c r="L1106" s="2">
        <f>IF(SUM('Actual species'!O1106)&gt;=1,1,IF(SUM('Actual species'!O1106)="X",1,0))</f>
        <v>0</v>
      </c>
      <c r="M1106" s="2">
        <f>IF(SUM('Actual species'!P1106)&gt;=1,1,IF(SUM('Actual species'!P1106)="X",1,0))</f>
        <v>0</v>
      </c>
      <c r="N1106" s="2">
        <f>IF(SUM('Actual species'!Q1106)&gt;=1,1,IF(SUM('Actual species'!Q1106)="X",1,0))</f>
        <v>0</v>
      </c>
      <c r="O1106" s="2">
        <f>IF(SUM('Actual species'!R1106)&gt;=1,1,IF(SUM('Actual species'!R1106)="X",1,0))</f>
        <v>0</v>
      </c>
      <c r="P1106" s="2">
        <f>IF(SUM('Actual species'!S1106)&gt;=1,1,IF(SUM('Actual species'!S1106)="X",1,0))</f>
        <v>0</v>
      </c>
      <c r="Q1106" s="2">
        <f>IF(SUM('Actual species'!T1106)&gt;=1,1,IF(SUM('Actual species'!T1106)="X",1,0))</f>
        <v>0</v>
      </c>
      <c r="R1106" s="2">
        <f>IF(SUM('Actual species'!U1106)&gt;=1,1,IF(SUM('Actual species'!U1106)="X",1,0))</f>
        <v>0</v>
      </c>
    </row>
    <row r="1107" spans="1:18" x14ac:dyDescent="0.3">
      <c r="A1107" s="113" t="str">
        <f>'Actual species'!A1107</f>
        <v>Tasgius winkleri</v>
      </c>
      <c r="B1107" s="66">
        <f>IF(SUM('Actual species'!B1107:E1107)&gt;=1,1,IF(SUM('Actual species'!B1107:E1107)="X",1,0))</f>
        <v>0</v>
      </c>
      <c r="C1107" s="2">
        <f>IF(SUM('Actual species'!F1107)&gt;=1,1,IF(SUM('Actual species'!F1107)="X",1,0))</f>
        <v>0</v>
      </c>
      <c r="D1107" s="2">
        <f>IF(SUM('Actual species'!G1107)&gt;=1,1,IF(SUM('Actual species'!G1107)="X",1,0))</f>
        <v>0</v>
      </c>
      <c r="E1107" s="2">
        <f>IF(SUM('Actual species'!H1107)&gt;=1,1,IF(SUM('Actual species'!H1107)="X",1,0))</f>
        <v>0</v>
      </c>
      <c r="F1107" s="2">
        <f>IF(SUM('Actual species'!I1107)&gt;=1,1,IF(SUM('Actual species'!I1107)="X",1,0))</f>
        <v>0</v>
      </c>
      <c r="G1107" s="2">
        <f>IF(SUM('Actual species'!J1107)&gt;=1,1,IF(SUM('Actual species'!J1107)="X",1,0))</f>
        <v>0</v>
      </c>
      <c r="H1107" s="2">
        <f>IF(SUM('Actual species'!K1107)&gt;=1,1,IF(SUM('Actual species'!K1107)="X",1,0))</f>
        <v>0</v>
      </c>
      <c r="I1107" s="2">
        <f>IF(SUM('Actual species'!L1107)&gt;=1,1,IF(SUM('Actual species'!L1107)="X",1,0))</f>
        <v>0</v>
      </c>
      <c r="J1107" s="2">
        <f>IF(SUM('Actual species'!M1107)&gt;=1,1,IF(SUM('Actual species'!M1107)="X",1,0))</f>
        <v>0</v>
      </c>
      <c r="K1107" s="2">
        <f>IF(SUM('Actual species'!N1107)&gt;=1,1,IF(SUM('Actual species'!N1107)="X",1,0))</f>
        <v>0</v>
      </c>
      <c r="L1107" s="2">
        <f>IF(SUM('Actual species'!O1107)&gt;=1,1,IF(SUM('Actual species'!O1107)="X",1,0))</f>
        <v>0</v>
      </c>
      <c r="M1107" s="2">
        <f>IF(SUM('Actual species'!P1107)&gt;=1,1,IF(SUM('Actual species'!P1107)="X",1,0))</f>
        <v>0</v>
      </c>
      <c r="N1107" s="2">
        <f>IF(SUM('Actual species'!Q1107)&gt;=1,1,IF(SUM('Actual species'!Q1107)="X",1,0))</f>
        <v>0</v>
      </c>
      <c r="O1107" s="2">
        <f>IF(SUM('Actual species'!R1107)&gt;=1,1,IF(SUM('Actual species'!R1107)="X",1,0))</f>
        <v>0</v>
      </c>
      <c r="P1107" s="2">
        <f>IF(SUM('Actual species'!S1107)&gt;=1,1,IF(SUM('Actual species'!S1107)="X",1,0))</f>
        <v>0</v>
      </c>
      <c r="Q1107" s="2">
        <f>IF(SUM('Actual species'!T1107)&gt;=1,1,IF(SUM('Actual species'!T1107)="X",1,0))</f>
        <v>0</v>
      </c>
      <c r="R1107" s="2">
        <f>IF(SUM('Actual species'!U1107)&gt;=1,1,IF(SUM('Actual species'!U1107)="X",1,0))</f>
        <v>0</v>
      </c>
    </row>
    <row r="1108" spans="1:18" x14ac:dyDescent="0.3">
      <c r="A1108" s="113" t="str">
        <f>'Actual species'!A1108</f>
        <v>Xantholinus audrasi</v>
      </c>
      <c r="B1108" s="66">
        <f>IF(SUM('Actual species'!B1108:E1108)&gt;=1,1,IF(SUM('Actual species'!B1108:E1108)="X",1,0))</f>
        <v>0</v>
      </c>
      <c r="C1108" s="2">
        <f>IF(SUM('Actual species'!F1108)&gt;=1,1,IF(SUM('Actual species'!F1108)="X",1,0))</f>
        <v>0</v>
      </c>
      <c r="D1108" s="2">
        <f>IF(SUM('Actual species'!G1108)&gt;=1,1,IF(SUM('Actual species'!G1108)="X",1,0))</f>
        <v>1</v>
      </c>
      <c r="E1108" s="2">
        <f>IF(SUM('Actual species'!H1108)&gt;=1,1,IF(SUM('Actual species'!H1108)="X",1,0))</f>
        <v>0</v>
      </c>
      <c r="F1108" s="2">
        <f>IF(SUM('Actual species'!I1108)&gt;=1,1,IF(SUM('Actual species'!I1108)="X",1,0))</f>
        <v>0</v>
      </c>
      <c r="G1108" s="2">
        <f>IF(SUM('Actual species'!J1108)&gt;=1,1,IF(SUM('Actual species'!J1108)="X",1,0))</f>
        <v>0</v>
      </c>
      <c r="H1108" s="2">
        <f>IF(SUM('Actual species'!K1108)&gt;=1,1,IF(SUM('Actual species'!K1108)="X",1,0))</f>
        <v>0</v>
      </c>
      <c r="I1108" s="2">
        <f>IF(SUM('Actual species'!L1108)&gt;=1,1,IF(SUM('Actual species'!L1108)="X",1,0))</f>
        <v>0</v>
      </c>
      <c r="J1108" s="2">
        <f>IF(SUM('Actual species'!M1108)&gt;=1,1,IF(SUM('Actual species'!M1108)="X",1,0))</f>
        <v>0</v>
      </c>
      <c r="K1108" s="2">
        <f>IF(SUM('Actual species'!N1108)&gt;=1,1,IF(SUM('Actual species'!N1108)="X",1,0))</f>
        <v>0</v>
      </c>
      <c r="L1108" s="2">
        <f>IF(SUM('Actual species'!O1108)&gt;=1,1,IF(SUM('Actual species'!O1108)="X",1,0))</f>
        <v>0</v>
      </c>
      <c r="M1108" s="2">
        <f>IF(SUM('Actual species'!P1108)&gt;=1,1,IF(SUM('Actual species'!P1108)="X",1,0))</f>
        <v>0</v>
      </c>
      <c r="N1108" s="2">
        <f>IF(SUM('Actual species'!Q1108)&gt;=1,1,IF(SUM('Actual species'!Q1108)="X",1,0))</f>
        <v>0</v>
      </c>
      <c r="O1108" s="2">
        <f>IF(SUM('Actual species'!R1108)&gt;=1,1,IF(SUM('Actual species'!R1108)="X",1,0))</f>
        <v>0</v>
      </c>
      <c r="P1108" s="2">
        <f>IF(SUM('Actual species'!S1108)&gt;=1,1,IF(SUM('Actual species'!S1108)="X",1,0))</f>
        <v>0</v>
      </c>
      <c r="Q1108" s="2">
        <f>IF(SUM('Actual species'!T1108)&gt;=1,1,IF(SUM('Actual species'!T1108)="X",1,0))</f>
        <v>0</v>
      </c>
      <c r="R1108" s="2">
        <f>IF(SUM('Actual species'!U1108)&gt;=1,1,IF(SUM('Actual species'!U1108)="X",1,0))</f>
        <v>0</v>
      </c>
    </row>
    <row r="1109" spans="1:18" x14ac:dyDescent="0.3">
      <c r="A1109" s="113" t="str">
        <f>'Actual species'!A1109</f>
        <v>Xantholinus cf. Linearis</v>
      </c>
      <c r="B1109" s="66">
        <f>IF(SUM('Actual species'!B1109:E1109)&gt;=1,1,IF(SUM('Actual species'!B1109:E1109)="X",1,0))</f>
        <v>0</v>
      </c>
      <c r="C1109" s="2">
        <f>IF(SUM('Actual species'!F1109)&gt;=1,1,IF(SUM('Actual species'!F1109)="X",1,0))</f>
        <v>0</v>
      </c>
      <c r="D1109" s="2">
        <f>IF(SUM('Actual species'!G1109)&gt;=1,1,IF(SUM('Actual species'!G1109)="X",1,0))</f>
        <v>0</v>
      </c>
      <c r="E1109" s="2">
        <f>IF(SUM('Actual species'!H1109)&gt;=1,1,IF(SUM('Actual species'!H1109)="X",1,0))</f>
        <v>0</v>
      </c>
      <c r="F1109" s="2">
        <f>IF(SUM('Actual species'!I1109)&gt;=1,1,IF(SUM('Actual species'!I1109)="X",1,0))</f>
        <v>0</v>
      </c>
      <c r="G1109" s="2">
        <f>IF(SUM('Actual species'!J1109)&gt;=1,1,IF(SUM('Actual species'!J1109)="X",1,0))</f>
        <v>0</v>
      </c>
      <c r="H1109" s="2">
        <f>IF(SUM('Actual species'!K1109)&gt;=1,1,IF(SUM('Actual species'!K1109)="X",1,0))</f>
        <v>0</v>
      </c>
      <c r="I1109" s="2">
        <f>IF(SUM('Actual species'!L1109)&gt;=1,1,IF(SUM('Actual species'!L1109)="X",1,0))</f>
        <v>0</v>
      </c>
      <c r="J1109" s="2">
        <f>IF(SUM('Actual species'!M1109)&gt;=1,1,IF(SUM('Actual species'!M1109)="X",1,0))</f>
        <v>0</v>
      </c>
      <c r="K1109" s="2">
        <f>IF(SUM('Actual species'!N1109)&gt;=1,1,IF(SUM('Actual species'!N1109)="X",1,0))</f>
        <v>0</v>
      </c>
      <c r="L1109" s="2">
        <f>IF(SUM('Actual species'!O1109)&gt;=1,1,IF(SUM('Actual species'!O1109)="X",1,0))</f>
        <v>0</v>
      </c>
      <c r="M1109" s="2">
        <f>IF(SUM('Actual species'!P1109)&gt;=1,1,IF(SUM('Actual species'!P1109)="X",1,0))</f>
        <v>0</v>
      </c>
      <c r="N1109" s="2">
        <f>IF(SUM('Actual species'!Q1109)&gt;=1,1,IF(SUM('Actual species'!Q1109)="X",1,0))</f>
        <v>0</v>
      </c>
      <c r="O1109" s="2">
        <f>IF(SUM('Actual species'!R1109)&gt;=1,1,IF(SUM('Actual species'!R1109)="X",1,0))</f>
        <v>0</v>
      </c>
      <c r="P1109" s="2">
        <f>IF(SUM('Actual species'!S1109)&gt;=1,1,IF(SUM('Actual species'!S1109)="X",1,0))</f>
        <v>1</v>
      </c>
      <c r="Q1109" s="2">
        <f>IF(SUM('Actual species'!T1109)&gt;=1,1,IF(SUM('Actual species'!T1109)="X",1,0))</f>
        <v>0</v>
      </c>
      <c r="R1109" s="2">
        <f>IF(SUM('Actual species'!U1109)&gt;=1,1,IF(SUM('Actual species'!U1109)="X",1,0))</f>
        <v>0</v>
      </c>
    </row>
    <row r="1110" spans="1:18" x14ac:dyDescent="0.3">
      <c r="A1110" s="113" t="str">
        <f>'Actual species'!A1110</f>
        <v>Xantholinus chiosicus</v>
      </c>
      <c r="B1110" s="66">
        <f>IF(SUM('Actual species'!B1110:E1110)&gt;=1,1,IF(SUM('Actual species'!B1110:E1110)="X",1,0))</f>
        <v>0</v>
      </c>
      <c r="C1110" s="2">
        <f>IF(SUM('Actual species'!F1110)&gt;=1,1,IF(SUM('Actual species'!F1110)="X",1,0))</f>
        <v>0</v>
      </c>
      <c r="D1110" s="2">
        <f>IF(SUM('Actual species'!G1110)&gt;=1,1,IF(SUM('Actual species'!G1110)="X",1,0))</f>
        <v>0</v>
      </c>
      <c r="E1110" s="2">
        <f>IF(SUM('Actual species'!H1110)&gt;=1,1,IF(SUM('Actual species'!H1110)="X",1,0))</f>
        <v>1</v>
      </c>
      <c r="F1110" s="2">
        <f>IF(SUM('Actual species'!I1110)&gt;=1,1,IF(SUM('Actual species'!I1110)="X",1,0))</f>
        <v>0</v>
      </c>
      <c r="G1110" s="2">
        <f>IF(SUM('Actual species'!J1110)&gt;=1,1,IF(SUM('Actual species'!J1110)="X",1,0))</f>
        <v>0</v>
      </c>
      <c r="H1110" s="2">
        <f>IF(SUM('Actual species'!K1110)&gt;=1,1,IF(SUM('Actual species'!K1110)="X",1,0))</f>
        <v>0</v>
      </c>
      <c r="I1110" s="2">
        <f>IF(SUM('Actual species'!L1110)&gt;=1,1,IF(SUM('Actual species'!L1110)="X",1,0))</f>
        <v>1</v>
      </c>
      <c r="J1110" s="2">
        <f>IF(SUM('Actual species'!M1110)&gt;=1,1,IF(SUM('Actual species'!M1110)="X",1,0))</f>
        <v>0</v>
      </c>
      <c r="K1110" s="2">
        <f>IF(SUM('Actual species'!N1110)&gt;=1,1,IF(SUM('Actual species'!N1110)="X",1,0))</f>
        <v>0</v>
      </c>
      <c r="L1110" s="2">
        <f>IF(SUM('Actual species'!O1110)&gt;=1,1,IF(SUM('Actual species'!O1110)="X",1,0))</f>
        <v>1</v>
      </c>
      <c r="M1110" s="2">
        <f>IF(SUM('Actual species'!P1110)&gt;=1,1,IF(SUM('Actual species'!P1110)="X",1,0))</f>
        <v>0</v>
      </c>
      <c r="N1110" s="2">
        <f>IF(SUM('Actual species'!Q1110)&gt;=1,1,IF(SUM('Actual species'!Q1110)="X",1,0))</f>
        <v>0</v>
      </c>
      <c r="O1110" s="2">
        <f>IF(SUM('Actual species'!R1110)&gt;=1,1,IF(SUM('Actual species'!R1110)="X",1,0))</f>
        <v>0</v>
      </c>
      <c r="P1110" s="2">
        <f>IF(SUM('Actual species'!S1110)&gt;=1,1,IF(SUM('Actual species'!S1110)="X",1,0))</f>
        <v>0</v>
      </c>
      <c r="Q1110" s="2">
        <f>IF(SUM('Actual species'!T1110)&gt;=1,1,IF(SUM('Actual species'!T1110)="X",1,0))</f>
        <v>0</v>
      </c>
      <c r="R1110" s="2">
        <f>IF(SUM('Actual species'!U1110)&gt;=1,1,IF(SUM('Actual species'!U1110)="X",1,0))</f>
        <v>0</v>
      </c>
    </row>
    <row r="1111" spans="1:18" x14ac:dyDescent="0.3">
      <c r="A1111" s="113" t="str">
        <f>'Actual species'!A1111</f>
        <v>Xantholinus ciliciae</v>
      </c>
      <c r="B1111" s="66">
        <f>IF(SUM('Actual species'!B1111:E1111)&gt;=1,1,IF(SUM('Actual species'!B1111:E1111)="X",1,0))</f>
        <v>1</v>
      </c>
      <c r="C1111" s="2">
        <f>IF(SUM('Actual species'!F1111)&gt;=1,1,IF(SUM('Actual species'!F1111)="X",1,0))</f>
        <v>0</v>
      </c>
      <c r="D1111" s="2">
        <f>IF(SUM('Actual species'!G1111)&gt;=1,1,IF(SUM('Actual species'!G1111)="X",1,0))</f>
        <v>0</v>
      </c>
      <c r="E1111" s="2">
        <f>IF(SUM('Actual species'!H1111)&gt;=1,1,IF(SUM('Actual species'!H1111)="X",1,0))</f>
        <v>0</v>
      </c>
      <c r="F1111" s="2">
        <f>IF(SUM('Actual species'!I1111)&gt;=1,1,IF(SUM('Actual species'!I1111)="X",1,0))</f>
        <v>0</v>
      </c>
      <c r="G1111" s="2">
        <f>IF(SUM('Actual species'!J1111)&gt;=1,1,IF(SUM('Actual species'!J1111)="X",1,0))</f>
        <v>0</v>
      </c>
      <c r="H1111" s="2">
        <f>IF(SUM('Actual species'!K1111)&gt;=1,1,IF(SUM('Actual species'!K1111)="X",1,0))</f>
        <v>0</v>
      </c>
      <c r="I1111" s="2">
        <f>IF(SUM('Actual species'!L1111)&gt;=1,1,IF(SUM('Actual species'!L1111)="X",1,0))</f>
        <v>0</v>
      </c>
      <c r="J1111" s="2">
        <f>IF(SUM('Actual species'!M1111)&gt;=1,1,IF(SUM('Actual species'!M1111)="X",1,0))</f>
        <v>0</v>
      </c>
      <c r="K1111" s="2">
        <f>IF(SUM('Actual species'!N1111)&gt;=1,1,IF(SUM('Actual species'!N1111)="X",1,0))</f>
        <v>0</v>
      </c>
      <c r="L1111" s="2">
        <f>IF(SUM('Actual species'!O1111)&gt;=1,1,IF(SUM('Actual species'!O1111)="X",1,0))</f>
        <v>0</v>
      </c>
      <c r="M1111" s="2">
        <f>IF(SUM('Actual species'!P1111)&gt;=1,1,IF(SUM('Actual species'!P1111)="X",1,0))</f>
        <v>0</v>
      </c>
      <c r="N1111" s="2">
        <f>IF(SUM('Actual species'!Q1111)&gt;=1,1,IF(SUM('Actual species'!Q1111)="X",1,0))</f>
        <v>0</v>
      </c>
      <c r="O1111" s="2">
        <f>IF(SUM('Actual species'!R1111)&gt;=1,1,IF(SUM('Actual species'!R1111)="X",1,0))</f>
        <v>0</v>
      </c>
      <c r="P1111" s="2">
        <f>IF(SUM('Actual species'!S1111)&gt;=1,1,IF(SUM('Actual species'!S1111)="X",1,0))</f>
        <v>0</v>
      </c>
      <c r="Q1111" s="2">
        <f>IF(SUM('Actual species'!T1111)&gt;=1,1,IF(SUM('Actual species'!T1111)="X",1,0))</f>
        <v>0</v>
      </c>
      <c r="R1111" s="2">
        <f>IF(SUM('Actual species'!U1111)&gt;=1,1,IF(SUM('Actual species'!U1111)="X",1,0))</f>
        <v>0</v>
      </c>
    </row>
    <row r="1112" spans="1:18" x14ac:dyDescent="0.3">
      <c r="A1112" s="113" t="str">
        <f>'Actual species'!A1112</f>
        <v xml:space="preserve">Xantholinus creticus (E) </v>
      </c>
      <c r="B1112" s="66">
        <f>IF(SUM('Actual species'!B1112:E1112)&gt;=1,1,IF(SUM('Actual species'!B1112:E1112)="X",1,0))</f>
        <v>0</v>
      </c>
      <c r="C1112" s="2">
        <f>IF(SUM('Actual species'!F1112)&gt;=1,1,IF(SUM('Actual species'!F1112)="X",1,0))</f>
        <v>0</v>
      </c>
      <c r="D1112" s="2">
        <f>IF(SUM('Actual species'!G1112)&gt;=1,1,IF(SUM('Actual species'!G1112)="X",1,0))</f>
        <v>0</v>
      </c>
      <c r="E1112" s="2">
        <f>IF(SUM('Actual species'!H1112)&gt;=1,1,IF(SUM('Actual species'!H1112)="X",1,0))</f>
        <v>0</v>
      </c>
      <c r="F1112" s="2">
        <f>IF(SUM('Actual species'!I1112)&gt;=1,1,IF(SUM('Actual species'!I1112)="X",1,0))</f>
        <v>0</v>
      </c>
      <c r="G1112" s="2">
        <f>IF(SUM('Actual species'!J1112)&gt;=1,1,IF(SUM('Actual species'!J1112)="X",1,0))</f>
        <v>1</v>
      </c>
      <c r="H1112" s="2">
        <f>IF(SUM('Actual species'!K1112)&gt;=1,1,IF(SUM('Actual species'!K1112)="X",1,0))</f>
        <v>0</v>
      </c>
      <c r="I1112" s="2">
        <f>IF(SUM('Actual species'!L1112)&gt;=1,1,IF(SUM('Actual species'!L1112)="X",1,0))</f>
        <v>0</v>
      </c>
      <c r="J1112" s="2">
        <f>IF(SUM('Actual species'!M1112)&gt;=1,1,IF(SUM('Actual species'!M1112)="X",1,0))</f>
        <v>0</v>
      </c>
      <c r="K1112" s="2">
        <f>IF(SUM('Actual species'!N1112)&gt;=1,1,IF(SUM('Actual species'!N1112)="X",1,0))</f>
        <v>0</v>
      </c>
      <c r="L1112" s="2">
        <f>IF(SUM('Actual species'!O1112)&gt;=1,1,IF(SUM('Actual species'!O1112)="X",1,0))</f>
        <v>0</v>
      </c>
      <c r="M1112" s="2">
        <f>IF(SUM('Actual species'!P1112)&gt;=1,1,IF(SUM('Actual species'!P1112)="X",1,0))</f>
        <v>0</v>
      </c>
      <c r="N1112" s="2">
        <f>IF(SUM('Actual species'!Q1112)&gt;=1,1,IF(SUM('Actual species'!Q1112)="X",1,0))</f>
        <v>0</v>
      </c>
      <c r="O1112" s="2">
        <f>IF(SUM('Actual species'!R1112)&gt;=1,1,IF(SUM('Actual species'!R1112)="X",1,0))</f>
        <v>0</v>
      </c>
      <c r="P1112" s="2">
        <f>IF(SUM('Actual species'!S1112)&gt;=1,1,IF(SUM('Actual species'!S1112)="X",1,0))</f>
        <v>0</v>
      </c>
      <c r="Q1112" s="2">
        <f>IF(SUM('Actual species'!T1112)&gt;=1,1,IF(SUM('Actual species'!T1112)="X",1,0))</f>
        <v>0</v>
      </c>
      <c r="R1112" s="2">
        <f>IF(SUM('Actual species'!U1112)&gt;=1,1,IF(SUM('Actual species'!U1112)="X",1,0))</f>
        <v>0</v>
      </c>
    </row>
    <row r="1113" spans="1:18" x14ac:dyDescent="0.3">
      <c r="A1113" s="113" t="str">
        <f>'Actual species'!A1113</f>
        <v>Xantholinus decorus</v>
      </c>
      <c r="B1113" s="66">
        <f>IF(SUM('Actual species'!B1113:E1113)&gt;=1,1,IF(SUM('Actual species'!B1113:E1113)="X",1,0))</f>
        <v>0</v>
      </c>
      <c r="C1113" s="2">
        <f>IF(SUM('Actual species'!F1113)&gt;=1,1,IF(SUM('Actual species'!F1113)="X",1,0))</f>
        <v>0</v>
      </c>
      <c r="D1113" s="2">
        <f>IF(SUM('Actual species'!G1113)&gt;=1,1,IF(SUM('Actual species'!G1113)="X",1,0))</f>
        <v>0</v>
      </c>
      <c r="E1113" s="2">
        <f>IF(SUM('Actual species'!H1113)&gt;=1,1,IF(SUM('Actual species'!H1113)="X",1,0))</f>
        <v>0</v>
      </c>
      <c r="F1113" s="2">
        <f>IF(SUM('Actual species'!I1113)&gt;=1,1,IF(SUM('Actual species'!I1113)="X",1,0))</f>
        <v>0</v>
      </c>
      <c r="G1113" s="2">
        <f>IF(SUM('Actual species'!J1113)&gt;=1,1,IF(SUM('Actual species'!J1113)="X",1,0))</f>
        <v>0</v>
      </c>
      <c r="H1113" s="2">
        <f>IF(SUM('Actual species'!K1113)&gt;=1,1,IF(SUM('Actual species'!K1113)="X",1,0))</f>
        <v>0</v>
      </c>
      <c r="I1113" s="2">
        <f>IF(SUM('Actual species'!L1113)&gt;=1,1,IF(SUM('Actual species'!L1113)="X",1,0))</f>
        <v>0</v>
      </c>
      <c r="J1113" s="2">
        <f>IF(SUM('Actual species'!M1113)&gt;=1,1,IF(SUM('Actual species'!M1113)="X",1,0))</f>
        <v>0</v>
      </c>
      <c r="K1113" s="2">
        <f>IF(SUM('Actual species'!N1113)&gt;=1,1,IF(SUM('Actual species'!N1113)="X",1,0))</f>
        <v>0</v>
      </c>
      <c r="L1113" s="2">
        <f>IF(SUM('Actual species'!O1113)&gt;=1,1,IF(SUM('Actual species'!O1113)="X",1,0))</f>
        <v>0</v>
      </c>
      <c r="M1113" s="2">
        <f>IF(SUM('Actual species'!P1113)&gt;=1,1,IF(SUM('Actual species'!P1113)="X",1,0))</f>
        <v>0</v>
      </c>
      <c r="N1113" s="2">
        <f>IF(SUM('Actual species'!Q1113)&gt;=1,1,IF(SUM('Actual species'!Q1113)="X",1,0))</f>
        <v>1</v>
      </c>
      <c r="O1113" s="2">
        <f>IF(SUM('Actual species'!R1113)&gt;=1,1,IF(SUM('Actual species'!R1113)="X",1,0))</f>
        <v>0</v>
      </c>
      <c r="P1113" s="2">
        <f>IF(SUM('Actual species'!S1113)&gt;=1,1,IF(SUM('Actual species'!S1113)="X",1,0))</f>
        <v>0</v>
      </c>
      <c r="Q1113" s="2">
        <f>IF(SUM('Actual species'!T1113)&gt;=1,1,IF(SUM('Actual species'!T1113)="X",1,0))</f>
        <v>0</v>
      </c>
      <c r="R1113" s="2">
        <f>IF(SUM('Actual species'!U1113)&gt;=1,1,IF(SUM('Actual species'!U1113)="X",1,0))</f>
        <v>0</v>
      </c>
    </row>
    <row r="1114" spans="1:18" x14ac:dyDescent="0.3">
      <c r="A1114" s="113" t="str">
        <f>'Actual species'!A1114</f>
        <v xml:space="preserve">Xantholinus erinaceus (E) </v>
      </c>
      <c r="B1114" s="66">
        <f>IF(SUM('Actual species'!B1114:E1114)&gt;=1,1,IF(SUM('Actual species'!B1114:E1114)="X",1,0))</f>
        <v>0</v>
      </c>
      <c r="C1114" s="2">
        <f>IF(SUM('Actual species'!F1114)&gt;=1,1,IF(SUM('Actual species'!F1114)="X",1,0))</f>
        <v>0</v>
      </c>
      <c r="D1114" s="2">
        <f>IF(SUM('Actual species'!G1114)&gt;=1,1,IF(SUM('Actual species'!G1114)="X",1,0))</f>
        <v>0</v>
      </c>
      <c r="E1114" s="2">
        <f>IF(SUM('Actual species'!H1114)&gt;=1,1,IF(SUM('Actual species'!H1114)="X",1,0))</f>
        <v>0</v>
      </c>
      <c r="F1114" s="2">
        <f>IF(SUM('Actual species'!I1114)&gt;=1,1,IF(SUM('Actual species'!I1114)="X",1,0))</f>
        <v>0</v>
      </c>
      <c r="G1114" s="2">
        <f>IF(SUM('Actual species'!J1114)&gt;=1,1,IF(SUM('Actual species'!J1114)="X",1,0))</f>
        <v>1</v>
      </c>
      <c r="H1114" s="2">
        <f>IF(SUM('Actual species'!K1114)&gt;=1,1,IF(SUM('Actual species'!K1114)="X",1,0))</f>
        <v>0</v>
      </c>
      <c r="I1114" s="2">
        <f>IF(SUM('Actual species'!L1114)&gt;=1,1,IF(SUM('Actual species'!L1114)="X",1,0))</f>
        <v>0</v>
      </c>
      <c r="J1114" s="2">
        <f>IF(SUM('Actual species'!M1114)&gt;=1,1,IF(SUM('Actual species'!M1114)="X",1,0))</f>
        <v>0</v>
      </c>
      <c r="K1114" s="2">
        <f>IF(SUM('Actual species'!N1114)&gt;=1,1,IF(SUM('Actual species'!N1114)="X",1,0))</f>
        <v>0</v>
      </c>
      <c r="L1114" s="2">
        <f>IF(SUM('Actual species'!O1114)&gt;=1,1,IF(SUM('Actual species'!O1114)="X",1,0))</f>
        <v>0</v>
      </c>
      <c r="M1114" s="2">
        <f>IF(SUM('Actual species'!P1114)&gt;=1,1,IF(SUM('Actual species'!P1114)="X",1,0))</f>
        <v>0</v>
      </c>
      <c r="N1114" s="2">
        <f>IF(SUM('Actual species'!Q1114)&gt;=1,1,IF(SUM('Actual species'!Q1114)="X",1,0))</f>
        <v>0</v>
      </c>
      <c r="O1114" s="2">
        <f>IF(SUM('Actual species'!R1114)&gt;=1,1,IF(SUM('Actual species'!R1114)="X",1,0))</f>
        <v>0</v>
      </c>
      <c r="P1114" s="2">
        <f>IF(SUM('Actual species'!S1114)&gt;=1,1,IF(SUM('Actual species'!S1114)="X",1,0))</f>
        <v>0</v>
      </c>
      <c r="Q1114" s="2">
        <f>IF(SUM('Actual species'!T1114)&gt;=1,1,IF(SUM('Actual species'!T1114)="X",1,0))</f>
        <v>0</v>
      </c>
      <c r="R1114" s="2">
        <f>IF(SUM('Actual species'!U1114)&gt;=1,1,IF(SUM('Actual species'!U1114)="X",1,0))</f>
        <v>0</v>
      </c>
    </row>
    <row r="1115" spans="1:18" x14ac:dyDescent="0.3">
      <c r="A1115" s="113" t="str">
        <f>'Actual species'!A1115</f>
        <v>Xantholinus graecus</v>
      </c>
      <c r="B1115" s="66">
        <f>IF(SUM('Actual species'!B1115:E1115)&gt;=1,1,IF(SUM('Actual species'!B1115:E1115)="X",1,0))</f>
        <v>1</v>
      </c>
      <c r="C1115" s="2">
        <f>IF(SUM('Actual species'!F1115)&gt;=1,1,IF(SUM('Actual species'!F1115)="X",1,0))</f>
        <v>0</v>
      </c>
      <c r="D1115" s="2">
        <f>IF(SUM('Actual species'!G1115)&gt;=1,1,IF(SUM('Actual species'!G1115)="X",1,0))</f>
        <v>0</v>
      </c>
      <c r="E1115" s="2">
        <f>IF(SUM('Actual species'!H1115)&gt;=1,1,IF(SUM('Actual species'!H1115)="X",1,0))</f>
        <v>0</v>
      </c>
      <c r="F1115" s="2">
        <f>IF(SUM('Actual species'!I1115)&gt;=1,1,IF(SUM('Actual species'!I1115)="X",1,0))</f>
        <v>0</v>
      </c>
      <c r="G1115" s="2">
        <f>IF(SUM('Actual species'!J1115)&gt;=1,1,IF(SUM('Actual species'!J1115)="X",1,0))</f>
        <v>1</v>
      </c>
      <c r="H1115" s="2">
        <f>IF(SUM('Actual species'!K1115)&gt;=1,1,IF(SUM('Actual species'!K1115)="X",1,0))</f>
        <v>1</v>
      </c>
      <c r="I1115" s="2">
        <f>IF(SUM('Actual species'!L1115)&gt;=1,1,IF(SUM('Actual species'!L1115)="X",1,0))</f>
        <v>0</v>
      </c>
      <c r="J1115" s="2">
        <f>IF(SUM('Actual species'!M1115)&gt;=1,1,IF(SUM('Actual species'!M1115)="X",1,0))</f>
        <v>1</v>
      </c>
      <c r="K1115" s="2">
        <f>IF(SUM('Actual species'!N1115)&gt;=1,1,IF(SUM('Actual species'!N1115)="X",1,0))</f>
        <v>0</v>
      </c>
      <c r="L1115" s="2">
        <f>IF(SUM('Actual species'!O1115)&gt;=1,1,IF(SUM('Actual species'!O1115)="X",1,0))</f>
        <v>0</v>
      </c>
      <c r="M1115" s="2">
        <f>IF(SUM('Actual species'!P1115)&gt;=1,1,IF(SUM('Actual species'!P1115)="X",1,0))</f>
        <v>0</v>
      </c>
      <c r="N1115" s="2">
        <f>IF(SUM('Actual species'!Q1115)&gt;=1,1,IF(SUM('Actual species'!Q1115)="X",1,0))</f>
        <v>0</v>
      </c>
      <c r="O1115" s="2">
        <f>IF(SUM('Actual species'!R1115)&gt;=1,1,IF(SUM('Actual species'!R1115)="X",1,0))</f>
        <v>0</v>
      </c>
      <c r="P1115" s="2">
        <f>IF(SUM('Actual species'!S1115)&gt;=1,1,IF(SUM('Actual species'!S1115)="X",1,0))</f>
        <v>0</v>
      </c>
      <c r="Q1115" s="2">
        <f>IF(SUM('Actual species'!T1115)&gt;=1,1,IF(SUM('Actual species'!T1115)="X",1,0))</f>
        <v>0</v>
      </c>
      <c r="R1115" s="2">
        <f>IF(SUM('Actual species'!U1115)&gt;=1,1,IF(SUM('Actual species'!U1115)="X",1,0))</f>
        <v>0</v>
      </c>
    </row>
    <row r="1116" spans="1:18" x14ac:dyDescent="0.3">
      <c r="A1116" s="113" t="str">
        <f>'Actual species'!A1116</f>
        <v>Xantholinus laevigatus</v>
      </c>
      <c r="B1116" s="66">
        <f>IF(SUM('Actual species'!B1116:E1116)&gt;=1,1,IF(SUM('Actual species'!B1116:E1116)="X",1,0))</f>
        <v>0</v>
      </c>
      <c r="C1116" s="2">
        <f>IF(SUM('Actual species'!F1116)&gt;=1,1,IF(SUM('Actual species'!F1116)="X",1,0))</f>
        <v>0</v>
      </c>
      <c r="D1116" s="2">
        <f>IF(SUM('Actual species'!G1116)&gt;=1,1,IF(SUM('Actual species'!G1116)="X",1,0))</f>
        <v>0</v>
      </c>
      <c r="E1116" s="2">
        <f>IF(SUM('Actual species'!H1116)&gt;=1,1,IF(SUM('Actual species'!H1116)="X",1,0))</f>
        <v>0</v>
      </c>
      <c r="F1116" s="2">
        <f>IF(SUM('Actual species'!I1116)&gt;=1,1,IF(SUM('Actual species'!I1116)="X",1,0))</f>
        <v>0</v>
      </c>
      <c r="G1116" s="2">
        <f>IF(SUM('Actual species'!J1116)&gt;=1,1,IF(SUM('Actual species'!J1116)="X",1,0))</f>
        <v>0</v>
      </c>
      <c r="H1116" s="2">
        <f>IF(SUM('Actual species'!K1116)&gt;=1,1,IF(SUM('Actual species'!K1116)="X",1,0))</f>
        <v>0</v>
      </c>
      <c r="I1116" s="2">
        <f>IF(SUM('Actual species'!L1116)&gt;=1,1,IF(SUM('Actual species'!L1116)="X",1,0))</f>
        <v>0</v>
      </c>
      <c r="J1116" s="2">
        <f>IF(SUM('Actual species'!M1116)&gt;=1,1,IF(SUM('Actual species'!M1116)="X",1,0))</f>
        <v>0</v>
      </c>
      <c r="K1116" s="2">
        <f>IF(SUM('Actual species'!N1116)&gt;=1,1,IF(SUM('Actual species'!N1116)="X",1,0))</f>
        <v>0</v>
      </c>
      <c r="L1116" s="2">
        <f>IF(SUM('Actual species'!O1116)&gt;=1,1,IF(SUM('Actual species'!O1116)="X",1,0))</f>
        <v>0</v>
      </c>
      <c r="M1116" s="2">
        <f>IF(SUM('Actual species'!P1116)&gt;=1,1,IF(SUM('Actual species'!P1116)="X",1,0))</f>
        <v>0</v>
      </c>
      <c r="N1116" s="2">
        <f>IF(SUM('Actual species'!Q1116)&gt;=1,1,IF(SUM('Actual species'!Q1116)="X",1,0))</f>
        <v>0</v>
      </c>
      <c r="O1116" s="2">
        <f>IF(SUM('Actual species'!R1116)&gt;=1,1,IF(SUM('Actual species'!R1116)="X",1,0))</f>
        <v>0</v>
      </c>
      <c r="P1116" s="2">
        <f>IF(SUM('Actual species'!S1116)&gt;=1,1,IF(SUM('Actual species'!S1116)="X",1,0))</f>
        <v>1</v>
      </c>
      <c r="Q1116" s="2">
        <f>IF(SUM('Actual species'!T1116)&gt;=1,1,IF(SUM('Actual species'!T1116)="X",1,0))</f>
        <v>1</v>
      </c>
      <c r="R1116" s="2">
        <f>IF(SUM('Actual species'!U1116)&gt;=1,1,IF(SUM('Actual species'!U1116)="X",1,0))</f>
        <v>0</v>
      </c>
    </row>
    <row r="1117" spans="1:18" x14ac:dyDescent="0.3">
      <c r="A1117" s="113" t="str">
        <f>'Actual species'!A1117</f>
        <v xml:space="preserve">Xantholinus minos (E) </v>
      </c>
      <c r="B1117" s="66">
        <f>IF(SUM('Actual species'!B1117:E1117)&gt;=1,1,IF(SUM('Actual species'!B1117:E1117)="X",1,0))</f>
        <v>0</v>
      </c>
      <c r="C1117" s="2">
        <f>IF(SUM('Actual species'!F1117)&gt;=1,1,IF(SUM('Actual species'!F1117)="X",1,0))</f>
        <v>0</v>
      </c>
      <c r="D1117" s="2">
        <f>IF(SUM('Actual species'!G1117)&gt;=1,1,IF(SUM('Actual species'!G1117)="X",1,0))</f>
        <v>0</v>
      </c>
      <c r="E1117" s="2">
        <f>IF(SUM('Actual species'!H1117)&gt;=1,1,IF(SUM('Actual species'!H1117)="X",1,0))</f>
        <v>0</v>
      </c>
      <c r="F1117" s="2">
        <f>IF(SUM('Actual species'!I1117)&gt;=1,1,IF(SUM('Actual species'!I1117)="X",1,0))</f>
        <v>0</v>
      </c>
      <c r="G1117" s="2">
        <f>IF(SUM('Actual species'!J1117)&gt;=1,1,IF(SUM('Actual species'!J1117)="X",1,0))</f>
        <v>1</v>
      </c>
      <c r="H1117" s="2">
        <f>IF(SUM('Actual species'!K1117)&gt;=1,1,IF(SUM('Actual species'!K1117)="X",1,0))</f>
        <v>0</v>
      </c>
      <c r="I1117" s="2">
        <f>IF(SUM('Actual species'!L1117)&gt;=1,1,IF(SUM('Actual species'!L1117)="X",1,0))</f>
        <v>0</v>
      </c>
      <c r="J1117" s="2">
        <f>IF(SUM('Actual species'!M1117)&gt;=1,1,IF(SUM('Actual species'!M1117)="X",1,0))</f>
        <v>0</v>
      </c>
      <c r="K1117" s="2">
        <f>IF(SUM('Actual species'!N1117)&gt;=1,1,IF(SUM('Actual species'!N1117)="X",1,0))</f>
        <v>0</v>
      </c>
      <c r="L1117" s="2">
        <f>IF(SUM('Actual species'!O1117)&gt;=1,1,IF(SUM('Actual species'!O1117)="X",1,0))</f>
        <v>0</v>
      </c>
      <c r="M1117" s="2">
        <f>IF(SUM('Actual species'!P1117)&gt;=1,1,IF(SUM('Actual species'!P1117)="X",1,0))</f>
        <v>0</v>
      </c>
      <c r="N1117" s="2">
        <f>IF(SUM('Actual species'!Q1117)&gt;=1,1,IF(SUM('Actual species'!Q1117)="X",1,0))</f>
        <v>0</v>
      </c>
      <c r="O1117" s="2">
        <f>IF(SUM('Actual species'!R1117)&gt;=1,1,IF(SUM('Actual species'!R1117)="X",1,0))</f>
        <v>0</v>
      </c>
      <c r="P1117" s="2">
        <f>IF(SUM('Actual species'!S1117)&gt;=1,1,IF(SUM('Actual species'!S1117)="X",1,0))</f>
        <v>0</v>
      </c>
      <c r="Q1117" s="2">
        <f>IF(SUM('Actual species'!T1117)&gt;=1,1,IF(SUM('Actual species'!T1117)="X",1,0))</f>
        <v>0</v>
      </c>
      <c r="R1117" s="2">
        <f>IF(SUM('Actual species'!U1117)&gt;=1,1,IF(SUM('Actual species'!U1117)="X",1,0))</f>
        <v>0</v>
      </c>
    </row>
    <row r="1118" spans="1:18" x14ac:dyDescent="0.3">
      <c r="A1118" s="113" t="str">
        <f>'Actual species'!A1118</f>
        <v>Xantholinus nicolasi</v>
      </c>
      <c r="B1118" s="66">
        <f>IF(SUM('Actual species'!B1118:E1118)&gt;=1,1,IF(SUM('Actual species'!B1118:E1118)="X",1,0))</f>
        <v>0</v>
      </c>
      <c r="C1118" s="2">
        <f>IF(SUM('Actual species'!F1118)&gt;=1,1,IF(SUM('Actual species'!F1118)="X",1,0))</f>
        <v>0</v>
      </c>
      <c r="D1118" s="2">
        <f>IF(SUM('Actual species'!G1118)&gt;=1,1,IF(SUM('Actual species'!G1118)="X",1,0))</f>
        <v>0</v>
      </c>
      <c r="E1118" s="2">
        <f>IF(SUM('Actual species'!H1118)&gt;=1,1,IF(SUM('Actual species'!H1118)="X",1,0))</f>
        <v>0</v>
      </c>
      <c r="F1118" s="2">
        <f>IF(SUM('Actual species'!I1118)&gt;=1,1,IF(SUM('Actual species'!I1118)="X",1,0))</f>
        <v>0</v>
      </c>
      <c r="G1118" s="2">
        <f>IF(SUM('Actual species'!J1118)&gt;=1,1,IF(SUM('Actual species'!J1118)="X",1,0))</f>
        <v>0</v>
      </c>
      <c r="H1118" s="2">
        <f>IF(SUM('Actual species'!K1118)&gt;=1,1,IF(SUM('Actual species'!K1118)="X",1,0))</f>
        <v>0</v>
      </c>
      <c r="I1118" s="2">
        <f>IF(SUM('Actual species'!L1118)&gt;=1,1,IF(SUM('Actual species'!L1118)="X",1,0))</f>
        <v>0</v>
      </c>
      <c r="J1118" s="2">
        <f>IF(SUM('Actual species'!M1118)&gt;=1,1,IF(SUM('Actual species'!M1118)="X",1,0))</f>
        <v>0</v>
      </c>
      <c r="K1118" s="2">
        <f>IF(SUM('Actual species'!N1118)&gt;=1,1,IF(SUM('Actual species'!N1118)="X",1,0))</f>
        <v>0</v>
      </c>
      <c r="L1118" s="2">
        <f>IF(SUM('Actual species'!O1118)&gt;=1,1,IF(SUM('Actual species'!O1118)="X",1,0))</f>
        <v>0</v>
      </c>
      <c r="M1118" s="2">
        <f>IF(SUM('Actual species'!P1118)&gt;=1,1,IF(SUM('Actual species'!P1118)="X",1,0))</f>
        <v>0</v>
      </c>
      <c r="N1118" s="2">
        <f>IF(SUM('Actual species'!Q1118)&gt;=1,1,IF(SUM('Actual species'!Q1118)="X",1,0))</f>
        <v>0</v>
      </c>
      <c r="O1118" s="2">
        <f>IF(SUM('Actual species'!R1118)&gt;=1,1,IF(SUM('Actual species'!R1118)="X",1,0))</f>
        <v>0</v>
      </c>
      <c r="P1118" s="2">
        <f>IF(SUM('Actual species'!S1118)&gt;=1,1,IF(SUM('Actual species'!S1118)="X",1,0))</f>
        <v>0</v>
      </c>
      <c r="Q1118" s="2">
        <f>IF(SUM('Actual species'!T1118)&gt;=1,1,IF(SUM('Actual species'!T1118)="X",1,0))</f>
        <v>0</v>
      </c>
      <c r="R1118" s="2">
        <f>IF(SUM('Actual species'!U1118)&gt;=1,1,IF(SUM('Actual species'!U1118)="X",1,0))</f>
        <v>0</v>
      </c>
    </row>
    <row r="1119" spans="1:18" x14ac:dyDescent="0.3">
      <c r="A1119" s="113" t="str">
        <f>'Actual species'!A1119</f>
        <v>Xantholinus phenicus</v>
      </c>
      <c r="B1119" s="66">
        <f>IF(SUM('Actual species'!B1119:E1119)&gt;=1,1,IF(SUM('Actual species'!B1119:E1119)="X",1,0))</f>
        <v>1</v>
      </c>
      <c r="C1119" s="2">
        <f>IF(SUM('Actual species'!F1119)&gt;=1,1,IF(SUM('Actual species'!F1119)="X",1,0))</f>
        <v>0</v>
      </c>
      <c r="D1119" s="2">
        <f>IF(SUM('Actual species'!G1119)&gt;=1,1,IF(SUM('Actual species'!G1119)="X",1,0))</f>
        <v>0</v>
      </c>
      <c r="E1119" s="2">
        <f>IF(SUM('Actual species'!H1119)&gt;=1,1,IF(SUM('Actual species'!H1119)="X",1,0))</f>
        <v>0</v>
      </c>
      <c r="F1119" s="2">
        <f>IF(SUM('Actual species'!I1119)&gt;=1,1,IF(SUM('Actual species'!I1119)="X",1,0))</f>
        <v>0</v>
      </c>
      <c r="G1119" s="2">
        <f>IF(SUM('Actual species'!J1119)&gt;=1,1,IF(SUM('Actual species'!J1119)="X",1,0))</f>
        <v>1</v>
      </c>
      <c r="H1119" s="2">
        <f>IF(SUM('Actual species'!K1119)&gt;=1,1,IF(SUM('Actual species'!K1119)="X",1,0))</f>
        <v>1</v>
      </c>
      <c r="I1119" s="2">
        <f>IF(SUM('Actual species'!L1119)&gt;=1,1,IF(SUM('Actual species'!L1119)="X",1,0))</f>
        <v>0</v>
      </c>
      <c r="J1119" s="2">
        <f>IF(SUM('Actual species'!M1119)&gt;=1,1,IF(SUM('Actual species'!M1119)="X",1,0))</f>
        <v>0</v>
      </c>
      <c r="K1119" s="2">
        <f>IF(SUM('Actual species'!N1119)&gt;=1,1,IF(SUM('Actual species'!N1119)="X",1,0))</f>
        <v>0</v>
      </c>
      <c r="L1119" s="2">
        <f>IF(SUM('Actual species'!O1119)&gt;=1,1,IF(SUM('Actual species'!O1119)="X",1,0))</f>
        <v>0</v>
      </c>
      <c r="M1119" s="2">
        <f>IF(SUM('Actual species'!P1119)&gt;=1,1,IF(SUM('Actual species'!P1119)="X",1,0))</f>
        <v>0</v>
      </c>
      <c r="N1119" s="2">
        <f>IF(SUM('Actual species'!Q1119)&gt;=1,1,IF(SUM('Actual species'!Q1119)="X",1,0))</f>
        <v>0</v>
      </c>
      <c r="O1119" s="2">
        <f>IF(SUM('Actual species'!R1119)&gt;=1,1,IF(SUM('Actual species'!R1119)="X",1,0))</f>
        <v>0</v>
      </c>
      <c r="P1119" s="2">
        <f>IF(SUM('Actual species'!S1119)&gt;=1,1,IF(SUM('Actual species'!S1119)="X",1,0))</f>
        <v>0</v>
      </c>
      <c r="Q1119" s="2">
        <f>IF(SUM('Actual species'!T1119)&gt;=1,1,IF(SUM('Actual species'!T1119)="X",1,0))</f>
        <v>0</v>
      </c>
      <c r="R1119" s="2">
        <f>IF(SUM('Actual species'!U1119)&gt;=1,1,IF(SUM('Actual species'!U1119)="X",1,0))</f>
        <v>0</v>
      </c>
    </row>
    <row r="1120" spans="1:18" x14ac:dyDescent="0.3">
      <c r="A1120" s="113" t="str">
        <f>'Actual species'!A1120</f>
        <v>Xantholinus rufipennis</v>
      </c>
      <c r="B1120" s="66">
        <f>IF(SUM('Actual species'!B1120:E1120)&gt;=1,1,IF(SUM('Actual species'!B1120:E1120)="X",1,0))</f>
        <v>1</v>
      </c>
      <c r="C1120" s="2">
        <f>IF(SUM('Actual species'!F1120)&gt;=1,1,IF(SUM('Actual species'!F1120)="X",1,0))</f>
        <v>0</v>
      </c>
      <c r="D1120" s="2">
        <f>IF(SUM('Actual species'!G1120)&gt;=1,1,IF(SUM('Actual species'!G1120)="X",1,0))</f>
        <v>0</v>
      </c>
      <c r="E1120" s="2">
        <f>IF(SUM('Actual species'!H1120)&gt;=1,1,IF(SUM('Actual species'!H1120)="X",1,0))</f>
        <v>1</v>
      </c>
      <c r="F1120" s="2">
        <f>IF(SUM('Actual species'!I1120)&gt;=1,1,IF(SUM('Actual species'!I1120)="X",1,0))</f>
        <v>1</v>
      </c>
      <c r="G1120" s="2">
        <f>IF(SUM('Actual species'!J1120)&gt;=1,1,IF(SUM('Actual species'!J1120)="X",1,0))</f>
        <v>0</v>
      </c>
      <c r="H1120" s="2">
        <f>IF(SUM('Actual species'!K1120)&gt;=1,1,IF(SUM('Actual species'!K1120)="X",1,0))</f>
        <v>1</v>
      </c>
      <c r="I1120" s="2">
        <f>IF(SUM('Actual species'!L1120)&gt;=1,1,IF(SUM('Actual species'!L1120)="X",1,0))</f>
        <v>1</v>
      </c>
      <c r="J1120" s="2">
        <f>IF(SUM('Actual species'!M1120)&gt;=1,1,IF(SUM('Actual species'!M1120)="X",1,0))</f>
        <v>0</v>
      </c>
      <c r="K1120" s="2">
        <f>IF(SUM('Actual species'!N1120)&gt;=1,1,IF(SUM('Actual species'!N1120)="X",1,0))</f>
        <v>1</v>
      </c>
      <c r="L1120" s="2">
        <f>IF(SUM('Actual species'!O1120)&gt;=1,1,IF(SUM('Actual species'!O1120)="X",1,0))</f>
        <v>1</v>
      </c>
      <c r="M1120" s="2">
        <f>IF(SUM('Actual species'!P1120)&gt;=1,1,IF(SUM('Actual species'!P1120)="X",1,0))</f>
        <v>0</v>
      </c>
      <c r="N1120" s="2">
        <f>IF(SUM('Actual species'!Q1120)&gt;=1,1,IF(SUM('Actual species'!Q1120)="X",1,0))</f>
        <v>0</v>
      </c>
      <c r="O1120" s="2">
        <f>IF(SUM('Actual species'!R1120)&gt;=1,1,IF(SUM('Actual species'!R1120)="X",1,0))</f>
        <v>0</v>
      </c>
      <c r="P1120" s="2">
        <f>IF(SUM('Actual species'!S1120)&gt;=1,1,IF(SUM('Actual species'!S1120)="X",1,0))</f>
        <v>0</v>
      </c>
      <c r="Q1120" s="2">
        <f>IF(SUM('Actual species'!T1120)&gt;=1,1,IF(SUM('Actual species'!T1120)="X",1,0))</f>
        <v>0</v>
      </c>
      <c r="R1120" s="2">
        <f>IF(SUM('Actual species'!U1120)&gt;=1,1,IF(SUM('Actual species'!U1120)="X",1,0))</f>
        <v>0</v>
      </c>
    </row>
    <row r="1121" spans="1:18" x14ac:dyDescent="0.3">
      <c r="A1121" s="113" t="str">
        <f>'Actual species'!A1121</f>
        <v xml:space="preserve">Xantholinus sp. </v>
      </c>
      <c r="B1121" s="66">
        <f>IF(SUM('Actual species'!B1121:E1121)&gt;=1,1,IF(SUM('Actual species'!B1121:E1121)="X",1,0))</f>
        <v>0</v>
      </c>
      <c r="C1121" s="2">
        <f>IF(SUM('Actual species'!F1121)&gt;=1,1,IF(SUM('Actual species'!F1121)="X",1,0))</f>
        <v>0</v>
      </c>
      <c r="D1121" s="2">
        <f>IF(SUM('Actual species'!G1121)&gt;=1,1,IF(SUM('Actual species'!G1121)="X",1,0))</f>
        <v>0</v>
      </c>
      <c r="E1121" s="2">
        <f>IF(SUM('Actual species'!H1121)&gt;=1,1,IF(SUM('Actual species'!H1121)="X",1,0))</f>
        <v>0</v>
      </c>
      <c r="F1121" s="2">
        <f>IF(SUM('Actual species'!I1121)&gt;=1,1,IF(SUM('Actual species'!I1121)="X",1,0))</f>
        <v>0</v>
      </c>
      <c r="G1121" s="2">
        <f>IF(SUM('Actual species'!J1121)&gt;=1,1,IF(SUM('Actual species'!J1121)="X",1,0))</f>
        <v>0</v>
      </c>
      <c r="H1121" s="2">
        <f>IF(SUM('Actual species'!K1121)&gt;=1,1,IF(SUM('Actual species'!K1121)="X",1,0))</f>
        <v>0</v>
      </c>
      <c r="I1121" s="2">
        <f>IF(SUM('Actual species'!L1121)&gt;=1,1,IF(SUM('Actual species'!L1121)="X",1,0))</f>
        <v>0</v>
      </c>
      <c r="J1121" s="2">
        <f>IF(SUM('Actual species'!M1121)&gt;=1,1,IF(SUM('Actual species'!M1121)="X",1,0))</f>
        <v>0</v>
      </c>
      <c r="K1121" s="2">
        <f>IF(SUM('Actual species'!N1121)&gt;=1,1,IF(SUM('Actual species'!N1121)="X",1,0))</f>
        <v>0</v>
      </c>
      <c r="L1121" s="2">
        <f>IF(SUM('Actual species'!O1121)&gt;=1,1,IF(SUM('Actual species'!O1121)="X",1,0))</f>
        <v>0</v>
      </c>
      <c r="M1121" s="2">
        <f>IF(SUM('Actual species'!P1121)&gt;=1,1,IF(SUM('Actual species'!P1121)="X",1,0))</f>
        <v>0</v>
      </c>
      <c r="N1121" s="2">
        <f>IF(SUM('Actual species'!Q1121)&gt;=1,1,IF(SUM('Actual species'!Q1121)="X",1,0))</f>
        <v>0</v>
      </c>
      <c r="O1121" s="2">
        <f>IF(SUM('Actual species'!R1121)&gt;=1,1,IF(SUM('Actual species'!R1121)="X",1,0))</f>
        <v>0</v>
      </c>
      <c r="P1121" s="2">
        <f>IF(SUM('Actual species'!S1121)&gt;=1,1,IF(SUM('Actual species'!S1121)="X",1,0))</f>
        <v>0</v>
      </c>
      <c r="Q1121" s="2">
        <f>IF(SUM('Actual species'!T1121)&gt;=1,1,IF(SUM('Actual species'!T1121)="X",1,0))</f>
        <v>0</v>
      </c>
      <c r="R1121" s="2">
        <f>IF(SUM('Actual species'!U1121)&gt;=1,1,IF(SUM('Actual species'!U1121)="X",1,0))</f>
        <v>1</v>
      </c>
    </row>
    <row r="1122" spans="1:18" x14ac:dyDescent="0.3">
      <c r="A1122" s="113" t="str">
        <f>'Actual species'!A1122</f>
        <v>Xantholinus sp. (Female)</v>
      </c>
      <c r="B1122" s="66">
        <f>IF(SUM('Actual species'!B1122:E1122)&gt;=1,1,IF(SUM('Actual species'!B1122:E1122)="X",1,0))</f>
        <v>0</v>
      </c>
      <c r="C1122" s="2">
        <f>IF(SUM('Actual species'!F1122)&gt;=1,1,IF(SUM('Actual species'!F1122)="X",1,0))</f>
        <v>0</v>
      </c>
      <c r="D1122" s="2">
        <f>IF(SUM('Actual species'!G1122)&gt;=1,1,IF(SUM('Actual species'!G1122)="X",1,0))</f>
        <v>0</v>
      </c>
      <c r="E1122" s="2">
        <f>IF(SUM('Actual species'!H1122)&gt;=1,1,IF(SUM('Actual species'!H1122)="X",1,0))</f>
        <v>0</v>
      </c>
      <c r="F1122" s="2">
        <f>IF(SUM('Actual species'!I1122)&gt;=1,1,IF(SUM('Actual species'!I1122)="X",1,0))</f>
        <v>0</v>
      </c>
      <c r="G1122" s="2">
        <f>IF(SUM('Actual species'!J1122)&gt;=1,1,IF(SUM('Actual species'!J1122)="X",1,0))</f>
        <v>0</v>
      </c>
      <c r="H1122" s="2">
        <f>IF(SUM('Actual species'!K1122)&gt;=1,1,IF(SUM('Actual species'!K1122)="X",1,0))</f>
        <v>0</v>
      </c>
      <c r="I1122" s="2">
        <f>IF(SUM('Actual species'!L1122)&gt;=1,1,IF(SUM('Actual species'!L1122)="X",1,0))</f>
        <v>0</v>
      </c>
      <c r="J1122" s="2">
        <f>IF(SUM('Actual species'!M1122)&gt;=1,1,IF(SUM('Actual species'!M1122)="X",1,0))</f>
        <v>0</v>
      </c>
      <c r="K1122" s="2">
        <f>IF(SUM('Actual species'!N1122)&gt;=1,1,IF(SUM('Actual species'!N1122)="X",1,0))</f>
        <v>0</v>
      </c>
      <c r="L1122" s="2">
        <f>IF(SUM('Actual species'!O1122)&gt;=1,1,IF(SUM('Actual species'!O1122)="X",1,0))</f>
        <v>0</v>
      </c>
      <c r="M1122" s="2">
        <f>IF(SUM('Actual species'!P1122)&gt;=1,1,IF(SUM('Actual species'!P1122)="X",1,0))</f>
        <v>0</v>
      </c>
      <c r="N1122" s="2">
        <f>IF(SUM('Actual species'!Q1122)&gt;=1,1,IF(SUM('Actual species'!Q1122)="X",1,0))</f>
        <v>0</v>
      </c>
      <c r="O1122" s="2">
        <f>IF(SUM('Actual species'!R1122)&gt;=1,1,IF(SUM('Actual species'!R1122)="X",1,0))</f>
        <v>0</v>
      </c>
      <c r="P1122" s="2">
        <f>IF(SUM('Actual species'!S1122)&gt;=1,1,IF(SUM('Actual species'!S1122)="X",1,0))</f>
        <v>1</v>
      </c>
      <c r="Q1122" s="2">
        <f>IF(SUM('Actual species'!T1122)&gt;=1,1,IF(SUM('Actual species'!T1122)="X",1,0))</f>
        <v>0</v>
      </c>
      <c r="R1122" s="2">
        <f>IF(SUM('Actual species'!U1122)&gt;=1,1,IF(SUM('Actual species'!U1122)="X",1,0))</f>
        <v>0</v>
      </c>
    </row>
    <row r="1123" spans="1:18" x14ac:dyDescent="0.3">
      <c r="A1123" s="113" t="str">
        <f>'Actual species'!A1123</f>
        <v>Xantholinus varnensis</v>
      </c>
      <c r="B1123" s="66">
        <f>IF(SUM('Actual species'!B1123:E1123)&gt;=1,1,IF(SUM('Actual species'!B1123:E1123)="X",1,0))</f>
        <v>0</v>
      </c>
      <c r="C1123" s="2">
        <f>IF(SUM('Actual species'!F1123)&gt;=1,1,IF(SUM('Actual species'!F1123)="X",1,0))</f>
        <v>0</v>
      </c>
      <c r="D1123" s="2">
        <f>IF(SUM('Actual species'!G1123)&gt;=1,1,IF(SUM('Actual species'!G1123)="X",1,0))</f>
        <v>0</v>
      </c>
      <c r="E1123" s="2">
        <f>IF(SUM('Actual species'!H1123)&gt;=1,1,IF(SUM('Actual species'!H1123)="X",1,0))</f>
        <v>1</v>
      </c>
      <c r="F1123" s="2">
        <f>IF(SUM('Actual species'!I1123)&gt;=1,1,IF(SUM('Actual species'!I1123)="X",1,0))</f>
        <v>1</v>
      </c>
      <c r="G1123" s="2">
        <f>IF(SUM('Actual species'!J1123)&gt;=1,1,IF(SUM('Actual species'!J1123)="X",1,0))</f>
        <v>0</v>
      </c>
      <c r="H1123" s="2">
        <f>IF(SUM('Actual species'!K1123)&gt;=1,1,IF(SUM('Actual species'!K1123)="X",1,0))</f>
        <v>1</v>
      </c>
      <c r="I1123" s="2">
        <f>IF(SUM('Actual species'!L1123)&gt;=1,1,IF(SUM('Actual species'!L1123)="X",1,0))</f>
        <v>0</v>
      </c>
      <c r="J1123" s="2">
        <f>IF(SUM('Actual species'!M1123)&gt;=1,1,IF(SUM('Actual species'!M1123)="X",1,0))</f>
        <v>0</v>
      </c>
      <c r="K1123" s="2">
        <f>IF(SUM('Actual species'!N1123)&gt;=1,1,IF(SUM('Actual species'!N1123)="X",1,0))</f>
        <v>1</v>
      </c>
      <c r="L1123" s="2">
        <f>IF(SUM('Actual species'!O1123)&gt;=1,1,IF(SUM('Actual species'!O1123)="X",1,0))</f>
        <v>1</v>
      </c>
      <c r="M1123" s="2">
        <f>IF(SUM('Actual species'!P1123)&gt;=1,1,IF(SUM('Actual species'!P1123)="X",1,0))</f>
        <v>0</v>
      </c>
      <c r="N1123" s="2">
        <f>IF(SUM('Actual species'!Q1123)&gt;=1,1,IF(SUM('Actual species'!Q1123)="X",1,0))</f>
        <v>0</v>
      </c>
      <c r="O1123" s="2">
        <f>IF(SUM('Actual species'!R1123)&gt;=1,1,IF(SUM('Actual species'!R1123)="X",1,0))</f>
        <v>0</v>
      </c>
      <c r="P1123" s="2">
        <f>IF(SUM('Actual species'!S1123)&gt;=1,1,IF(SUM('Actual species'!S1123)="X",1,0))</f>
        <v>0</v>
      </c>
      <c r="Q1123" s="2">
        <f>IF(SUM('Actual species'!T1123)&gt;=1,1,IF(SUM('Actual species'!T1123)="X",1,0))</f>
        <v>0</v>
      </c>
      <c r="R1123" s="2">
        <f>IF(SUM('Actual species'!U1123)&gt;=1,1,IF(SUM('Actual species'!U1123)="X",1,0))</f>
        <v>0</v>
      </c>
    </row>
    <row r="1124" spans="1:18" x14ac:dyDescent="0.3">
      <c r="A1124" s="113"/>
      <c r="B1124" s="66"/>
      <c r="C1124" s="66"/>
      <c r="D1124" s="66"/>
      <c r="E1124" s="66"/>
      <c r="F1124" s="66"/>
      <c r="G1124" s="66"/>
      <c r="H1124" s="66"/>
      <c r="I1124" s="66"/>
      <c r="J1124" s="66"/>
      <c r="K1124" s="66"/>
      <c r="L1124" s="66"/>
      <c r="M1124" s="66"/>
      <c r="N1124" s="66"/>
      <c r="O1124" s="66"/>
      <c r="P1124" s="66"/>
      <c r="Q1124" s="66"/>
      <c r="R1124" s="6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tabSelected="1" workbookViewId="0">
      <pane xSplit="1" ySplit="1" topLeftCell="B746" activePane="bottomRight" state="frozen"/>
      <selection pane="topRight" activeCell="B1" sqref="B1"/>
      <selection pane="bottomLeft" activeCell="A2" sqref="A2"/>
      <selection pane="bottomRight" activeCell="J759" sqref="J759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Island Endemic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 t="str">
        <f>'Actual species'!V4</f>
        <v>------------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 t="str">
        <f>'Actual species'!V6</f>
        <v>------------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X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X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X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 t="str">
        <f>'Actual species'!V15</f>
        <v>------------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Eusphalerum limbatum limbatum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 t="str">
        <f>'Actual species'!V22</f>
        <v>------------</v>
      </c>
    </row>
    <row r="23" spans="1:13" x14ac:dyDescent="0.3">
      <c r="A23" t="str">
        <f>Binary!A23</f>
        <v>Eusphalerum sp.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 t="str">
        <f>'Actual species'!V23</f>
        <v>------------</v>
      </c>
    </row>
    <row r="24" spans="1:13" x14ac:dyDescent="0.3">
      <c r="A24" t="str">
        <f>Binary!A24</f>
        <v>Eusphalerum zerchei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 t="str">
        <f>'Actual species'!V24</f>
        <v>------------</v>
      </c>
    </row>
    <row r="25" spans="1:13" x14ac:dyDescent="0.3">
      <c r="A25" t="str">
        <f>Binary!A25</f>
        <v>Hapalaraea pygmaea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 t="str">
        <f>'Actual species'!V25</f>
        <v>------------</v>
      </c>
    </row>
    <row r="26" spans="1:13" x14ac:dyDescent="0.3">
      <c r="A26" t="str">
        <f>Binary!A26</f>
        <v xml:space="preserve">Lesteva brondeeli (E) 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X</v>
      </c>
    </row>
    <row r="27" spans="1:13" x14ac:dyDescent="0.3">
      <c r="A27" t="str">
        <f>Binary!A27</f>
        <v xml:space="preserve">*Lesteva latipes (E) </v>
      </c>
      <c r="B27" s="137" t="str">
        <f>IF(Binary!B27&gt;=1,"X",0)</f>
        <v>X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X</v>
      </c>
    </row>
    <row r="28" spans="1:13" x14ac:dyDescent="0.3">
      <c r="A28" t="str">
        <f>Binary!A28</f>
        <v>Lesteva longoelytrata</v>
      </c>
      <c r="B28" s="137">
        <f>IF(Binary!B28&gt;=1,"X",0)</f>
        <v>0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 xml:space="preserve">Lesteva longoelytrata cretica (E) 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 t="str">
        <f>IF(Binary!G29&gt;=1,"X",0)</f>
        <v>X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X</v>
      </c>
    </row>
    <row r="30" spans="1:13" x14ac:dyDescent="0.3">
      <c r="A30" t="str">
        <f>Binary!A30</f>
        <v xml:space="preserve">Lesteva nitidicollis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>
        <f>IF(Binary!G30&gt;=1,"X",0)</f>
        <v>0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X</v>
      </c>
    </row>
    <row r="31" spans="1:13" x14ac:dyDescent="0.3">
      <c r="A31" t="str">
        <f>Binary!A31</f>
        <v xml:space="preserve">Lesteva szekessyi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X</v>
      </c>
    </row>
    <row r="32" spans="1:13" x14ac:dyDescent="0.3">
      <c r="A32" t="str">
        <f>Binary!A32</f>
        <v>Omalium caesum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cinnamomeum</v>
      </c>
      <c r="B33" s="137" t="str">
        <f>IF(Binary!B33&gt;=1,"X",0)</f>
        <v>X</v>
      </c>
      <c r="C33" s="137" t="str">
        <f>IF(Binary!C33&gt;=1,"X",0)</f>
        <v>X</v>
      </c>
      <c r="D33" s="137" t="str">
        <f>IF(Binary!D33&gt;=1,"X",0)</f>
        <v>X</v>
      </c>
      <c r="E33" s="137" t="str">
        <f>IF(Binary!E33&gt;=1,"X",0)</f>
        <v>X</v>
      </c>
      <c r="F33" s="137">
        <f>IF(Binary!F33&gt;=1,"X",0)</f>
        <v>0</v>
      </c>
      <c r="G33" s="137" t="str">
        <f>IF(Binary!G33&gt;=1,"X",0)</f>
        <v>X</v>
      </c>
      <c r="H33" s="137">
        <f>IF(Binary!H33&gt;=1,"X",0)</f>
        <v>0</v>
      </c>
      <c r="I33" s="137" t="str">
        <f>IF(Binary!I33&gt;=1,"X",0)</f>
        <v>X</v>
      </c>
      <c r="J33" s="137" t="str">
        <f>IF(Binary!J33&gt;=1,"X",0)</f>
        <v>X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excavatum</v>
      </c>
      <c r="B34" s="137">
        <f>IF(Binary!B34&gt;=1,"X",0)</f>
        <v>0</v>
      </c>
      <c r="C34" s="137">
        <f>IF(Binary!C34&gt;=1,"X",0)</f>
        <v>0</v>
      </c>
      <c r="D34" s="137">
        <f>IF(Binary!D34&gt;=1,"X",0)</f>
        <v>0</v>
      </c>
      <c r="E34" s="137">
        <f>IF(Binary!E34&gt;=1,"X",0)</f>
        <v>0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>
        <f>IF(Binary!I34&gt;=1,"X",0)</f>
        <v>0</v>
      </c>
      <c r="J34" s="137">
        <f>IF(Binary!J34&gt;=1,"X",0)</f>
        <v>0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henroti</v>
      </c>
      <c r="B35" s="137" t="str">
        <f>IF(Binary!B35&gt;=1,"X",0)</f>
        <v>X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>
        <f>IF(Binary!G35&gt;=1,"X",0)</f>
        <v>0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oxyacantha</v>
      </c>
      <c r="B36" s="137">
        <f>IF(Binary!B36&gt;=1,"X",0)</f>
        <v>0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 t="str">
        <f>IF(Binary!F36&gt;=1,"X",0)</f>
        <v>X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rhodicum</v>
      </c>
      <c r="B37" s="137">
        <f>IF(Binary!B37&gt;=1,"X",0)</f>
        <v>0</v>
      </c>
      <c r="C37" s="137">
        <f>IF(Binary!C37&gt;=1,"X",0)</f>
        <v>0</v>
      </c>
      <c r="D37" s="137" t="str">
        <f>IF(Binary!D37&gt;=1,"X",0)</f>
        <v>X</v>
      </c>
      <c r="E37" s="137">
        <f>IF(Binary!E37&gt;=1,"X",0)</f>
        <v>0</v>
      </c>
      <c r="F37" s="137" t="str">
        <f>IF(Binary!F37&gt;=1,"X",0)</f>
        <v>X</v>
      </c>
      <c r="G37" s="137" t="str">
        <f>IF(Binary!G37&gt;=1,"X",0)</f>
        <v>X</v>
      </c>
      <c r="H37" s="137" t="str">
        <f>IF(Binary!H37&gt;=1,"X",0)</f>
        <v>X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riparium</v>
      </c>
      <c r="B38" s="137" t="str">
        <f>IF(Binary!B38&gt;=1,"X",0)</f>
        <v>X</v>
      </c>
      <c r="C38" s="137">
        <f>IF(Binary!C38&gt;=1,"X",0)</f>
        <v>0</v>
      </c>
      <c r="D38" s="137">
        <f>IF(Binary!D38&gt;=1,"X",0)</f>
        <v>0</v>
      </c>
      <c r="E38" s="137">
        <f>IF(Binary!E38&gt;=1,"X",0)</f>
        <v>0</v>
      </c>
      <c r="F38" s="137">
        <f>IF(Binary!F38&gt;=1,"X",0)</f>
        <v>0</v>
      </c>
      <c r="G38" s="137">
        <f>IF(Binary!G38&gt;=1,"X",0)</f>
        <v>0</v>
      </c>
      <c r="H38" s="137">
        <f>IF(Binary!H38&gt;=1,"X",0)</f>
        <v>0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 impar</v>
      </c>
      <c r="B39" s="137">
        <f>IF(Binary!B39&gt;=1,"X",0)</f>
        <v>0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rivulare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 t="str">
        <f>IF(Binary!H40&gt;=1,"X",0)</f>
        <v>X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rugatum</v>
      </c>
      <c r="B41" s="137" t="str">
        <f>IF(Binary!B41&gt;=1,"X",0)</f>
        <v>X</v>
      </c>
      <c r="C41" s="137">
        <f>IF(Binary!C41&gt;=1,"X",0)</f>
        <v>0</v>
      </c>
      <c r="D41" s="137">
        <f>IF(Binary!D41&gt;=1,"X",0)</f>
        <v>0</v>
      </c>
      <c r="E41" s="137" t="str">
        <f>IF(Binary!E41&gt;=1,"X",0)</f>
        <v>X</v>
      </c>
      <c r="F41" s="137" t="str">
        <f>IF(Binary!F41&gt;=1,"X",0)</f>
        <v>X</v>
      </c>
      <c r="G41" s="137" t="str">
        <f>IF(Binary!G41&gt;=1,"X",0)</f>
        <v>X</v>
      </c>
      <c r="H41" s="137" t="str">
        <f>IF(Binary!H41&gt;=1,"X",0)</f>
        <v>X</v>
      </c>
      <c r="I41" s="137">
        <f>IF(Binary!I41&gt;=1,"X",0)</f>
        <v>0</v>
      </c>
      <c r="J41" s="137" t="str">
        <f>IF(Binary!J41&gt;=1,"X",0)</f>
        <v>X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turcicum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>
        <f>IF(Binary!E42&gt;=1,"X",0)</f>
        <v>0</v>
      </c>
      <c r="F42" s="137">
        <f>IF(Binary!F42&gt;=1,"X",0)</f>
        <v>0</v>
      </c>
      <c r="G42" s="137">
        <f>IF(Binary!G42&gt;=1,"X",0)</f>
        <v>0</v>
      </c>
      <c r="H42" s="137">
        <f>IF(Binary!H42&gt;=1,"X",0)</f>
        <v>0</v>
      </c>
      <c r="I42" s="137">
        <f>IF(Binary!I42&gt;=1,"X",0)</f>
        <v>0</v>
      </c>
      <c r="J42" s="137">
        <f>IF(Binary!J42&gt;=1,"X",0)</f>
        <v>0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Paraphloeostiba gayndahensis</v>
      </c>
      <c r="B43" s="137">
        <f>IF(Binary!B43&gt;=1,"X",0)</f>
        <v>0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 t="str">
        <f>IF(Binary!J43&gt;=1,"X",0)</f>
        <v>X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Pareudectus vitsiensis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>
        <f>IF(Binary!J44&gt;=1,"X",0)</f>
        <v>0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Philorinum hoffgarteni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 t="str">
        <f>IF(Binary!E45&gt;=1,"X",0)</f>
        <v>X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Phyllodrepa palpalis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>
        <f>IF(Binary!E46&gt;=1,"X",0)</f>
        <v>0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floralis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ioptera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melanocephla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 t="str">
        <f>'Actual species'!V49</f>
        <v>------------</v>
      </c>
    </row>
    <row r="50" spans="1:13" x14ac:dyDescent="0.3">
      <c r="A50" s="63" t="str">
        <f>Binary!A50</f>
        <v>Proteininae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Metopsia assingi</v>
      </c>
      <c r="B51" s="137" t="str">
        <f>IF(Binary!B51&gt;=1,"X",0)</f>
        <v>X</v>
      </c>
      <c r="C51" s="137">
        <f>IF(Binary!C51&gt;=1,"X",0)</f>
        <v>0</v>
      </c>
      <c r="D51" s="137" t="str">
        <f>IF(Binary!D51&gt;=1,"X",0)</f>
        <v>X</v>
      </c>
      <c r="E51" s="137" t="str">
        <f>IF(Binary!E51&gt;=1,"X",0)</f>
        <v>X</v>
      </c>
      <c r="F51" s="137" t="str">
        <f>IF(Binary!F51&gt;=1,"X",0)</f>
        <v>X</v>
      </c>
      <c r="G51" s="137">
        <f>IF(Binary!G51&gt;=1,"X",0)</f>
        <v>0</v>
      </c>
      <c r="H51" s="137" t="str">
        <f>IF(Binary!H51&gt;=1,"X",0)</f>
        <v>X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 t="str">
        <f>'Actual species'!V51</f>
        <v>------------</v>
      </c>
    </row>
    <row r="52" spans="1:13" x14ac:dyDescent="0.3">
      <c r="A52" t="str">
        <f>Binary!A52</f>
        <v>Metopsia similis</v>
      </c>
      <c r="B52" s="137">
        <f>IF(Binary!B52&gt;=1,"X",0)</f>
        <v>0</v>
      </c>
      <c r="C52" s="137">
        <f>IF(Binary!C52&gt;=1,"X",0)</f>
        <v>0</v>
      </c>
      <c r="D52" s="137">
        <f>IF(Binary!D52&gt;=1,"X",0)</f>
        <v>0</v>
      </c>
      <c r="E52" s="137">
        <f>IF(Binary!E52&gt;=1,"X",0)</f>
        <v>0</v>
      </c>
      <c r="F52" s="137">
        <f>IF(Binary!F52&gt;=1,"X",0)</f>
        <v>0</v>
      </c>
      <c r="G52" s="137">
        <f>IF(Binary!G52&gt;=1,"X",0)</f>
        <v>0</v>
      </c>
      <c r="H52" s="137">
        <f>IF(Binary!H52&gt;=1,"X",0)</f>
        <v>0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Megathrus bellevoyei</v>
      </c>
      <c r="B53" s="137" t="str">
        <f>IF(Binary!B53&gt;=1,"X",0)</f>
        <v>X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 t="str">
        <f>IF(Binary!G53&gt;=1,"X",0)</f>
        <v>X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depressus</v>
      </c>
      <c r="B54" s="137">
        <f>IF(Binary!B54&gt;=1,"X",0)</f>
        <v>0</v>
      </c>
      <c r="C54" s="137" t="str">
        <f>IF(Binary!C54&gt;=1,"X",0)</f>
        <v>X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>
        <f>IF(Binary!G54&gt;=1,"X",0)</f>
        <v>0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Proteinus atomarius</v>
      </c>
      <c r="B55" s="137">
        <f>IF(Binary!B55&gt;=1,"X",0)</f>
        <v>0</v>
      </c>
      <c r="C55" s="137" t="str">
        <f>IF(Binary!C55&gt;=1,"X",0)</f>
        <v>X</v>
      </c>
      <c r="D55" s="137" t="str">
        <f>IF(Binary!D55&gt;=1,"X",0)</f>
        <v>X</v>
      </c>
      <c r="E55" s="137">
        <f>IF(Binary!E55&gt;=1,"X",0)</f>
        <v>0</v>
      </c>
      <c r="F55" s="137">
        <f>IF(Binary!F55&gt;=1,"X",0)</f>
        <v>0</v>
      </c>
      <c r="G55" s="137" t="str">
        <f>IF(Binary!G55&gt;=1,"X",0)</f>
        <v>X</v>
      </c>
      <c r="H55" s="137">
        <f>IF(Binary!H55&gt;=1,"X",0)</f>
        <v>0</v>
      </c>
      <c r="I55" s="137">
        <f>IF(Binary!I55&gt;=1,"X",0)</f>
        <v>0</v>
      </c>
      <c r="J55" s="137" t="str">
        <f>IF(Binary!J55&gt;=1,"X",0)</f>
        <v>X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brachypterus</v>
      </c>
      <c r="B56" s="137">
        <f>IF(Binary!B56&gt;=1,"X",0)</f>
        <v>0</v>
      </c>
      <c r="C56" s="137" t="str">
        <f>IF(Binary!C56&gt;=1,"X",0)</f>
        <v>X</v>
      </c>
      <c r="D56" s="137">
        <f>IF(Binary!D56&gt;=1,"X",0)</f>
        <v>0</v>
      </c>
      <c r="E56" s="137">
        <f>IF(Binary!E56&gt;=1,"X",0)</f>
        <v>0</v>
      </c>
      <c r="F56" s="137">
        <f>IF(Binary!F56&gt;=1,"X",0)</f>
        <v>0</v>
      </c>
      <c r="G56" s="137">
        <f>IF(Binary!G56&gt;=1,"X",0)</f>
        <v>0</v>
      </c>
      <c r="H56" s="137">
        <f>IF(Binary!H56&gt;=1,"X",0)</f>
        <v>0</v>
      </c>
      <c r="I56" s="137">
        <f>IF(Binary!I56&gt;=1,"X",0)</f>
        <v>0</v>
      </c>
      <c r="J56" s="137">
        <f>IF(Binary!J56&gt;=1,"X",0)</f>
        <v>0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creticus</v>
      </c>
      <c r="B57" s="137">
        <f>IF(Binary!B57&gt;=1,"X",0)</f>
        <v>0</v>
      </c>
      <c r="C57" s="137">
        <f>IF(Binary!C57&gt;=1,"X",0)</f>
        <v>0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 t="str">
        <f>IF(Binary!G57&gt;=1,"X",0)</f>
        <v>X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ovalis</v>
      </c>
      <c r="B58" s="137" t="str">
        <f>IF(Binary!B58&gt;=1,"X",0)</f>
        <v>X</v>
      </c>
      <c r="C58" s="137" t="str">
        <f>IF(Binary!C58&gt;=1,"X",0)</f>
        <v>X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sp. 1</v>
      </c>
      <c r="B59" s="137">
        <f>IF(Binary!B59&gt;=1,"X",0)</f>
        <v>0</v>
      </c>
      <c r="C59" s="137">
        <f>IF(Binary!C59&gt;=1,"X",0)</f>
        <v>0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>
        <f>IF(Binary!G59&gt;=1,"X",0)</f>
        <v>0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2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utrarius</v>
      </c>
      <c r="B61" s="137">
        <f>IF(Binary!B61&gt;=1,"X",0)</f>
        <v>0</v>
      </c>
      <c r="C61" s="137">
        <f>IF(Binary!C61&gt;=1,"X",0)</f>
        <v>0</v>
      </c>
      <c r="D61" s="137" t="str">
        <f>IF(Binary!D61&gt;=1,"X",0)</f>
        <v>X</v>
      </c>
      <c r="E61" s="137" t="str">
        <f>IF(Binary!E61&gt;=1,"X",0)</f>
        <v>X</v>
      </c>
      <c r="F61" s="137" t="str">
        <f>IF(Binary!F61&gt;=1,"X",0)</f>
        <v>X</v>
      </c>
      <c r="G61" s="137">
        <f>IF(Binary!G61&gt;=1,"X",0)</f>
        <v>0</v>
      </c>
      <c r="H61" s="137" t="str">
        <f>IF(Binary!H61&gt;=1,"X",0)</f>
        <v>X</v>
      </c>
      <c r="I61" s="137" t="str">
        <f>IF(Binary!I61&gt;=1,"X",0)</f>
        <v>X</v>
      </c>
      <c r="J61" s="137">
        <f>IF(Binary!J61&gt;=1,"X",0)</f>
        <v>0</v>
      </c>
      <c r="K61" s="137" t="str">
        <f>IF(Binary!K61&gt;=1,"X",0)</f>
        <v>X</v>
      </c>
      <c r="L61" s="137" t="str">
        <f>IF(Binary!L61&gt;=1,"X",0)</f>
        <v>X</v>
      </c>
      <c r="M61" t="str">
        <f>'Actual species'!V61</f>
        <v>------------</v>
      </c>
    </row>
    <row r="62" spans="1:13" x14ac:dyDescent="0.3">
      <c r="A62" s="63" t="str">
        <f>Binary!A62</f>
        <v>Micropeplinae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Arrhenopeplus cf. Thrasicus/turcicus</v>
      </c>
      <c r="B63" s="137">
        <f>IF(Binary!B63&gt;=1,"X",0)</f>
        <v>0</v>
      </c>
      <c r="C63" s="137" t="str">
        <f>IF(Binary!C63&gt;=1,"X",0)</f>
        <v>X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 t="str">
        <f>'Actual species'!V63</f>
        <v>------------</v>
      </c>
    </row>
    <row r="64" spans="1:13" x14ac:dyDescent="0.3">
      <c r="A64" t="str">
        <f>Binary!A64</f>
        <v>Micropeplus cf. Turcicus</v>
      </c>
      <c r="B64" s="137" t="str">
        <f>IF(Binary!B64&gt;=1,"X",0)</f>
        <v>X</v>
      </c>
      <c r="C64" s="137">
        <f>IF(Binary!C64&gt;=1,"X",0)</f>
        <v>0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fulvus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 t="str">
        <f>IF(Binary!E65&gt;=1,"X",0)</f>
        <v>X</v>
      </c>
      <c r="F65" s="137" t="str">
        <f>IF(Binary!F65&gt;=1,"X",0)</f>
        <v>X</v>
      </c>
      <c r="G65" s="137">
        <f>IF(Binary!G65&gt;=1,"X",0)</f>
        <v>0</v>
      </c>
      <c r="H65" s="137" t="str">
        <f>IF(Binary!H65&gt;=1,"X",0)</f>
        <v>X</v>
      </c>
      <c r="I65" s="137" t="str">
        <f>IF(Binary!I65&gt;=1,"X",0)</f>
        <v>X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latus</v>
      </c>
      <c r="B66" s="137">
        <f>IF(Binary!B66&gt;=1,"X",0)</f>
        <v>0</v>
      </c>
      <c r="C66" s="137">
        <f>IF(Binary!C66&gt;=1,"X",0)</f>
        <v>0</v>
      </c>
      <c r="D66" s="137">
        <f>IF(Binary!D66&gt;=1,"X",0)</f>
        <v>0</v>
      </c>
      <c r="E66" s="137">
        <f>IF(Binary!E66&gt;=1,"X",0)</f>
        <v>0</v>
      </c>
      <c r="F66" s="137">
        <f>IF(Binary!F66&gt;=1,"X",0)</f>
        <v>0</v>
      </c>
      <c r="G66" s="137">
        <f>IF(Binary!G66&gt;=1,"X",0)</f>
        <v>0</v>
      </c>
      <c r="H66" s="137">
        <f>IF(Binary!H66&gt;=1,"X",0)</f>
        <v>0</v>
      </c>
      <c r="I66" s="137">
        <f>IF(Binary!I66&gt;=1,"X",0)</f>
        <v>0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porcatus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ripicola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sp.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staphylinoides</v>
      </c>
      <c r="B70" s="137" t="str">
        <f>IF(Binary!B70&gt;=1,"X",0)</f>
        <v>X</v>
      </c>
      <c r="C70" s="137">
        <f>IF(Binary!C70&gt;=1,"X",0)</f>
        <v>0</v>
      </c>
      <c r="D70" s="137" t="str">
        <f>IF(Binary!D70&gt;=1,"X",0)</f>
        <v>X</v>
      </c>
      <c r="E70" s="137" t="str">
        <f>IF(Binary!E70&gt;=1,"X",0)</f>
        <v>X</v>
      </c>
      <c r="F70" s="137" t="str">
        <f>IF(Binary!F70&gt;=1,"X",0)</f>
        <v>X</v>
      </c>
      <c r="G70" s="137" t="str">
        <f>IF(Binary!G70&gt;=1,"X",0)</f>
        <v>X</v>
      </c>
      <c r="H70" s="137" t="str">
        <f>IF(Binary!H70&gt;=1,"X",0)</f>
        <v>X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 t="str">
        <f>IF(Binary!L70&gt;=1,"X",0)</f>
        <v>X</v>
      </c>
      <c r="M70" t="str">
        <f>'Actual species'!V70</f>
        <v>------------</v>
      </c>
    </row>
    <row r="71" spans="1:13" x14ac:dyDescent="0.3">
      <c r="A71" s="63" t="str">
        <f>Binary!A71</f>
        <v>Pselaphinae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Afropselaphus n. sp.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 t="str">
        <f>IF(Binary!G72&gt;=1,"X",0)</f>
        <v>X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 t="str">
        <f>IF(Binary!L72&gt;=1,"X",0)</f>
        <v>X</v>
      </c>
      <c r="M72" t="str">
        <f>'Actual species'!V72</f>
        <v>------------</v>
      </c>
    </row>
    <row r="73" spans="1:13" x14ac:dyDescent="0.3">
      <c r="A73" t="str">
        <f>Binary!A73</f>
        <v>Afroselaphus spec. Nov. (female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>
        <f>IF(Binary!G73&gt;=1,"X",0)</f>
        <v>0</v>
      </c>
      <c r="H73" s="137">
        <f>IF(Binary!H73&gt;=1,"X",0)</f>
        <v>0</v>
      </c>
      <c r="I73" s="137">
        <f>IF(Binary!I73&gt;=1,"X",0)</f>
        <v>0</v>
      </c>
      <c r="J73" s="137" t="str">
        <f>IF(Binary!J73&gt;=1,"X",0)</f>
        <v>X</v>
      </c>
      <c r="K73" s="137">
        <f>IF(Binary!K73&gt;=1,"X",0)</f>
        <v>0</v>
      </c>
      <c r="L73" s="137">
        <f>IF(Binary!L73&gt;=1,"X",0)</f>
        <v>0</v>
      </c>
      <c r="M73" t="str">
        <f>'Actual species'!V73</f>
        <v>------------</v>
      </c>
    </row>
    <row r="74" spans="1:13" x14ac:dyDescent="0.3">
      <c r="A74" t="str">
        <f>Binary!A74</f>
        <v xml:space="preserve">*Amauronyx assingi (E) </v>
      </c>
      <c r="B74" s="137">
        <f>IF(Binary!B74&gt;=1,"X",0)</f>
        <v>0</v>
      </c>
      <c r="C74" s="137">
        <f>IF(Binary!C74&gt;=1,"X",0)</f>
        <v>0</v>
      </c>
      <c r="D74" s="137" t="str">
        <f>IF(Binary!D74&gt;=1,"X",0)</f>
        <v>X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>
        <f>IF(Binary!J74&gt;=1,"X",0)</f>
        <v>0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X</v>
      </c>
    </row>
    <row r="75" spans="1:13" x14ac:dyDescent="0.3">
      <c r="A75" t="str">
        <f>Binary!A75</f>
        <v xml:space="preserve">Amauronyx paganettii (E) </v>
      </c>
      <c r="B75" s="137">
        <f>IF(Binary!B75&gt;=1,"X",0)</f>
        <v>0</v>
      </c>
      <c r="C75" s="137">
        <f>IF(Binary!C75&gt;=1,"X",0)</f>
        <v>0</v>
      </c>
      <c r="D75" s="137">
        <f>IF(Binary!D75&gt;=1,"X",0)</f>
        <v>0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X</v>
      </c>
    </row>
    <row r="76" spans="1:13" x14ac:dyDescent="0.3">
      <c r="A76" t="str">
        <f>Binary!A76</f>
        <v>Batrisodes oculatus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 xml:space="preserve">Batrisodes paganettii (E) 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X</v>
      </c>
    </row>
    <row r="78" spans="1:13" x14ac:dyDescent="0.3">
      <c r="A78" t="str">
        <f>Binary!A78</f>
        <v>Bibloplectus ambiguus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beaumonti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 t="str">
        <f>IF(Binary!J79&gt;=1,"X",0)</f>
        <v>X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elegans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hellenicus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jeanelli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parvulus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>
        <f>IF(Binary!J83&gt;=1,"X",0)</f>
        <v>0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Brachygluta n. sp.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 t="str">
        <f>IF(Binary!G84&gt;=1,"X",0)</f>
        <v>X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abrupta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>
        <f>IF(Binary!G85&gt;=1,"X",0)</f>
        <v>0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cavernosa</v>
      </c>
      <c r="B86" s="137">
        <f>IF(Binary!B86&gt;=1,"X",0)</f>
        <v>0</v>
      </c>
      <c r="C86" s="137">
        <f>IF(Binary!C86&gt;=1,"X",0)</f>
        <v>0</v>
      </c>
      <c r="D86" s="137" t="str">
        <f>IF(Binary!D86&gt;=1,"X",0)</f>
        <v>X</v>
      </c>
      <c r="E86" s="137">
        <f>IF(Binary!E86&gt;=1,"X",0)</f>
        <v>0</v>
      </c>
      <c r="F86" s="137">
        <f>IF(Binary!F86&gt;=1,"X",0)</f>
        <v>0</v>
      </c>
      <c r="G86" s="137" t="str">
        <f>IF(Binary!G86&gt;=1,"X",0)</f>
        <v>X</v>
      </c>
      <c r="H86" s="137" t="str">
        <f>IF(Binary!H86&gt;=1,"X",0)</f>
        <v>X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foveola foveola</v>
      </c>
      <c r="B87" s="137">
        <f>IF(Binary!B87&gt;=1,"X",0)</f>
        <v>0</v>
      </c>
      <c r="C87" s="137">
        <f>IF(Binary!C87&gt;=1,"X",0)</f>
        <v>0</v>
      </c>
      <c r="D87" s="137">
        <f>IF(Binary!D87&gt;=1,"X",0)</f>
        <v>0</v>
      </c>
      <c r="E87" s="137">
        <f>IF(Binary!E87&gt;=1,"X",0)</f>
        <v>0</v>
      </c>
      <c r="F87" s="137" t="str">
        <f>IF(Binary!F87&gt;=1,"X",0)</f>
        <v>X</v>
      </c>
      <c r="G87" s="137">
        <f>IF(Binary!G87&gt;=1,"X",0)</f>
        <v>0</v>
      </c>
      <c r="H87" s="137">
        <f>IF(Binary!H87&gt;=1,"X",0)</f>
        <v>0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furcata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>
        <f>IF(Binary!F88&gt;=1,"X",0)</f>
        <v>0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 xml:space="preserve">Brachygluta gnosiaca (E) 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X</v>
      </c>
    </row>
    <row r="90" spans="1:13" x14ac:dyDescent="0.3">
      <c r="A90" t="str">
        <f>Binary!A90</f>
        <v>Brachygluta helferi longispina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 t="str">
        <f>IF(Binary!J90&gt;=1,"X",0)</f>
        <v>X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ochanensis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 t="str">
        <f>IF(Binary!G91&gt;=1,"X",0)</f>
        <v>X</v>
      </c>
      <c r="H91" s="137">
        <f>IF(Binary!H91&gt;=1,"X",0)</f>
        <v>0</v>
      </c>
      <c r="I91" s="137">
        <f>IF(Binary!I91&gt;=1,"X",0)</f>
        <v>0</v>
      </c>
      <c r="J91" s="137">
        <f>IF(Binary!J91&gt;=1,"X",0)</f>
        <v>0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spinicoxis fuchsii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 t="str">
        <f>IF(Binary!E92&gt;=1,"X",0)</f>
        <v>X</v>
      </c>
      <c r="F92" s="137">
        <f>IF(Binary!F92&gt;=1,"X",0)</f>
        <v>0</v>
      </c>
      <c r="G92" s="137">
        <f>IF(Binary!G92&gt;=1,"X",0)</f>
        <v>0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transversalis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>
        <f>IF(Binary!E93&gt;=1,"X",0)</f>
        <v>0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xanthoptera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Bryaxis anatolicus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 t="str">
        <f>IF(Binary!E95&gt;=1,"X",0)</f>
        <v>X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callipus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>
        <f>IF(Binary!E96&gt;=1,"X",0)</f>
        <v>0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 t="str">
        <f>IF(Binary!J96&gt;=1,"X",0)</f>
        <v>X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convexus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corcyreus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 xml:space="preserve">*Bryaxis lesbius (E) 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 t="str">
        <f>IF(Binary!F99&gt;=1,"X",0)</f>
        <v>X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>
        <f>IF(Binary!J99&gt;=1,"X",0)</f>
        <v>0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X</v>
      </c>
    </row>
    <row r="100" spans="1:13" x14ac:dyDescent="0.3">
      <c r="A100" t="str">
        <f>Binary!A100</f>
        <v>Bryaxis nov. sp.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>
        <f>IF(Binary!F100&gt;=1,"X",0)</f>
        <v>0</v>
      </c>
      <c r="G100" s="137">
        <f>IF(Binary!G100&gt;=1,"X",0)</f>
        <v>0</v>
      </c>
      <c r="H100" s="137" t="str">
        <f>IF(Binary!H100&gt;=1,"X",0)</f>
        <v>X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pumilus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 t="str">
        <f>IF(Binary!E101&gt;=1,"X",0)</f>
        <v>X</v>
      </c>
      <c r="F101" s="137">
        <f>IF(Binary!F101&gt;=1,"X",0)</f>
        <v>0</v>
      </c>
      <c r="G101" s="137">
        <f>IF(Binary!G101&gt;=1,"X",0)</f>
        <v>0</v>
      </c>
      <c r="H101" s="137">
        <f>IF(Binary!H101&gt;=1,"X",0)</f>
        <v>0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sp. (female)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 t="str">
        <f>IF(Binary!F102&gt;=1,"X",0)</f>
        <v>X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Bythinus acutangulus atticus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 xml:space="preserve">*Bythinus icariensis (E) </v>
      </c>
      <c r="B104" s="137">
        <f>IF(Binary!B104&gt;=1,"X",0)</f>
        <v>0</v>
      </c>
      <c r="C104" s="137">
        <f>IF(Binary!C104&gt;=1,"X",0)</f>
        <v>0</v>
      </c>
      <c r="D104" s="137" t="str">
        <f>IF(Binary!D104&gt;=1,"X",0)</f>
        <v>X</v>
      </c>
      <c r="E104" s="137">
        <f>IF(Binary!E104&gt;=1,"X",0)</f>
        <v>0</v>
      </c>
      <c r="F104" s="137">
        <f>IF(Binary!F104&gt;=1,"X",0)</f>
        <v>0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X</v>
      </c>
    </row>
    <row r="105" spans="1:13" x14ac:dyDescent="0.3">
      <c r="A105" t="str">
        <f>Binary!A105</f>
        <v>Bythinus petulans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 t="str">
        <f>IF(Binary!J105&gt;=1,"X",0)</f>
        <v>X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simplicipalpis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 t="str">
        <f>IF(Binary!E106&gt;=1,"X",0)</f>
        <v>X</v>
      </c>
      <c r="F106" s="137" t="str">
        <f>IF(Binary!F106&gt;=1,"X",0)</f>
        <v>X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>Bythinus sp. (female)</v>
      </c>
      <c r="B107" s="137">
        <f>IF(Binary!B107&gt;=1,"X",0)</f>
        <v>0</v>
      </c>
      <c r="C107" s="137">
        <f>IF(Binary!C107&gt;=1,"X",0)</f>
        <v>0</v>
      </c>
      <c r="D107" s="137">
        <f>IF(Binary!D107&gt;=1,"X",0)</f>
        <v>0</v>
      </c>
      <c r="E107" s="137">
        <f>IF(Binary!E107&gt;=1,"X",0)</f>
        <v>0</v>
      </c>
      <c r="F107" s="137" t="str">
        <f>IF(Binary!F107&gt;=1,"X",0)</f>
        <v>X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sp. n.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 t="str">
        <f>IF(Binary!E108&gt;=1,"X",0)</f>
        <v>X</v>
      </c>
      <c r="F108" s="137">
        <f>IF(Binary!F108&gt;=1,"X",0)</f>
        <v>0</v>
      </c>
      <c r="G108" s="137" t="str">
        <f>IF(Binary!G108&gt;=1,"X",0)</f>
        <v>X</v>
      </c>
      <c r="H108" s="137">
        <f>IF(Binary!H108&gt;=1,"X",0)</f>
        <v>0</v>
      </c>
      <c r="I108" s="137">
        <f>IF(Binary!I108&gt;=1,"X",0)</f>
        <v>0</v>
      </c>
      <c r="J108" s="137">
        <f>IF(Binary!J108&gt;=1,"X",0)</f>
        <v>0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tener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>
        <f>IF(Binary!E109&gt;=1,"X",0)</f>
        <v>0</v>
      </c>
      <c r="F109" s="137">
        <f>IF(Binary!F109&gt;=1,"X",0)</f>
        <v>0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 t="str">
        <f>IF(Binary!J109&gt;=1,"X",0)</f>
        <v>X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 xml:space="preserve">Claviger oertzeni (E) 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>
        <f>IF(Binary!F110&gt;=1,"X",0)</f>
        <v>0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X</v>
      </c>
    </row>
    <row r="111" spans="1:13" x14ac:dyDescent="0.3">
      <c r="A111" t="str">
        <f>Binary!A111</f>
        <v>Claviger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>
        <f>IF(Binary!G111&gt;=1,"X",0)</f>
        <v>0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*Claviger sp. (undescribed)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 t="str">
        <f>IF(Binary!E112&gt;=1,"X",0)</f>
        <v>X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>
        <f>IF(Binary!J112&gt;=1,"X",0)</f>
        <v>0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>Ctenistes palpalis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Enoptostomus globulicornis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>
        <f>IF(Binary!E114&gt;=1,"X",0)</f>
        <v>0</v>
      </c>
      <c r="F114" s="137">
        <f>IF(Binary!F114&gt;=1,"X",0)</f>
        <v>0</v>
      </c>
      <c r="G114" s="137" t="str">
        <f>IF(Binary!G114&gt;=1,"X",0)</f>
        <v>X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Euplectus frater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>
        <f>IF(Binary!E115&gt;=1,"X",0)</f>
        <v>0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 t="str">
        <f>IF(Binary!J115&gt;=1,"X",0)</f>
        <v>X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Euplectus jonicus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Euplectus mutator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>
        <f>IF(Binary!G117&gt;=1,"X",0)</f>
        <v>0</v>
      </c>
      <c r="H117" s="137">
        <f>IF(Binary!H117&gt;=1,"X",0)</f>
        <v>0</v>
      </c>
      <c r="I117" s="137">
        <f>IF(Binary!I117&gt;=1,"X",0)</f>
        <v>0</v>
      </c>
      <c r="J117" s="137" t="str">
        <f>IF(Binary!J117&gt;=1,"X",0)</f>
        <v>X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 xml:space="preserve">*Euplectus meybohmi (E) 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 t="str">
        <f>IF(Binary!E118&gt;=1,"X",0)</f>
        <v>X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>
        <f>IF(Binary!J118&gt;=1,"X",0)</f>
        <v>0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X</v>
      </c>
    </row>
    <row r="119" spans="1:13" x14ac:dyDescent="0.3">
      <c r="A119" t="str">
        <f>Binary!A119</f>
        <v>Euplectus verticalis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 t="str">
        <f>IF(Binary!J119&gt;=1,"X",0)</f>
        <v>X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Faronus distinctus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 t="str">
        <f>IF(Binary!E120&gt;=1,"X",0)</f>
        <v>X</v>
      </c>
      <c r="F120" s="137" t="str">
        <f>IF(Binary!F120&gt;=1,"X",0)</f>
        <v>X</v>
      </c>
      <c r="G120" s="137">
        <f>IF(Binary!G120&gt;=1,"X",0)</f>
        <v>0</v>
      </c>
      <c r="H120" s="137" t="str">
        <f>IF(Binary!H120&gt;=1,"X",0)</f>
        <v>X</v>
      </c>
      <c r="I120" s="137">
        <f>IF(Binary!I120&gt;=1,"X",0)</f>
        <v>0</v>
      </c>
      <c r="J120" s="137">
        <f>IF(Binary!J120&gt;=1,"X",0)</f>
        <v>0</v>
      </c>
      <c r="K120" s="137" t="str">
        <f>IF(Binary!K120&gt;=1,"X",0)</f>
        <v>X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*Faronus icariensis (E) </v>
      </c>
      <c r="B121" s="137">
        <f>IF(Binary!B121&gt;=1,"X",0)</f>
        <v>0</v>
      </c>
      <c r="C121" s="137">
        <f>IF(Binary!C121&gt;=1,"X",0)</f>
        <v>0</v>
      </c>
      <c r="D121" s="137" t="str">
        <f>IF(Binary!D121&gt;=1,"X",0)</f>
        <v>X</v>
      </c>
      <c r="E121" s="137">
        <f>IF(Binary!E121&gt;=1,"X",0)</f>
        <v>0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X</v>
      </c>
    </row>
    <row r="122" spans="1:13" x14ac:dyDescent="0.3">
      <c r="A122" t="str">
        <f>Binary!A122</f>
        <v>Faronus nov.sp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 t="str">
        <f>IF(Binary!I122&gt;=1,"X",0)</f>
        <v>X</v>
      </c>
      <c r="J122" s="137">
        <f>IF(Binary!J122&gt;=1,"X",0)</f>
        <v>0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parallelus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>
        <f>IF(Binary!E123&gt;=1,"X",0)</f>
        <v>0</v>
      </c>
      <c r="F123" s="137">
        <f>IF(Binary!F123&gt;=1,"X",0)</f>
        <v>0</v>
      </c>
      <c r="G123" s="137">
        <f>IF(Binary!G123&gt;=1,"X",0)</f>
        <v>0</v>
      </c>
      <c r="H123" s="137">
        <f>IF(Binary!H123&gt;=1,"X",0)</f>
        <v>0</v>
      </c>
      <c r="I123" s="137">
        <f>IF(Binary!I123&gt;=1,"X",0)</f>
        <v>0</v>
      </c>
      <c r="J123" s="137" t="str">
        <f>IF(Binary!J123&gt;=1,"X",0)</f>
        <v>X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>Meliceria acanthifera</v>
      </c>
      <c r="B124" s="137">
        <f>IF(Binary!B124&gt;=1,"X",0)</f>
        <v>0</v>
      </c>
      <c r="C124" s="137">
        <f>IF(Binary!C124&gt;=1,"X",0)</f>
        <v>0</v>
      </c>
      <c r="D124" s="137">
        <f>IF(Binary!D124&gt;=1,"X",0)</f>
        <v>0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 t="str">
        <f>IF(Binary!J124&gt;=1,"X",0)</f>
        <v>X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 xml:space="preserve">*Namunia cavernicola (E) 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 t="str">
        <f>IF(Binary!E125&gt;=1,"X",0)</f>
        <v>X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>
        <f>IF(Binary!I125&gt;=1,"X",0)</f>
        <v>0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X</v>
      </c>
    </row>
    <row r="126" spans="1:13" x14ac:dyDescent="0.3">
      <c r="A126" t="str">
        <f>Binary!A126</f>
        <v>Namunia mymecophila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 t="str">
        <f>IF(Binary!F126&gt;=1,"X",0)</f>
        <v>X</v>
      </c>
      <c r="G126" s="137">
        <f>IF(Binary!G126&gt;=1,"X",0)</f>
        <v>0</v>
      </c>
      <c r="H126" s="137" t="str">
        <f>IF(Binary!H126&gt;=1,"X",0)</f>
        <v>X</v>
      </c>
      <c r="I126" s="137">
        <f>IF(Binary!I126&gt;=1,"X",0)</f>
        <v>0</v>
      </c>
      <c r="J126" s="137">
        <f>IF(Binary!J126&gt;=1,"X",0)</f>
        <v>0</v>
      </c>
      <c r="K126" s="137">
        <f>IF(Binary!K126&gt;=1,"X",0)</f>
        <v>0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Panaphantus atomus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>
        <f>IF(Binary!J127&gt;=1,"X",0)</f>
        <v>0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>Paramaurops sp. n.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Paratychus mendax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 t="str">
        <f>IF(Binary!E129&gt;=1,"X",0)</f>
        <v>X</v>
      </c>
      <c r="F129" s="137" t="str">
        <f>IF(Binary!F129&gt;=1,"X",0)</f>
        <v>X</v>
      </c>
      <c r="G129" s="137">
        <f>IF(Binary!G129&gt;=1,"X",0)</f>
        <v>0</v>
      </c>
      <c r="H129" s="137">
        <f>IF(Binary!H129&gt;=1,"X",0)</f>
        <v>0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 xml:space="preserve">*Paratychus kerkisicus (E) 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 t="str">
        <f>IF(Binary!E130&gt;=1,"X",0)</f>
        <v>X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X</v>
      </c>
    </row>
    <row r="131" spans="1:13" x14ac:dyDescent="0.3">
      <c r="A131" t="str">
        <f>Binary!A131</f>
        <v xml:space="preserve">*Protamaurops assingi (E) 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>
        <f>IF(Binary!E131&gt;=1,"X",0)</f>
        <v>0</v>
      </c>
      <c r="F131" s="137" t="str">
        <f>IF(Binary!F131&gt;=1,"X",0)</f>
        <v>X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X</v>
      </c>
    </row>
    <row r="132" spans="1:13" x14ac:dyDescent="0.3">
      <c r="A132" t="str">
        <f>Binary!A132</f>
        <v>Reichenbachia chevrieri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>
        <f>IF(Binary!E132&gt;=1,"X",0)</f>
        <v>0</v>
      </c>
      <c r="F132" s="137">
        <f>IF(Binary!F132&gt;=1,"X",0)</f>
        <v>0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>Reichenbachia nigriventris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>
        <f>IF(Binary!E133&gt;=1,"X",0)</f>
        <v>0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 t="str">
        <f>IF(Binary!J133&gt;=1,"X",0)</f>
        <v>X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>Rybaxis longicornis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>
        <f>IF(Binary!F134&gt;=1,"X",0)</f>
        <v>0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 t="str">
        <f>IF(Binary!J134&gt;=1,"X",0)</f>
        <v>X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Tribatus creticus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 t="str">
        <f>IF(Binary!E135&gt;=1,"X",0)</f>
        <v>X</v>
      </c>
      <c r="F135" s="137" t="str">
        <f>IF(Binary!F135&gt;=1,"X",0)</f>
        <v>X</v>
      </c>
      <c r="G135" s="137" t="str">
        <f>IF(Binary!G135&gt;=1,"X",0)</f>
        <v>X</v>
      </c>
      <c r="H135" s="137" t="str">
        <f>IF(Binary!H135&gt;=1,"X",0)</f>
        <v>X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Trimium carpathicum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Trimium caucasicum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 t="str">
        <f>IF(Binary!E137&gt;=1,"X",0)</f>
        <v>X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>
        <f>IF(Binary!J137&gt;=1,"X",0)</f>
        <v>0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Trimium expandum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>
        <f>IF(Binary!E138&gt;=1,"X",0)</f>
        <v>0</v>
      </c>
      <c r="F138" s="137">
        <f>IF(Binary!F138&gt;=1,"X",0)</f>
        <v>0</v>
      </c>
      <c r="G138" s="137">
        <f>IF(Binary!G138&gt;=1,"X",0)</f>
        <v>0</v>
      </c>
      <c r="H138" s="137">
        <f>IF(Binary!H138&gt;=1,"X",0)</f>
        <v>0</v>
      </c>
      <c r="I138" s="137">
        <f>IF(Binary!I138&gt;=1,"X",0)</f>
        <v>0</v>
      </c>
      <c r="J138" s="137" t="str">
        <f>IF(Binary!J138&gt;=1,"X",0)</f>
        <v>X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libani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>
        <f>IF(Binary!J139&gt;=1,"X",0)</f>
        <v>0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sp.n. (female)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Trissemus antennatus serricornis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>
        <f>IF(Binary!J141&gt;=1,"X",0)</f>
        <v>0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 xml:space="preserve">*Tychobythinus brachati (E) 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 t="str">
        <f>IF(Binary!E142&gt;=1,"X",0)</f>
        <v>X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X</v>
      </c>
    </row>
    <row r="143" spans="1:13" x14ac:dyDescent="0.3">
      <c r="A143" t="str">
        <f>Binary!A143</f>
        <v>Tychobythinus cavifrons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 t="str">
        <f>'Actual species'!V143</f>
        <v>------------</v>
      </c>
    </row>
    <row r="144" spans="1:13" x14ac:dyDescent="0.3">
      <c r="A144" t="str">
        <f>Binary!A144</f>
        <v>Tychobythinus pauper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>
        <f>IF(Binary!E144&gt;=1,"X",0)</f>
        <v>0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Tychus anatolicus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 t="str">
        <f>IF(Binary!E145&gt;=1,"X",0)</f>
        <v>X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Tychus apfelbecki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 t="str">
        <f>IF(Binary!F146&gt;=1,"X",0)</f>
        <v>X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>Tychus caudatus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>
        <f>IF(Binary!E147&gt;=1,"X",0)</f>
        <v>0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 t="str">
        <f>IF(Binary!J147&gt;=1,"X",0)</f>
        <v>X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 xml:space="preserve">Tychus carpathius (E) 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X</v>
      </c>
    </row>
    <row r="149" spans="1:13" x14ac:dyDescent="0.3">
      <c r="A149" t="str">
        <f>Binary!A149</f>
        <v>Tychus cordiger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 xml:space="preserve">Tychus creticus (E) 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>
        <f>IF(Binary!E150&gt;=1,"X",0)</f>
        <v>0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X</v>
      </c>
    </row>
    <row r="151" spans="1:13" x14ac:dyDescent="0.3">
      <c r="A151" t="str">
        <f>Binary!A151</f>
        <v>Tychus dalmatinus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>
        <f>IF(Binary!F151&gt;=1,"X",0)</f>
        <v>0</v>
      </c>
      <c r="G151" s="137" t="str">
        <f>IF(Binary!G151&gt;=1,"X",0)</f>
        <v>X</v>
      </c>
      <c r="H151" s="137">
        <f>IF(Binary!H151&gt;=1,"X",0)</f>
        <v>0</v>
      </c>
      <c r="I151" s="137">
        <f>IF(Binary!I151&gt;=1,"X",0)</f>
        <v>0</v>
      </c>
      <c r="J151" s="137" t="str">
        <f>IF(Binary!J151&gt;=1,"X",0)</f>
        <v>X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 xml:space="preserve">*Tychus icariensis (E) </v>
      </c>
      <c r="B152" s="137">
        <f>IF(Binary!B152&gt;=1,"X",0)</f>
        <v>0</v>
      </c>
      <c r="C152" s="137">
        <f>IF(Binary!C152&gt;=1,"X",0)</f>
        <v>0</v>
      </c>
      <c r="D152" s="137" t="str">
        <f>IF(Binary!D152&gt;=1,"X",0)</f>
        <v>X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>
        <f>IF(Binary!J152&gt;=1,"X",0)</f>
        <v>0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X</v>
      </c>
    </row>
    <row r="153" spans="1:13" x14ac:dyDescent="0.3">
      <c r="A153" t="str">
        <f>Binary!A153</f>
        <v xml:space="preserve">*Tychus jonicus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X</v>
      </c>
    </row>
    <row r="154" spans="1:13" x14ac:dyDescent="0.3">
      <c r="A154" t="str">
        <f>Binary!A154</f>
        <v xml:space="preserve">Tychus lagrecai (E) 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 t="str">
        <f>IF(Binary!G154&gt;=1,"X",0)</f>
        <v>X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X</v>
      </c>
    </row>
    <row r="155" spans="1:13" x14ac:dyDescent="0.3">
      <c r="A155" t="str">
        <f>Binary!A155</f>
        <v>Tychus laminiger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 t="str">
        <f>IF(Binary!F155&gt;=1,"X",0)</f>
        <v>X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 xml:space="preserve">*Tychus lesbius (E) 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 t="str">
        <f>IF(Binary!F156&gt;=1,"X",0)</f>
        <v>X</v>
      </c>
      <c r="G156" s="137">
        <f>IF(Binary!G156&gt;=1,"X",0)</f>
        <v>0</v>
      </c>
      <c r="H156" s="137">
        <f>IF(Binary!H156&gt;=1,"X",0)</f>
        <v>0</v>
      </c>
      <c r="I156" s="137">
        <f>IF(Binary!I156&gt;=1,"X",0)</f>
        <v>0</v>
      </c>
      <c r="J156" s="137">
        <f>IF(Binary!J156&gt;=1,"X",0)</f>
        <v>0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X</v>
      </c>
    </row>
    <row r="157" spans="1:13" x14ac:dyDescent="0.3">
      <c r="A157" t="str">
        <f>Binary!A157</f>
        <v xml:space="preserve">*Tychus moecha (E) </v>
      </c>
      <c r="B157" s="137">
        <f>IF(Binary!B157&gt;=1,"X",0)</f>
        <v>0</v>
      </c>
      <c r="C157" s="137">
        <f>IF(Binary!C157&gt;=1,"X",0)</f>
        <v>0</v>
      </c>
      <c r="D157" s="137">
        <f>IF(Binary!D157&gt;=1,"X",0)</f>
        <v>0</v>
      </c>
      <c r="E157" s="137">
        <f>IF(Binary!E157&gt;=1,"X",0)</f>
        <v>0</v>
      </c>
      <c r="F157" s="137" t="str">
        <f>IF(Binary!F157&gt;=1,"X",0)</f>
        <v>X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X</v>
      </c>
    </row>
    <row r="158" spans="1:13" x14ac:dyDescent="0.3">
      <c r="A158" t="str">
        <f>Binary!A158</f>
        <v>Tychus n. sp.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 t="str">
        <f>IF(Binary!G158&gt;=1,"X",0)</f>
        <v>X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 t="str">
        <f>IF(Binary!L158&gt;=1,"X",0)</f>
        <v>X</v>
      </c>
      <c r="M158" t="str">
        <f>'Actual species'!V158</f>
        <v>------------</v>
      </c>
    </row>
    <row r="159" spans="1:13" x14ac:dyDescent="0.3">
      <c r="A159" t="str">
        <f>Binary!A159</f>
        <v>Tychus pullus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>
        <f>IF(Binary!G159&gt;=1,"X",0)</f>
        <v>0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 xml:space="preserve">Tychus reitteranus (E) 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>
        <f>IF(Binary!F160&gt;=1,"X",0)</f>
        <v>0</v>
      </c>
      <c r="G160" s="137" t="str">
        <f>IF(Binary!G160&gt;=1,"X",0)</f>
        <v>X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X</v>
      </c>
    </row>
    <row r="161" spans="1:13" x14ac:dyDescent="0.3">
      <c r="A161" t="str">
        <f>Binary!A161</f>
        <v>Tychus rhodensis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>
        <f>IF(Binary!F161&gt;=1,"X",0)</f>
        <v>0</v>
      </c>
      <c r="G161" s="137">
        <f>IF(Binary!G161&gt;=1,"X",0)</f>
        <v>0</v>
      </c>
      <c r="H161" s="137" t="str">
        <f>IF(Binary!H161&gt;=1,"X",0)</f>
        <v>X</v>
      </c>
      <c r="I161" s="137" t="str">
        <f>IF(Binary!I161&gt;=1,"X",0)</f>
        <v>X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>Tychus rufus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>
        <f>IF(Binary!F162&gt;=1,"X",0)</f>
        <v>0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spec. (female)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>
        <f>IF(Binary!G163&gt;=1,"X",0)</f>
        <v>0</v>
      </c>
      <c r="H163" s="137">
        <f>IF(Binary!H163&gt;=1,"X",0)</f>
        <v>0</v>
      </c>
      <c r="I163" s="137">
        <f>IF(Binary!I163&gt;=1,"X",0)</f>
        <v>0</v>
      </c>
      <c r="J163" s="137" t="str">
        <f>IF(Binary!J163&gt;=1,"X",0)</f>
        <v>X</v>
      </c>
      <c r="K163" s="137">
        <f>IF(Binary!K163&gt;=1,"X",0)</f>
        <v>0</v>
      </c>
      <c r="L163" s="137">
        <f>IF(Binary!L163&gt;=1,"X",0)</f>
        <v>0</v>
      </c>
      <c r="M163" t="str">
        <f>'Actual species'!V163</f>
        <v>------------</v>
      </c>
    </row>
    <row r="164" spans="1:13" x14ac:dyDescent="0.3">
      <c r="A164" t="str">
        <f>Binary!A164</f>
        <v xml:space="preserve">*Tychus torticornis (E) 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 t="str">
        <f>IF(Binary!F164&gt;=1,"X",0)</f>
        <v>X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X</v>
      </c>
    </row>
    <row r="165" spans="1:13" x14ac:dyDescent="0.3">
      <c r="A165" t="str">
        <f>Binary!A165</f>
        <v xml:space="preserve">*Tychus triumphator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 t="str">
        <f>IF(Binary!F165&gt;=1,"X",0)</f>
        <v>X</v>
      </c>
      <c r="G165" s="137">
        <f>IF(Binary!G165&gt;=1,"X",0)</f>
        <v>0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X</v>
      </c>
    </row>
    <row r="166" spans="1:13" x14ac:dyDescent="0.3">
      <c r="A166" t="str">
        <f>Binary!A166</f>
        <v xml:space="preserve">*Zoufalia corcyrea (E) 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>
        <f>IF(Binary!H166&gt;=1,"X",0)</f>
        <v>0</v>
      </c>
      <c r="I166" s="137">
        <f>IF(Binary!I166&gt;=1,"X",0)</f>
        <v>0</v>
      </c>
      <c r="J166" s="137" t="str">
        <f>IF(Binary!J166&gt;=1,"X",0)</f>
        <v>X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X</v>
      </c>
    </row>
    <row r="167" spans="1:13" x14ac:dyDescent="0.3">
      <c r="A167" t="str">
        <f>Binary!A167</f>
        <v xml:space="preserve">*Zoufalia nobilis (E) 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X</v>
      </c>
    </row>
    <row r="168" spans="1:13" x14ac:dyDescent="0.3">
      <c r="A168" s="63" t="str">
        <f>Binary!A168</f>
        <v>Phloeocharinae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>Phloeocharis longipennis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 t="str">
        <f>IF(Binary!E169&gt;=1,"X",0)</f>
        <v>X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>Phloeocharis subtilissima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>
        <f>IF(Binary!F170&gt;=1,"X",0)</f>
        <v>0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 t="str">
        <f>IF(Binary!J170&gt;=1,"X",0)</f>
        <v>X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>Tachyporinae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>Bolitobius castaneus castaneus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Bolitobius inclinans</v>
      </c>
      <c r="B173" s="137" t="str">
        <f>IF(Binary!B173&gt;=1,"X",0)</f>
        <v>X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 t="str">
        <f>'Actual species'!V173</f>
        <v>------------</v>
      </c>
    </row>
    <row r="174" spans="1:13" x14ac:dyDescent="0.3">
      <c r="A174" t="str">
        <f>Binary!A174</f>
        <v>Bryoporus multipunctus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>
        <f>IF(Binary!F174&gt;=1,"X",0)</f>
        <v>0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Cilea silphoides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Ischnosoma loebli</v>
      </c>
      <c r="B176" s="137" t="str">
        <f>IF(Binary!B176&gt;=1,"X",0)</f>
        <v>X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 t="str">
        <f>'Actual species'!V176</f>
        <v>------------</v>
      </c>
    </row>
    <row r="177" spans="1:13" x14ac:dyDescent="0.3">
      <c r="A177" t="str">
        <f>Binary!A177</f>
        <v>Ischnosoma longicorne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 t="str">
        <f>IF(Binary!J177&gt;=1,"X",0)</f>
        <v>X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Ischnosoma splendidum</v>
      </c>
      <c r="B178" s="137">
        <f>IF(Binary!B178&gt;=1,"X",0)</f>
        <v>0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Lamprinodes pictus</v>
      </c>
      <c r="B179" s="137" t="str">
        <f>IF(Binary!B179&gt;=1,"X",0)</f>
        <v>X</v>
      </c>
      <c r="C179" s="137">
        <f>IF(Binary!C179&gt;=1,"X",0)</f>
        <v>0</v>
      </c>
      <c r="D179" s="137">
        <f>IF(Binary!D179&gt;=1,"X",0)</f>
        <v>0</v>
      </c>
      <c r="E179" s="137">
        <f>IF(Binary!E179&gt;=1,"X",0)</f>
        <v>0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Lamprinus erythropterus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>
        <f>IF(Binary!J180&gt;=1,"X",0)</f>
        <v>0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Lordithon bimaculatus</v>
      </c>
      <c r="B181" s="137">
        <f>IF(Binary!B181&gt;=1,"X",0)</f>
        <v>0</v>
      </c>
      <c r="C181" s="137">
        <f>IF(Binary!C181&gt;=1,"X",0)</f>
        <v>0</v>
      </c>
      <c r="D181" s="137">
        <f>IF(Binary!D181&gt;=1,"X",0)</f>
        <v>0</v>
      </c>
      <c r="E181" s="137" t="str">
        <f>IF(Binary!E181&gt;=1,"X",0)</f>
        <v>X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Lordithon exoletus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 t="str">
        <f>IF(Binary!F182&gt;=1,"X",0)</f>
        <v>X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Lordithon lunulatus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Lordithon thoracicus</v>
      </c>
      <c r="B184" s="137" t="str">
        <f>IF(Binary!B184&gt;=1,"X",0)</f>
        <v>X</v>
      </c>
      <c r="C184" s="137" t="str">
        <f>IF(Binary!C184&gt;=1,"X",0)</f>
        <v>X</v>
      </c>
      <c r="D184" s="137">
        <f>IF(Binary!D184&gt;=1,"X",0)</f>
        <v>0</v>
      </c>
      <c r="E184" s="137">
        <f>IF(Binary!E184&gt;=1,"X",0)</f>
        <v>0</v>
      </c>
      <c r="F184" s="137" t="str">
        <f>IF(Binary!F184&gt;=1,"X",0)</f>
        <v>X</v>
      </c>
      <c r="G184" s="137">
        <f>IF(Binary!G184&gt;=1,"X",0)</f>
        <v>0</v>
      </c>
      <c r="H184" s="137" t="str">
        <f>IF(Binary!H184&gt;=1,"X",0)</f>
        <v>X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 t="str">
        <f>IF(Binary!L184&gt;=1,"X",0)</f>
        <v>X</v>
      </c>
      <c r="M184" t="str">
        <f>'Actual species'!V184</f>
        <v>------------</v>
      </c>
    </row>
    <row r="185" spans="1:13" x14ac:dyDescent="0.3">
      <c r="A185" t="str">
        <f>Binary!A185</f>
        <v>Lordithon trinotatus</v>
      </c>
      <c r="B185" s="137" t="str">
        <f>IF(Binary!B185&gt;=1,"X",0)</f>
        <v>X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 t="str">
        <f>IF(Binary!F185&gt;=1,"X",0)</f>
        <v>X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Mycetoporus 4 spp.</v>
      </c>
      <c r="B186" s="137" t="str">
        <f>IF(Binary!B186&gt;=1,"X",0)</f>
        <v>X</v>
      </c>
      <c r="C186" s="137">
        <f>IF(Binary!C186&gt;=1,"X",0)</f>
        <v>0</v>
      </c>
      <c r="D186" s="137">
        <f>IF(Binary!D186&gt;=1,"X",0)</f>
        <v>0</v>
      </c>
      <c r="E186" s="137">
        <f>IF(Binary!E186&gt;=1,"X",0)</f>
        <v>0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Mycetoporus ambiguus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>
        <f>IF(Binary!F187&gt;=1,"X",0)</f>
        <v>0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>
        <f>IF(Binary!J187&gt;=1,"X",0)</f>
        <v>0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Mycetoporus baudueri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 t="str">
        <f>IF(Binary!G188&gt;=1,"X",0)</f>
        <v>X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Mycetoporus bimaculatus</v>
      </c>
      <c r="B189" s="137">
        <f>IF(Binary!B189&gt;=1,"X",0)</f>
        <v>0</v>
      </c>
      <c r="C189" s="137">
        <f>IF(Binary!C189&gt;=1,"X",0)</f>
        <v>0</v>
      </c>
      <c r="D189" s="137">
        <f>IF(Binary!D189&gt;=1,"X",0)</f>
        <v>0</v>
      </c>
      <c r="E189" s="137">
        <f>IF(Binary!E189&gt;=1,"X",0)</f>
        <v>0</v>
      </c>
      <c r="F189" s="137">
        <f>IF(Binary!F189&gt;=1,"X",0)</f>
        <v>0</v>
      </c>
      <c r="G189" s="137">
        <f>IF(Binary!G189&gt;=1,"X",0)</f>
        <v>0</v>
      </c>
      <c r="H189" s="137">
        <f>IF(Binary!H189&gt;=1,"X",0)</f>
        <v>0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>
        <f>IF(Binary!L189&gt;=1,"X",0)</f>
        <v>0</v>
      </c>
      <c r="M189" t="str">
        <f>'Actual species'!V189</f>
        <v>------------</v>
      </c>
    </row>
    <row r="190" spans="1:13" x14ac:dyDescent="0.3">
      <c r="A190" t="str">
        <f>Binary!A190</f>
        <v>Mycetoporus bosnicus</v>
      </c>
      <c r="B190" s="137">
        <f>IF(Binary!B190&gt;=1,"X",0)</f>
        <v>0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>
        <f>IF(Binary!F190&gt;=1,"X",0)</f>
        <v>0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brucki</v>
      </c>
      <c r="B191" s="137">
        <f>IF(Binary!B191&gt;=1,"X",0)</f>
        <v>0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cf. bosnicus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cf. confinis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 t="str">
        <f>IF(Binary!E193&gt;=1,"X",0)</f>
        <v>X</v>
      </c>
      <c r="F193" s="137">
        <f>IF(Binary!F193&gt;=1,"X",0)</f>
        <v>0</v>
      </c>
      <c r="G193" s="137">
        <f>IF(Binary!G193&gt;=1,"X",0)</f>
        <v>0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cf. erichsonanus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cf. glaber</v>
      </c>
      <c r="B195" s="137" t="str">
        <f>IF(Binary!B195&gt;=1,"X",0)</f>
        <v>X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cf. Nigricollis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simillimus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 t="str">
        <f>IF(Binary!E197&gt;=1,"X",0)</f>
        <v>X</v>
      </c>
      <c r="F197" s="137">
        <f>IF(Binary!F197&gt;=1,"X",0)</f>
        <v>0</v>
      </c>
      <c r="G197" s="137" t="str">
        <f>IF(Binary!G197&gt;=1,"X",0)</f>
        <v>X</v>
      </c>
      <c r="H197" s="137" t="str">
        <f>IF(Binary!H197&gt;=1,"X",0)</f>
        <v>X</v>
      </c>
      <c r="I197" s="137" t="str">
        <f>IF(Binary!I197&gt;=1,"X",0)</f>
        <v>X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clavicornis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>
        <f>IF(Binary!E198&gt;=1,"X",0)</f>
        <v>0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confinis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 t="str">
        <f>IF(Binary!E199&gt;=1,"X",0)</f>
        <v>X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 t="str">
        <f>IF(Binary!I199&gt;=1,"X",0)</f>
        <v>X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dispersus</v>
      </c>
      <c r="B200" s="137">
        <f>IF(Binary!B200&gt;=1,"X",0)</f>
        <v>0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 t="str">
        <f>IF(Binary!G200&gt;=1,"X",0)</f>
        <v>X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erichsonanus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forticornis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>
        <f>IF(Binary!E202&gt;=1,"X",0)</f>
        <v>0</v>
      </c>
      <c r="F202" s="137">
        <f>IF(Binary!F202&gt;=1,"X",0)</f>
        <v>0</v>
      </c>
      <c r="G202" s="137">
        <f>IF(Binary!G202&gt;=1,"X",0)</f>
        <v>0</v>
      </c>
      <c r="H202" s="137">
        <f>IF(Binary!H202&gt;=1,"X",0)</f>
        <v>0</v>
      </c>
      <c r="I202" s="137">
        <f>IF(Binary!I202&gt;=1,"X",0)</f>
        <v>0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glaber glaber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 t="str">
        <f>IF(Binary!K203&gt;=1,"X",0)</f>
        <v>X</v>
      </c>
      <c r="L203" s="137" t="str">
        <f>IF(Binary!L203&gt;=1,"X",0)</f>
        <v>X</v>
      </c>
      <c r="M203" t="str">
        <f>'Actual species'!V203</f>
        <v>------------</v>
      </c>
    </row>
    <row r="204" spans="1:13" x14ac:dyDescent="0.3">
      <c r="A204" t="str">
        <f>Binary!A204</f>
        <v>Mycetoporus ignidorsum</v>
      </c>
      <c r="B204" s="137">
        <f>IF(Binary!B204&gt;=1,"X",0)</f>
        <v>0</v>
      </c>
      <c r="C204" s="137" t="str">
        <f>IF(Binary!C204&gt;=1,"X",0)</f>
        <v>X</v>
      </c>
      <c r="D204" s="137">
        <f>IF(Binary!D204&gt;=1,"X",0)</f>
        <v>0</v>
      </c>
      <c r="E204" s="137" t="str">
        <f>IF(Binary!E204&gt;=1,"X",0)</f>
        <v>X</v>
      </c>
      <c r="F204" s="137" t="str">
        <f>IF(Binary!F204&gt;=1,"X",0)</f>
        <v>X</v>
      </c>
      <c r="G204" s="137" t="str">
        <f>IF(Binary!G204&gt;=1,"X",0)</f>
        <v>X</v>
      </c>
      <c r="H204" s="137">
        <f>IF(Binary!H204&gt;=1,"X",0)</f>
        <v>0</v>
      </c>
      <c r="I204" s="137" t="str">
        <f>IF(Binary!I204&gt;=1,"X",0)</f>
        <v>X</v>
      </c>
      <c r="J204" s="137" t="str">
        <f>IF(Binary!J204&gt;=1,"X",0)</f>
        <v>X</v>
      </c>
      <c r="K204" s="137">
        <f>IF(Binary!K204&gt;=1,"X",0)</f>
        <v>0</v>
      </c>
      <c r="L204" s="137" t="str">
        <f>IF(Binary!L204&gt;=1,"X",0)</f>
        <v>X</v>
      </c>
      <c r="M204" t="str">
        <f>'Actual species'!V204</f>
        <v>------------</v>
      </c>
    </row>
    <row r="205" spans="1:13" x14ac:dyDescent="0.3">
      <c r="A205" t="str">
        <f>Binary!A205</f>
        <v>Mycetoporus imperialis</v>
      </c>
      <c r="B205" s="137">
        <f>IF(Binary!B205&gt;=1,"X",0)</f>
        <v>0</v>
      </c>
      <c r="C205" s="137">
        <f>IF(Binary!C205&gt;=1,"X",0)</f>
        <v>0</v>
      </c>
      <c r="D205" s="137" t="str">
        <f>IF(Binary!D205&gt;=1,"X",0)</f>
        <v>X</v>
      </c>
      <c r="E205" s="137" t="str">
        <f>IF(Binary!E205&gt;=1,"X",0)</f>
        <v>X</v>
      </c>
      <c r="F205" s="137" t="str">
        <f>IF(Binary!F205&gt;=1,"X",0)</f>
        <v>X</v>
      </c>
      <c r="G205" s="137">
        <f>IF(Binary!G205&gt;=1,"X",0)</f>
        <v>0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 t="str">
        <f>'Actual species'!V205</f>
        <v>------------</v>
      </c>
    </row>
    <row r="206" spans="1:13" x14ac:dyDescent="0.3">
      <c r="A206" t="str">
        <f>Binary!A206</f>
        <v>Mycetoporus jonicus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 t="str">
        <f>IF(Binary!I206&gt;=1,"X",0)</f>
        <v>X</v>
      </c>
      <c r="J206" s="137" t="str">
        <f>IF(Binary!J206&gt;=1,"X",0)</f>
        <v>X</v>
      </c>
      <c r="K206" s="137">
        <f>IF(Binary!K206&gt;=1,"X",0)</f>
        <v>0</v>
      </c>
      <c r="L206" s="137">
        <f>IF(Binary!L206&gt;=1,"X",0)</f>
        <v>0</v>
      </c>
      <c r="M206" t="str">
        <f>'Actual species'!V206</f>
        <v>------------</v>
      </c>
    </row>
    <row r="207" spans="1:13" x14ac:dyDescent="0.3">
      <c r="A207" t="str">
        <f>Binary!A207</f>
        <v>Mycetoporus longulus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macrocephalus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 t="str">
        <f>IF(Binary!E208&gt;=1,"X",0)</f>
        <v>X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 t="str">
        <f>IF(Binary!J208&gt;=1,"X",0)</f>
        <v>X</v>
      </c>
      <c r="K208" s="137">
        <f>IF(Binary!K208&gt;=1,"X",0)</f>
        <v>0</v>
      </c>
      <c r="L208" s="137">
        <f>IF(Binary!L208&gt;=1,"X",0)</f>
        <v>0</v>
      </c>
      <c r="M208" t="str">
        <f>'Actual species'!V208</f>
        <v>------------</v>
      </c>
    </row>
    <row r="209" spans="1:13" x14ac:dyDescent="0.3">
      <c r="A209" t="str">
        <f>Binary!A209</f>
        <v>Mycetoporus monticola</v>
      </c>
      <c r="B209" s="137">
        <f>IF(Binary!B209&gt;=1,"X",0)</f>
        <v>0</v>
      </c>
      <c r="C209" s="137">
        <f>IF(Binary!C209&gt;=1,"X",0)</f>
        <v>0</v>
      </c>
      <c r="D209" s="137">
        <f>IF(Binary!D209&gt;=1,"X",0)</f>
        <v>0</v>
      </c>
      <c r="E209" s="137" t="str">
        <f>IF(Binary!E209&gt;=1,"X",0)</f>
        <v>X</v>
      </c>
      <c r="F209" s="137">
        <f>IF(Binary!F209&gt;=1,"X",0)</f>
        <v>0</v>
      </c>
      <c r="G209" s="137">
        <f>IF(Binary!G209&gt;=1,"X",0)</f>
        <v>0</v>
      </c>
      <c r="H209" s="137">
        <f>IF(Binary!H209&gt;=1,"X",0)</f>
        <v>0</v>
      </c>
      <c r="I209" s="137">
        <f>IF(Binary!I209&gt;=1,"X",0)</f>
        <v>0</v>
      </c>
      <c r="J209" s="137">
        <f>IF(Binary!J209&gt;=1,"X",0)</f>
        <v>0</v>
      </c>
      <c r="K209" s="137">
        <f>IF(Binary!K209&gt;=1,"X",0)</f>
        <v>0</v>
      </c>
      <c r="L209" s="137">
        <f>IF(Binary!L209&gt;=1,"X",0)</f>
        <v>0</v>
      </c>
      <c r="M209" t="str">
        <f>'Actual species'!V209</f>
        <v>------------</v>
      </c>
    </row>
    <row r="210" spans="1:13" x14ac:dyDescent="0.3">
      <c r="A210" t="str">
        <f>Binary!A210</f>
        <v>Mycetoporus mulsanti</v>
      </c>
      <c r="B210" s="137">
        <f>IF(Binary!B210&gt;=1,"X",0)</f>
        <v>0</v>
      </c>
      <c r="C210" s="137" t="str">
        <f>IF(Binary!C210&gt;=1,"X",0)</f>
        <v>X</v>
      </c>
      <c r="D210" s="137">
        <f>IF(Binary!D210&gt;=1,"X",0)</f>
        <v>0</v>
      </c>
      <c r="E210" s="137">
        <f>IF(Binary!E210&gt;=1,"X",0)</f>
        <v>0</v>
      </c>
      <c r="F210" s="137">
        <f>IF(Binary!F210&gt;=1,"X",0)</f>
        <v>0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nr. altaicus</v>
      </c>
      <c r="B211" s="137">
        <f>IF(Binary!B211&gt;=1,"X",0)</f>
        <v>0</v>
      </c>
      <c r="C211" s="137" t="str">
        <f>IF(Binary!C211&gt;=1,"X",0)</f>
        <v>X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>
        <f>IF(Binary!I211&gt;=1,"X",0)</f>
        <v>0</v>
      </c>
      <c r="J211" s="137">
        <f>IF(Binary!J211&gt;=1,"X",0)</f>
        <v>0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punctipennis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punctus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>
        <f>IF(Binary!E213&gt;=1,"X",0)</f>
        <v>0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>
        <f>IF(Binary!J213&gt;=1,"X",0)</f>
        <v>0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reichei</v>
      </c>
      <c r="B214" s="137">
        <f>IF(Binary!B214&gt;=1,"X",0)</f>
        <v>0</v>
      </c>
      <c r="C214" s="137">
        <f>IF(Binary!C214&gt;=1,"X",0)</f>
        <v>0</v>
      </c>
      <c r="D214" s="137" t="str">
        <f>IF(Binary!D214&gt;=1,"X",0)</f>
        <v>X</v>
      </c>
      <c r="E214" s="137" t="str">
        <f>IF(Binary!E214&gt;=1,"X",0)</f>
        <v>X</v>
      </c>
      <c r="F214" s="137" t="str">
        <f>IF(Binary!F214&gt;=1,"X",0)</f>
        <v>X</v>
      </c>
      <c r="G214" s="137" t="str">
        <f>IF(Binary!G214&gt;=1,"X",0)</f>
        <v>X</v>
      </c>
      <c r="H214" s="137">
        <f>IF(Binary!H214&gt;=1,"X",0)</f>
        <v>0</v>
      </c>
      <c r="I214" s="137" t="str">
        <f>IF(Binary!I214&gt;=1,"X",0)</f>
        <v>X</v>
      </c>
      <c r="J214" s="137" t="str">
        <f>IF(Binary!J214&gt;=1,"X",0)</f>
        <v>X</v>
      </c>
      <c r="K214" s="137" t="str">
        <f>IF(Binary!K214&gt;=1,"X",0)</f>
        <v>X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rufescens</v>
      </c>
      <c r="B215" s="137" t="str">
        <f>IF(Binary!B215&gt;=1,"X",0)</f>
        <v>X</v>
      </c>
      <c r="C215" s="137">
        <f>IF(Binary!C215&gt;=1,"X",0)</f>
        <v>0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simillimus</v>
      </c>
      <c r="B216" s="137">
        <f>IF(Binary!B216&gt;=1,"X",0)</f>
        <v>0</v>
      </c>
      <c r="C216" s="137">
        <f>IF(Binary!C216&gt;=1,"X",0)</f>
        <v>0</v>
      </c>
      <c r="D216" s="137" t="str">
        <f>IF(Binary!D216&gt;=1,"X",0)</f>
        <v>X</v>
      </c>
      <c r="E216" s="137" t="str">
        <f>IF(Binary!E216&gt;=1,"X",0)</f>
        <v>X</v>
      </c>
      <c r="F216" s="137" t="str">
        <f>IF(Binary!F216&gt;=1,"X",0)</f>
        <v>X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 t="str">
        <f>IF(Binary!J216&gt;=1,"X",0)</f>
        <v>X</v>
      </c>
      <c r="K216" s="137" t="str">
        <f>IF(Binary!K216&gt;=1,"X",0)</f>
        <v>X</v>
      </c>
      <c r="L216" s="137" t="str">
        <f>IF(Binary!L216&gt;=1,"X",0)</f>
        <v>X</v>
      </c>
      <c r="M216" t="str">
        <f>'Actual species'!V216</f>
        <v>------------</v>
      </c>
    </row>
    <row r="217" spans="1:13" x14ac:dyDescent="0.3">
      <c r="A217" t="str">
        <f>Binary!A217</f>
        <v>Mycetoporus sp.</v>
      </c>
      <c r="B217" s="137">
        <f>IF(Binary!B217&gt;=1,"X",0)</f>
        <v>0</v>
      </c>
      <c r="C217" s="137" t="str">
        <f>IF(Binary!C217&gt;=1,"X",0)</f>
        <v>X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 t="str">
        <f>'Actual species'!V217</f>
        <v>------------</v>
      </c>
    </row>
    <row r="218" spans="1:13" x14ac:dyDescent="0.3">
      <c r="A218" t="str">
        <f>Binary!A218</f>
        <v>Mycetoporus sp. (bauderi group)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 t="str">
        <f>IF(Binary!G218&gt;=1,"X",0)</f>
        <v>X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sp. (bauderi group, female)</v>
      </c>
      <c r="B219" s="137">
        <f>IF(Binary!B219&gt;=1,"X",0)</f>
        <v>0</v>
      </c>
      <c r="C219" s="137">
        <f>IF(Binary!C219&gt;=1,"X",0)</f>
        <v>0</v>
      </c>
      <c r="D219" s="137">
        <f>IF(Binary!D219&gt;=1,"X",0)</f>
        <v>0</v>
      </c>
      <c r="E219" s="137" t="str">
        <f>IF(Binary!E219&gt;=1,"X",0)</f>
        <v>X</v>
      </c>
      <c r="F219" s="137">
        <f>IF(Binary!F219&gt;=1,"X",0)</f>
        <v>0</v>
      </c>
      <c r="G219" s="137">
        <f>IF(Binary!G219&gt;=1,"X",0)</f>
        <v>0</v>
      </c>
      <c r="H219" s="137">
        <f>IF(Binary!H219&gt;=1,"X",0)</f>
        <v>0</v>
      </c>
      <c r="I219" s="137">
        <f>IF(Binary!I219&gt;=1,"X",0)</f>
        <v>0</v>
      </c>
      <c r="J219" s="137">
        <f>IF(Binary!J219&gt;=1,"X",0)</f>
        <v>0</v>
      </c>
      <c r="K219" s="137">
        <f>IF(Binary!K219&gt;=1,"X",0)</f>
        <v>0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sp. aff. Bosnicus</v>
      </c>
      <c r="B220" s="137">
        <f>IF(Binary!B220&gt;=1,"X",0)</f>
        <v>0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 t="str">
        <f>IF(Binary!G220&gt;=1,"X",0)</f>
        <v>X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 t="str">
        <f>'Actual species'!V220</f>
        <v>------------</v>
      </c>
    </row>
    <row r="221" spans="1:13" x14ac:dyDescent="0.3">
      <c r="A221" t="str">
        <f>Binary!A221</f>
        <v>Parabolitobius inclinans</v>
      </c>
      <c r="B221" s="137">
        <f>IF(Binary!B221&gt;=1,"X",0)</f>
        <v>0</v>
      </c>
      <c r="C221" s="137">
        <f>IF(Binary!C221&gt;=1,"X",0)</f>
        <v>0</v>
      </c>
      <c r="D221" s="137">
        <f>IF(Binary!D221&gt;=1,"X",0)</f>
        <v>0</v>
      </c>
      <c r="E221" s="137">
        <f>IF(Binary!E221&gt;=1,"X",0)</f>
        <v>0</v>
      </c>
      <c r="F221" s="137">
        <f>IF(Binary!F221&gt;=1,"X",0)</f>
        <v>0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>
        <f>IF(Binary!K221&gt;=1,"X",0)</f>
        <v>0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Sepedophilus apfelbecki</v>
      </c>
      <c r="B222" s="137">
        <f>IF(Binary!B222&gt;=1,"X",0)</f>
        <v>0</v>
      </c>
      <c r="C222" s="137">
        <f>IF(Binary!C222&gt;=1,"X",0)</f>
        <v>0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 t="str">
        <f>IF(Binary!J222&gt;=1,"X",0)</f>
        <v>X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Sepedophilus binotatus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>
        <f>IF(Binary!G223&gt;=1,"X",0)</f>
        <v>0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Sepedophilus cf. apfelbecki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>
        <f>IF(Binary!E224&gt;=1,"X",0)</f>
        <v>0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Sepedophilus immaculatus</v>
      </c>
      <c r="B225" s="137" t="str">
        <f>IF(Binary!B225&gt;=1,"X",0)</f>
        <v>X</v>
      </c>
      <c r="C225" s="137">
        <f>IF(Binary!C225&gt;=1,"X",0)</f>
        <v>0</v>
      </c>
      <c r="D225" s="137">
        <f>IF(Binary!D225&gt;=1,"X",0)</f>
        <v>0</v>
      </c>
      <c r="E225" s="137" t="str">
        <f>IF(Binary!E225&gt;=1,"X",0)</f>
        <v>X</v>
      </c>
      <c r="F225" s="137" t="str">
        <f>IF(Binary!F225&gt;=1,"X",0)</f>
        <v>X</v>
      </c>
      <c r="G225" s="137">
        <f>IF(Binary!G225&gt;=1,"X",0)</f>
        <v>0</v>
      </c>
      <c r="H225" s="137" t="str">
        <f>IF(Binary!H225&gt;=1,"X",0)</f>
        <v>X</v>
      </c>
      <c r="I225" s="137">
        <f>IF(Binary!I225&gt;=1,"X",0)</f>
        <v>0</v>
      </c>
      <c r="J225" s="137" t="str">
        <f>IF(Binary!J225&gt;=1,"X",0)</f>
        <v>X</v>
      </c>
      <c r="K225" s="137" t="str">
        <f>IF(Binary!K225&gt;=1,"X",0)</f>
        <v>X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Sepedophilus obtusus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 t="str">
        <f>IF(Binary!E226&gt;=1,"X",0)</f>
        <v>X</v>
      </c>
      <c r="F226" s="137" t="str">
        <f>IF(Binary!F226&gt;=1,"X",0)</f>
        <v>X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 t="str">
        <f>IF(Binary!K226&gt;=1,"X",0)</f>
        <v>X</v>
      </c>
      <c r="L226" s="137">
        <f>IF(Binary!L226&gt;=1,"X",0)</f>
        <v>0</v>
      </c>
      <c r="M226" t="str">
        <f>'Actual species'!V226</f>
        <v>------------</v>
      </c>
    </row>
    <row r="227" spans="1:13" x14ac:dyDescent="0.3">
      <c r="A227" t="str">
        <f>Binary!A227</f>
        <v>Sepedophilus sp.</v>
      </c>
      <c r="B227" s="137" t="str">
        <f>IF(Binary!B227&gt;=1,"X",0)</f>
        <v>X</v>
      </c>
      <c r="C227" s="137" t="str">
        <f>IF(Binary!C227&gt;=1,"X",0)</f>
        <v>X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>
        <f>IF(Binary!J227&gt;=1,"X",0)</f>
        <v>0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testaceus</v>
      </c>
      <c r="B228" s="137" t="str">
        <f>IF(Binary!B228&gt;=1,"X",0)</f>
        <v>X</v>
      </c>
      <c r="C228" s="137">
        <f>IF(Binary!C228&gt;=1,"X",0)</f>
        <v>0</v>
      </c>
      <c r="D228" s="137">
        <f>IF(Binary!D228&gt;=1,"X",0)</f>
        <v>0</v>
      </c>
      <c r="E228" s="137" t="str">
        <f>IF(Binary!E228&gt;=1,"X",0)</f>
        <v>X</v>
      </c>
      <c r="F228" s="137" t="str">
        <f>IF(Binary!F228&gt;=1,"X",0)</f>
        <v>X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 t="str">
        <f>IF(Binary!J228&gt;=1,"X",0)</f>
        <v>X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Tachinus bonvouloiri</v>
      </c>
      <c r="B229" s="137" t="str">
        <f>IF(Binary!B229&gt;=1,"X",0)</f>
        <v>X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 t="str">
        <f>IF(Binary!G229&gt;=1,"X",0)</f>
        <v>X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Tachnius corticinus</v>
      </c>
      <c r="B230" s="137">
        <f>IF(Binary!B230&gt;=1,"X",0)</f>
        <v>0</v>
      </c>
      <c r="C230" s="137">
        <f>IF(Binary!C230&gt;=1,"X",0)</f>
        <v>0</v>
      </c>
      <c r="D230" s="137">
        <f>IF(Binary!D230&gt;=1,"X",0)</f>
        <v>0</v>
      </c>
      <c r="E230" s="137">
        <f>IF(Binary!E230&gt;=1,"X",0)</f>
        <v>0</v>
      </c>
      <c r="F230" s="137" t="str">
        <f>IF(Binary!F230&gt;=1,"X",0)</f>
        <v>X</v>
      </c>
      <c r="G230" s="137">
        <f>IF(Binary!G230&gt;=1,"X",0)</f>
        <v>0</v>
      </c>
      <c r="H230" s="137">
        <f>IF(Binary!H230&gt;=1,"X",0)</f>
        <v>0</v>
      </c>
      <c r="I230" s="137">
        <f>IF(Binary!I230&gt;=1,"X",0)</f>
        <v>0</v>
      </c>
      <c r="J230" s="137">
        <f>IF(Binary!J230&gt;=1,"X",0)</f>
        <v>0</v>
      </c>
      <c r="K230" s="137">
        <f>IF(Binary!K230&gt;=1,"X",0)</f>
        <v>0</v>
      </c>
      <c r="L230" s="137">
        <f>IF(Binary!L230&gt;=1,"X",0)</f>
        <v>0</v>
      </c>
      <c r="M230" t="str">
        <f>'Actual species'!V230</f>
        <v>------------</v>
      </c>
    </row>
    <row r="231" spans="1:13" x14ac:dyDescent="0.3">
      <c r="A231" t="str">
        <f>Binary!A231</f>
        <v>Tachinus discoideus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>
        <f>IF(Binary!E231&gt;=1,"X",0)</f>
        <v>0</v>
      </c>
      <c r="F231" s="137">
        <f>IF(Binary!F231&gt;=1,"X",0)</f>
        <v>0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>
        <f>IF(Binary!J231&gt;=1,"X",0)</f>
        <v>0</v>
      </c>
      <c r="K231" s="137">
        <f>IF(Binary!K231&gt;=1,"X",0)</f>
        <v>0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Tachinus laticollis</v>
      </c>
      <c r="B232" s="137">
        <f>IF(Binary!B232&gt;=1,"X",0)</f>
        <v>0</v>
      </c>
      <c r="C232" s="137">
        <f>IF(Binary!C232&gt;=1,"X",0)</f>
        <v>0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Tachinus rufipes</v>
      </c>
      <c r="B233" s="137">
        <f>IF(Binary!B233&gt;=1,"X",0)</f>
        <v>0</v>
      </c>
      <c r="C233" s="137">
        <f>IF(Binary!C233&gt;=1,"X",0)</f>
        <v>0</v>
      </c>
      <c r="D233" s="137">
        <f>IF(Binary!D233&gt;=1,"X",0)</f>
        <v>0</v>
      </c>
      <c r="E233" s="137">
        <f>IF(Binary!E233&gt;=1,"X",0)</f>
        <v>0</v>
      </c>
      <c r="F233" s="137">
        <f>IF(Binary!F233&gt;=1,"X",0)</f>
        <v>0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scapularis</v>
      </c>
      <c r="B234" s="137">
        <f>IF(Binary!B234&gt;=1,"X",0)</f>
        <v>0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>
        <f>IF(Binary!G234&gt;=1,"X",0)</f>
        <v>0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 t="str">
        <f>'Actual species'!V234</f>
        <v>------------</v>
      </c>
    </row>
    <row r="235" spans="1:13" x14ac:dyDescent="0.3">
      <c r="A235" t="str">
        <f>Binary!A235</f>
        <v>Tachyporus abner</v>
      </c>
      <c r="B235" s="137" t="str">
        <f>IF(Binary!B235&gt;=1,"X",0)</f>
        <v>X</v>
      </c>
      <c r="C235" s="137">
        <f>IF(Binary!C235&gt;=1,"X",0)</f>
        <v>0</v>
      </c>
      <c r="D235" s="137">
        <f>IF(Binary!D235&gt;=1,"X",0)</f>
        <v>0</v>
      </c>
      <c r="E235" s="137" t="str">
        <f>IF(Binary!E235&gt;=1,"X",0)</f>
        <v>X</v>
      </c>
      <c r="F235" s="137" t="str">
        <f>IF(Binary!F235&gt;=1,"X",0)</f>
        <v>X</v>
      </c>
      <c r="G235" s="137" t="str">
        <f>IF(Binary!G235&gt;=1,"X",0)</f>
        <v>X</v>
      </c>
      <c r="H235" s="137" t="str">
        <f>IF(Binary!H235&gt;=1,"X",0)</f>
        <v>X</v>
      </c>
      <c r="I235" s="137" t="str">
        <f>IF(Binary!I235&gt;=1,"X",0)</f>
        <v>X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Tachyporus assingi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 t="str">
        <f>IF(Binary!J236&gt;=1,"X",0)</f>
        <v>X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Tachyporus atriceps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 t="str">
        <f>IF(Binary!J237&gt;=1,"X",0)</f>
        <v>X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Tachyporus caucasicus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 t="str">
        <f>IF(Binary!E238&gt;=1,"X",0)</f>
        <v>X</v>
      </c>
      <c r="F238" s="137" t="str">
        <f>IF(Binary!F238&gt;=1,"X",0)</f>
        <v>X</v>
      </c>
      <c r="G238" s="137" t="str">
        <f>IF(Binary!G238&gt;=1,"X",0)</f>
        <v>X</v>
      </c>
      <c r="H238" s="137" t="str">
        <f>IF(Binary!H238&gt;=1,"X",0)</f>
        <v>X</v>
      </c>
      <c r="I238" s="137">
        <f>IF(Binary!I238&gt;=1,"X",0)</f>
        <v>0</v>
      </c>
      <c r="J238" s="137" t="str">
        <f>IF(Binary!J238&gt;=1,"X",0)</f>
        <v>X</v>
      </c>
      <c r="K238" s="137" t="str">
        <f>IF(Binary!K238&gt;=1,"X",0)</f>
        <v>X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Tachyporus chrysomelinus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 t="str">
        <f>IF(Binary!J239&gt;=1,"X",0)</f>
        <v>X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 xml:space="preserve">Tachyporus hypnorum 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>
        <f>IF(Binary!E240&gt;=1,"X",0)</f>
        <v>0</v>
      </c>
      <c r="F240" s="137">
        <f>IF(Binary!F240&gt;=1,"X",0)</f>
        <v>0</v>
      </c>
      <c r="G240" s="137" t="str">
        <f>IF(Binary!G240&gt;=1,"X",0)</f>
        <v>X</v>
      </c>
      <c r="H240" s="137" t="str">
        <f>IF(Binary!H240&gt;=1,"X",0)</f>
        <v>X</v>
      </c>
      <c r="I240" s="137">
        <f>IF(Binary!I240&gt;=1,"X",0)</f>
        <v>0</v>
      </c>
      <c r="J240" s="137" t="str">
        <f>IF(Binary!J240&gt;=1,"X",0)</f>
        <v>X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nitidulus</v>
      </c>
      <c r="B241" s="137" t="str">
        <f>IF(Binary!B241&gt;=1,"X",0)</f>
        <v>X</v>
      </c>
      <c r="C241" s="137">
        <f>IF(Binary!C241&gt;=1,"X",0)</f>
        <v>0</v>
      </c>
      <c r="D241" s="137" t="str">
        <f>IF(Binary!D241&gt;=1,"X",0)</f>
        <v>X</v>
      </c>
      <c r="E241" s="137" t="str">
        <f>IF(Binary!E241&gt;=1,"X",0)</f>
        <v>X</v>
      </c>
      <c r="F241" s="137" t="str">
        <f>IF(Binary!F241&gt;=1,"X",0)</f>
        <v>X</v>
      </c>
      <c r="G241" s="137" t="str">
        <f>IF(Binary!G241&gt;=1,"X",0)</f>
        <v>X</v>
      </c>
      <c r="H241" s="137" t="str">
        <f>IF(Binary!H241&gt;=1,"X",0)</f>
        <v>X</v>
      </c>
      <c r="I241" s="137" t="str">
        <f>IF(Binary!I241&gt;=1,"X",0)</f>
        <v>X</v>
      </c>
      <c r="J241" s="137" t="str">
        <f>IF(Binary!J241&gt;=1,"X",0)</f>
        <v>X</v>
      </c>
      <c r="K241" s="137" t="str">
        <f>IF(Binary!K241&gt;=1,"X",0)</f>
        <v>X</v>
      </c>
      <c r="L241" s="137" t="str">
        <f>IF(Binary!L241&gt;=1,"X",0)</f>
        <v>X</v>
      </c>
      <c r="M241" t="str">
        <f>'Actual species'!V241</f>
        <v>------------</v>
      </c>
    </row>
    <row r="242" spans="1:13" x14ac:dyDescent="0.3">
      <c r="A242" t="str">
        <f>Binary!A242</f>
        <v>Tachyporus pusillus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 t="str">
        <f>IF(Binary!F242&gt;=1,"X",0)</f>
        <v>X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>
        <f>IF(Binary!J242&gt;=1,"X",0)</f>
        <v>0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scitulus</v>
      </c>
      <c r="B243" s="137">
        <f>IF(Binary!B243&gt;=1,"X",0)</f>
        <v>0</v>
      </c>
      <c r="C243" s="137" t="str">
        <f>IF(Binary!C243&gt;=1,"X",0)</f>
        <v>X</v>
      </c>
      <c r="D243" s="137">
        <f>IF(Binary!D243&gt;=1,"X",0)</f>
        <v>0</v>
      </c>
      <c r="E243" s="137">
        <f>IF(Binary!E243&gt;=1,"X",0)</f>
        <v>0</v>
      </c>
      <c r="F243" s="137">
        <f>IF(Binary!F243&gt;=1,"X",0)</f>
        <v>0</v>
      </c>
      <c r="G243" s="137">
        <f>IF(Binary!G243&gt;=1,"X",0)</f>
        <v>0</v>
      </c>
      <c r="H243" s="137">
        <f>IF(Binary!H243&gt;=1,"X",0)</f>
        <v>0</v>
      </c>
      <c r="I243" s="137">
        <f>IF(Binary!I243&gt;=1,"X",0)</f>
        <v>0</v>
      </c>
      <c r="J243" s="137">
        <f>IF(Binary!J243&gt;=1,"X",0)</f>
        <v>0</v>
      </c>
      <c r="K243" s="137">
        <f>IF(Binary!K243&gt;=1,"X",0)</f>
        <v>0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solutus</v>
      </c>
      <c r="B244" s="137">
        <f>IF(Binary!B244&gt;=1,"X",0)</f>
        <v>0</v>
      </c>
      <c r="C244" s="137" t="str">
        <f>IF(Binary!C244&gt;=1,"X",0)</f>
        <v>X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>
        <f>IF(Binary!J244&gt;=1,"X",0)</f>
        <v>0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>Trichophyinae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Trichophya pilicornis</v>
      </c>
      <c r="B246" s="137" t="str">
        <f>IF(Binary!B246&gt;=1,"X",0)</f>
        <v>X</v>
      </c>
      <c r="C246" s="137">
        <f>IF(Binary!C246&gt;=1,"X",0)</f>
        <v>0</v>
      </c>
      <c r="D246" s="137">
        <f>IF(Binary!D246&gt;=1,"X",0)</f>
        <v>0</v>
      </c>
      <c r="E246" s="137">
        <f>IF(Binary!E246&gt;=1,"X",0)</f>
        <v>0</v>
      </c>
      <c r="F246" s="137">
        <f>IF(Binary!F246&gt;=1,"X",0)</f>
        <v>0</v>
      </c>
      <c r="G246" s="137">
        <f>IF(Binary!G246&gt;=1,"X",0)</f>
        <v>0</v>
      </c>
      <c r="H246" s="137">
        <f>IF(Binary!H246&gt;=1,"X",0)</f>
        <v>0</v>
      </c>
      <c r="I246" s="137">
        <f>IF(Binary!I246&gt;=1,"X",0)</f>
        <v>0</v>
      </c>
      <c r="J246" s="137">
        <f>IF(Binary!J246&gt;=1,"X",0)</f>
        <v>0</v>
      </c>
      <c r="K246" s="137">
        <f>IF(Binary!K246&gt;=1,"X",0)</f>
        <v>0</v>
      </c>
      <c r="L246" s="137">
        <f>IF(Binary!L246&gt;=1,"X",0)</f>
        <v>0</v>
      </c>
      <c r="M246" t="str">
        <f>'Actual species'!V246</f>
        <v>------------</v>
      </c>
    </row>
    <row r="247" spans="1:13" x14ac:dyDescent="0.3">
      <c r="A247" s="63" t="str">
        <f>Binary!A247</f>
        <v>Habrocerinae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Habrocerus capillaricornis</v>
      </c>
      <c r="B248" s="137">
        <f>IF(Binary!B248&gt;=1,"X",0)</f>
        <v>0</v>
      </c>
      <c r="C248" s="137">
        <f>IF(Binary!C248&gt;=1,"X",0)</f>
        <v>0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 t="str">
        <f>IF(Binary!J248&gt;=1,"X",0)</f>
        <v>X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Habrocerus cyprensis</v>
      </c>
      <c r="B249" s="137" t="str">
        <f>IF(Binary!B249&gt;=1,"X",0)</f>
        <v>X</v>
      </c>
      <c r="C249" s="137">
        <f>IF(Binary!C249&gt;=1,"X",0)</f>
        <v>0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 t="str">
        <f>IF(Binary!H249&gt;=1,"X",0)</f>
        <v>X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 t="str">
        <f>IF(Binary!L249&gt;=1,"X",0)</f>
        <v>X</v>
      </c>
      <c r="M249" t="str">
        <f>'Actual species'!V249</f>
        <v>------------</v>
      </c>
    </row>
    <row r="250" spans="1:13" x14ac:dyDescent="0.3">
      <c r="A250" t="str">
        <f>Binary!A250</f>
        <v>Habrocerus pisidicus</v>
      </c>
      <c r="B250" s="137" t="str">
        <f>IF(Binary!B250&gt;=1,"X",0)</f>
        <v>X</v>
      </c>
      <c r="C250" s="137" t="str">
        <f>IF(Binary!C250&gt;=1,"X",0)</f>
        <v>X</v>
      </c>
      <c r="D250" s="137" t="str">
        <f>IF(Binary!D250&gt;=1,"X",0)</f>
        <v>X</v>
      </c>
      <c r="E250" s="137" t="str">
        <f>IF(Binary!E250&gt;=1,"X",0)</f>
        <v>X</v>
      </c>
      <c r="F250" s="137" t="str">
        <f>IF(Binary!F250&gt;=1,"X",0)</f>
        <v>X</v>
      </c>
      <c r="G250" s="137" t="str">
        <f>IF(Binary!G250&gt;=1,"X",0)</f>
        <v>X</v>
      </c>
      <c r="H250" s="137" t="str">
        <f>IF(Binary!H250&gt;=1,"X",0)</f>
        <v>X</v>
      </c>
      <c r="I250" s="137">
        <f>IF(Binary!I250&gt;=1,"X",0)</f>
        <v>0</v>
      </c>
      <c r="J250" s="137" t="str">
        <f>IF(Binary!J250&gt;=1,"X",0)</f>
        <v>X</v>
      </c>
      <c r="K250" s="137">
        <f>IF(Binary!K250&gt;=1,"X",0)</f>
        <v>0</v>
      </c>
      <c r="L250" s="137" t="str">
        <f>IF(Binary!L250&gt;=1,"X",0)</f>
        <v>X</v>
      </c>
      <c r="M250" t="str">
        <f>'Actual species'!V250</f>
        <v>------------</v>
      </c>
    </row>
    <row r="251" spans="1:13" x14ac:dyDescent="0.3">
      <c r="A251" s="63" t="str">
        <f>Binary!A251</f>
        <v>Aleocharinae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Acrotona muscorum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 t="str">
        <f>IF(Binary!E252&gt;=1,"X",0)</f>
        <v>X</v>
      </c>
      <c r="F252" s="137" t="str">
        <f>IF(Binary!F252&gt;=1,"X",0)</f>
        <v>X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 t="str">
        <f>IF(Binary!J252&gt;=1,"X",0)</f>
        <v>X</v>
      </c>
      <c r="K252" s="137">
        <f>IF(Binary!K252&gt;=1,"X",0)</f>
        <v>0</v>
      </c>
      <c r="L252" s="137">
        <f>IF(Binary!L252&gt;=1,"X",0)</f>
        <v>0</v>
      </c>
      <c r="M252" t="str">
        <f>'Actual species'!V252</f>
        <v>------------</v>
      </c>
    </row>
    <row r="253" spans="1:13" x14ac:dyDescent="0.3">
      <c r="A253" t="str">
        <f>Binary!A253</f>
        <v>Acrotona nigerrima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>
        <f>IF(Binary!J253&gt;=1,"X",0)</f>
        <v>0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Acrotona parens</v>
      </c>
      <c r="B254" s="137">
        <f>IF(Binary!B254&gt;=1,"X",0)</f>
        <v>0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>
        <f>IF(Binary!H254&gt;=1,"X",0)</f>
        <v>0</v>
      </c>
      <c r="I254" s="137">
        <f>IF(Binary!I254&gt;=1,"X",0)</f>
        <v>0</v>
      </c>
      <c r="J254" s="137" t="str">
        <f>IF(Binary!J254&gt;=1,"X",0)</f>
        <v>X</v>
      </c>
      <c r="K254" s="137">
        <f>IF(Binary!K254&gt;=1,"X",0)</f>
        <v>0</v>
      </c>
      <c r="L254" s="137">
        <f>IF(Binary!L254&gt;=1,"X",0)</f>
        <v>0</v>
      </c>
      <c r="M254" t="str">
        <f>'Actual species'!V254</f>
        <v>------------</v>
      </c>
    </row>
    <row r="255" spans="1:13" x14ac:dyDescent="0.3">
      <c r="A255" t="str">
        <f>Binary!A255</f>
        <v>Acrotona parvula</v>
      </c>
      <c r="B255" s="137">
        <f>IF(Binary!B255&gt;=1,"X",0)</f>
        <v>0</v>
      </c>
      <c r="C255" s="137">
        <f>IF(Binary!C255&gt;=1,"X",0)</f>
        <v>0</v>
      </c>
      <c r="D255" s="137">
        <f>IF(Binary!D255&gt;=1,"X",0)</f>
        <v>0</v>
      </c>
      <c r="E255" s="137">
        <f>IF(Binary!E255&gt;=1,"X",0)</f>
        <v>0</v>
      </c>
      <c r="F255" s="137">
        <f>IF(Binary!F255&gt;=1,"X",0)</f>
        <v>0</v>
      </c>
      <c r="G255" s="137">
        <f>IF(Binary!G255&gt;=1,"X",0)</f>
        <v>0</v>
      </c>
      <c r="H255" s="137">
        <f>IF(Binary!H255&gt;=1,"X",0)</f>
        <v>0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>
        <f>IF(Binary!L255&gt;=1,"X",0)</f>
        <v>0</v>
      </c>
      <c r="M255" t="str">
        <f>'Actual species'!V255</f>
        <v>------------</v>
      </c>
    </row>
    <row r="256" spans="1:13" x14ac:dyDescent="0.3">
      <c r="A256" t="str">
        <f>Binary!A256</f>
        <v>Acrotona troglodytes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 t="str">
        <f>'Actual species'!V256</f>
        <v>------------</v>
      </c>
    </row>
    <row r="257" spans="1:13" x14ac:dyDescent="0.3">
      <c r="A257" t="str">
        <f>Binary!A257</f>
        <v>Alaobia scapularis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>
        <f>IF(Binary!E257&gt;=1,"X",0)</f>
        <v>0</v>
      </c>
      <c r="F257" s="137">
        <f>IF(Binary!F257&gt;=1,"X",0)</f>
        <v>0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Aleochara aff. laevigata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Aleochara albopila</v>
      </c>
      <c r="B259" s="137" t="str">
        <f>IF(Binary!B259&gt;=1,"X",0)</f>
        <v>X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>
        <f>IF(Binary!J259&gt;=1,"X",0)</f>
        <v>0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Aleochara bipustulata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 t="str">
        <f>IF(Binary!G260&gt;=1,"X",0)</f>
        <v>X</v>
      </c>
      <c r="H260" s="137" t="str">
        <f>IF(Binary!H260&gt;=1,"X",0)</f>
        <v>X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Aleochara cf. Conviva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 t="str">
        <f>IF(Binary!E261&gt;=1,"X",0)</f>
        <v>X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 t="str">
        <f>'Actual species'!V261</f>
        <v>------------</v>
      </c>
    </row>
    <row r="262" spans="1:13" x14ac:dyDescent="0.3">
      <c r="A262" t="str">
        <f>Binary!A262</f>
        <v>Aleochara clavicornis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erythroptera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 t="str">
        <f>IF(Binary!J263&gt;=1,"X",0)</f>
        <v>X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gridellii</v>
      </c>
      <c r="B264" s="137">
        <f>IF(Binary!B264&gt;=1,"X",0)</f>
        <v>0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haematoptera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 t="str">
        <f>IF(Binary!E265&gt;=1,"X",0)</f>
        <v>X</v>
      </c>
      <c r="F265" s="137" t="str">
        <f>IF(Binary!F265&gt;=1,"X",0)</f>
        <v>X</v>
      </c>
      <c r="G265" s="137">
        <f>IF(Binary!G265&gt;=1,"X",0)</f>
        <v>0</v>
      </c>
      <c r="H265" s="137">
        <f>IF(Binary!H265&gt;=1,"X",0)</f>
        <v>0</v>
      </c>
      <c r="I265" s="137">
        <f>IF(Binary!I265&gt;=1,"X",0)</f>
        <v>0</v>
      </c>
      <c r="J265" s="137">
        <f>IF(Binary!J265&gt;=1,"X",0)</f>
        <v>0</v>
      </c>
      <c r="K265" s="137">
        <f>IF(Binary!K265&gt;=1,"X",0)</f>
        <v>0</v>
      </c>
      <c r="L265" s="137">
        <f>IF(Binary!L265&gt;=1,"X",0)</f>
        <v>0</v>
      </c>
      <c r="M265" t="str">
        <f>'Actual species'!V265</f>
        <v>------------</v>
      </c>
    </row>
    <row r="266" spans="1:13" x14ac:dyDescent="0.3">
      <c r="A266" t="str">
        <f>Binary!A266</f>
        <v>Aleochara laevigata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>
        <f>IF(Binary!E266&gt;=1,"X",0)</f>
        <v>0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lanuginosa</v>
      </c>
      <c r="B267" s="137" t="str">
        <f>IF(Binary!B267&gt;=1,"X",0)</f>
        <v>X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>
        <f>IF(Binary!J267&gt;=1,"X",0)</f>
        <v>0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lata</v>
      </c>
      <c r="B268" s="137" t="str">
        <f>IF(Binary!B268&gt;=1,"X",0)</f>
        <v>X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 t="str">
        <f>IF(Binary!F268&gt;=1,"X",0)</f>
        <v>X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>
        <f>IF(Binary!J268&gt;=1,"X",0)</f>
        <v>0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laticornis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 t="str">
        <f>IF(Binary!F269&gt;=1,"X",0)</f>
        <v>X</v>
      </c>
      <c r="G269" s="137">
        <f>IF(Binary!G269&gt;=1,"X",0)</f>
        <v>0</v>
      </c>
      <c r="H269" s="137">
        <f>IF(Binary!H269&gt;=1,"X",0)</f>
        <v>0</v>
      </c>
      <c r="I269" s="137" t="str">
        <f>IF(Binary!I269&gt;=1,"X",0)</f>
        <v>X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 t="str">
        <f>'Actual species'!V269</f>
        <v>------------</v>
      </c>
    </row>
    <row r="270" spans="1:13" x14ac:dyDescent="0.3">
      <c r="A270" t="str">
        <f>Binary!A270</f>
        <v>Aleochara maculata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>
        <f>IF(Binary!E270&gt;=1,"X",0)</f>
        <v>0</v>
      </c>
      <c r="F270" s="137">
        <f>IF(Binary!F270&gt;=1,"X",0)</f>
        <v>0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maculipennis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 t="str">
        <f>IF(Binary!H271&gt;=1,"X",0)</f>
        <v>X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 t="str">
        <f>'Actual species'!V271</f>
        <v>------------</v>
      </c>
    </row>
    <row r="272" spans="1:13" x14ac:dyDescent="0.3">
      <c r="A272" t="str">
        <f>Binary!A272</f>
        <v>Aleochara rambouseki (hamulata)</v>
      </c>
      <c r="B272" s="137">
        <f>IF(Binary!B272&gt;=1,"X",0)</f>
        <v>0</v>
      </c>
      <c r="C272" s="137">
        <f>IF(Binary!C272&gt;=1,"X",0)</f>
        <v>0</v>
      </c>
      <c r="D272" s="137">
        <f>IF(Binary!D272&gt;=1,"X",0)</f>
        <v>0</v>
      </c>
      <c r="E272" s="137" t="str">
        <f>IF(Binary!E272&gt;=1,"X",0)</f>
        <v>X</v>
      </c>
      <c r="F272" s="137" t="str">
        <f>IF(Binary!F272&gt;=1,"X",0)</f>
        <v>X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sp.</v>
      </c>
      <c r="B273" s="137">
        <f>IF(Binary!B273&gt;=1,"X",0)</f>
        <v>0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>
        <f>IF(Binary!F273&gt;=1,"X",0)</f>
        <v>0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tristis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>
        <f>IF(Binary!F274&gt;=1,"X",0)</f>
        <v>0</v>
      </c>
      <c r="G274" s="137">
        <f>IF(Binary!G274&gt;=1,"X",0)</f>
        <v>0</v>
      </c>
      <c r="H274" s="137" t="str">
        <f>IF(Binary!H274&gt;=1,"X",0)</f>
        <v>X</v>
      </c>
      <c r="I274" s="137">
        <f>IF(Binary!I274&gt;=1,"X",0)</f>
        <v>0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verna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 t="str">
        <f>IF(Binary!F275&gt;=1,"X",0)</f>
        <v>X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 xml:space="preserve">Alevonota cretica (E) 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 t="str">
        <f>IF(Binary!G276&gt;=1,"X",0)</f>
        <v>X</v>
      </c>
      <c r="H276" s="137">
        <f>IF(Binary!H276&gt;=1,"X",0)</f>
        <v>0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X</v>
      </c>
    </row>
    <row r="277" spans="1:13" x14ac:dyDescent="0.3">
      <c r="A277" t="str">
        <f>Binary!A277</f>
        <v>Alevonota egregia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>
        <f>IF(Binary!E277&gt;=1,"X",0)</f>
        <v>0</v>
      </c>
      <c r="F277" s="137">
        <f>IF(Binary!F277&gt;=1,"X",0)</f>
        <v>0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Alevonota gracilenta</v>
      </c>
      <c r="B278" s="137">
        <f>IF(Binary!B278&gt;=1,"X",0)</f>
        <v>0</v>
      </c>
      <c r="C278" s="137">
        <f>IF(Binary!C278&gt;=1,"X",0)</f>
        <v>0</v>
      </c>
      <c r="D278" s="137" t="str">
        <f>IF(Binary!D278&gt;=1,"X",0)</f>
        <v>X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Alevonota libanotica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 t="str">
        <f>IF(Binary!F279&gt;=1,"X",0)</f>
        <v>X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Alevonota rufotestacea</v>
      </c>
      <c r="B280" s="137">
        <f>IF(Binary!B280&gt;=1,"X",0)</f>
        <v>0</v>
      </c>
      <c r="C280" s="137" t="str">
        <f>IF(Binary!C280&gt;=1,"X",0)</f>
        <v>X</v>
      </c>
      <c r="D280" s="137" t="str">
        <f>IF(Binary!D280&gt;=1,"X",0)</f>
        <v>X</v>
      </c>
      <c r="E280" s="137" t="str">
        <f>IF(Binary!E280&gt;=1,"X",0)</f>
        <v>X</v>
      </c>
      <c r="F280" s="137">
        <f>IF(Binary!F280&gt;=1,"X",0)</f>
        <v>0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>Aloconota aegea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 t="str">
        <f>IF(Binary!E281&gt;=1,"X",0)</f>
        <v>X</v>
      </c>
      <c r="F281" s="137" t="str">
        <f>IF(Binary!F281&gt;=1,"X",0)</f>
        <v>X</v>
      </c>
      <c r="G281" s="137">
        <f>IF(Binary!G281&gt;=1,"X",0)</f>
        <v>0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 xml:space="preserve">Aloconota brachyptera (E) 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 t="str">
        <f>IF(Binary!G282&gt;=1,"X",0)</f>
        <v>X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X</v>
      </c>
    </row>
    <row r="283" spans="1:13" x14ac:dyDescent="0.3">
      <c r="A283" t="str">
        <f>Binary!A283</f>
        <v>Aloconota cambrica</v>
      </c>
      <c r="B283" s="137">
        <f>IF(Binary!B283&gt;=1,"X",0)</f>
        <v>0</v>
      </c>
      <c r="C283" s="137">
        <f>IF(Binary!C283&gt;=1,"X",0)</f>
        <v>0</v>
      </c>
      <c r="D283" s="137">
        <f>IF(Binary!D283&gt;=1,"X",0)</f>
        <v>0</v>
      </c>
      <c r="E283" s="137">
        <f>IF(Binary!E283&gt;=1,"X",0)</f>
        <v>0</v>
      </c>
      <c r="F283" s="137" t="str">
        <f>IF(Binary!F283&gt;=1,"X",0)</f>
        <v>X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 t="str">
        <f>IF(Binary!J283&gt;=1,"X",0)</f>
        <v>X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Aloconota coulsoni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>
        <f>IF(Binary!F284&gt;=1,"X",0)</f>
        <v>0</v>
      </c>
      <c r="G284" s="137">
        <f>IF(Binary!G284&gt;=1,"X",0)</f>
        <v>0</v>
      </c>
      <c r="H284" s="137">
        <f>IF(Binary!H284&gt;=1,"X",0)</f>
        <v>0</v>
      </c>
      <c r="I284" s="137">
        <f>IF(Binary!I284&gt;=1,"X",0)</f>
        <v>0</v>
      </c>
      <c r="J284" s="137" t="str">
        <f>IF(Binary!J284&gt;=1,"X",0)</f>
        <v>X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Aloconota greagaria</v>
      </c>
      <c r="B285" s="137" t="str">
        <f>IF(Binary!B285&gt;=1,"X",0)</f>
        <v>X</v>
      </c>
      <c r="C285" s="137" t="str">
        <f>IF(Binary!C285&gt;=1,"X",0)</f>
        <v>X</v>
      </c>
      <c r="D285" s="137">
        <f>IF(Binary!D285&gt;=1,"X",0)</f>
        <v>0</v>
      </c>
      <c r="E285" s="137">
        <f>IF(Binary!E285&gt;=1,"X",0)</f>
        <v>0</v>
      </c>
      <c r="F285" s="137" t="str">
        <f>IF(Binary!F285&gt;=1,"X",0)</f>
        <v>X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 t="str">
        <f>IF(Binary!J285&gt;=1,"X",0)</f>
        <v>X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languida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>
        <f>IF(Binary!E286&gt;=1,"X",0)</f>
        <v>0</v>
      </c>
      <c r="F286" s="137">
        <f>IF(Binary!F286&gt;=1,"X",0)</f>
        <v>0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>Aloconota lesbia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 t="str">
        <f>IF(Binary!F287&gt;=1,"X",0)</f>
        <v>X</v>
      </c>
      <c r="G287" s="137">
        <f>IF(Binary!G287&gt;=1,"X",0)</f>
        <v>0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longicollis</v>
      </c>
      <c r="B288" s="137">
        <f>IF(Binary!B288&gt;=1,"X",0)</f>
        <v>0</v>
      </c>
      <c r="C288" s="137">
        <f>IF(Binary!C288&gt;=1,"X",0)</f>
        <v>0</v>
      </c>
      <c r="D288" s="137">
        <f>IF(Binary!D288&gt;=1,"X",0)</f>
        <v>0</v>
      </c>
      <c r="E288" s="137">
        <f>IF(Binary!E288&gt;=1,"X",0)</f>
        <v>0</v>
      </c>
      <c r="F288" s="137">
        <f>IF(Binary!F288&gt;=1,"X",0)</f>
        <v>0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mediterranea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>
        <f>IF(Binary!J289&gt;=1,"X",0)</f>
        <v>0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 xml:space="preserve">Aloconota minoica (E) </v>
      </c>
      <c r="B290" s="137">
        <f>IF(Binary!B290&gt;=1,"X",0)</f>
        <v>0</v>
      </c>
      <c r="C290" s="137">
        <f>IF(Binary!C290&gt;=1,"X",0)</f>
        <v>0</v>
      </c>
      <c r="D290" s="137">
        <f>IF(Binary!D290&gt;=1,"X",0)</f>
        <v>0</v>
      </c>
      <c r="E290" s="137">
        <f>IF(Binary!E290&gt;=1,"X",0)</f>
        <v>0</v>
      </c>
      <c r="F290" s="137">
        <f>IF(Binary!F290&gt;=1,"X",0)</f>
        <v>0</v>
      </c>
      <c r="G290" s="137" t="str">
        <f>IF(Binary!G290&gt;=1,"X",0)</f>
        <v>X</v>
      </c>
      <c r="H290" s="137">
        <f>IF(Binary!H290&gt;=1,"X",0)</f>
        <v>0</v>
      </c>
      <c r="I290" s="137">
        <f>IF(Binary!I290&gt;=1,"X",0)</f>
        <v>0</v>
      </c>
      <c r="J290" s="137">
        <f>IF(Binary!J290&gt;=1,"X",0)</f>
        <v>0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X</v>
      </c>
    </row>
    <row r="291" spans="1:13" x14ac:dyDescent="0.3">
      <c r="A291" t="str">
        <f>Binary!A291</f>
        <v>Aloconota montenegrina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 t="str">
        <f>IF(Binary!J291&gt;=1,"X",0)</f>
        <v>X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myrmicaria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planifrons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>
        <f>IF(Binary!F293&gt;=1,"X",0)</f>
        <v>0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 t="str">
        <f>IF(Binary!J293&gt;=1,"X",0)</f>
        <v>X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samia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 t="str">
        <f>IF(Binary!E294&gt;=1,"X",0)</f>
        <v>X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>
        <f>IF(Binary!J294&gt;=1,"X",0)</f>
        <v>0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 xml:space="preserve">Aloconota sp. </v>
      </c>
      <c r="B295" s="137" t="str">
        <f>IF(Binary!B295&gt;=1,"X",0)</f>
        <v>X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>Aloconota sp. 1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>
        <f>IF(Binary!G296&gt;=1,"X",0)</f>
        <v>0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sp. 2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>
        <f>IF(Binary!J297&gt;=1,"X",0)</f>
        <v>0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sp. aff. insecta</v>
      </c>
      <c r="B298" s="137" t="str">
        <f>IF(Binary!B298&gt;=1,"X",0)</f>
        <v>X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 xml:space="preserve">Aloconota sp. aff. planifrons </v>
      </c>
      <c r="B299" s="137" t="str">
        <f>IF(Binary!B299&gt;=1,"X",0)</f>
        <v>X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>
        <f>IF(Binary!J299&gt;=1,"X",0)</f>
        <v>0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sp. aff. subgrandis</v>
      </c>
      <c r="B300" s="137" t="str">
        <f>IF(Binary!B300&gt;=1,"X",0)</f>
        <v>X</v>
      </c>
      <c r="C300" s="137">
        <f>IF(Binary!C300&gt;=1,"X",0)</f>
        <v>0</v>
      </c>
      <c r="D300" s="137">
        <f>IF(Binary!D300&gt;=1,"X",0)</f>
        <v>0</v>
      </c>
      <c r="E300" s="137">
        <f>IF(Binary!E300&gt;=1,"X",0)</f>
        <v>0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>Aloconota subgrandis</v>
      </c>
      <c r="B301" s="137">
        <f>IF(Binary!B301&gt;=1,"X",0)</f>
        <v>0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 t="str">
        <f>IF(Binary!L301&gt;=1,"X",0)</f>
        <v>X</v>
      </c>
      <c r="M301" t="str">
        <f>'Actual species'!V301</f>
        <v>------------</v>
      </c>
    </row>
    <row r="302" spans="1:13" x14ac:dyDescent="0.3">
      <c r="A302" t="str">
        <f>Binary!A302</f>
        <v>Aloconota sulcifrons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 t="str">
        <f>IF(Binary!J302&gt;=1,"X",0)</f>
        <v>X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Amarochara forticornis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Amarochara wunderlei</v>
      </c>
      <c r="B304" s="137">
        <f>IF(Binary!B304&gt;=1,"X",0)</f>
        <v>0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 t="str">
        <f>IF(Binary!K304&gt;=1,"X",0)</f>
        <v>X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>Amischa analis</v>
      </c>
      <c r="B305" s="137">
        <f>IF(Binary!B305&gt;=1,"X",0)</f>
        <v>0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Amischa bifoveolata</v>
      </c>
      <c r="B306" s="137">
        <f>IF(Binary!B306&gt;=1,"X",0)</f>
        <v>0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Amischa filum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 t="str">
        <f>IF(Binary!F307&gt;=1,"X",0)</f>
        <v>X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>
        <f>IF(Binary!L307&gt;=1,"X",0)</f>
        <v>0</v>
      </c>
      <c r="M307" t="str">
        <f>'Actual species'!V307</f>
        <v>------------</v>
      </c>
    </row>
    <row r="308" spans="1:13" x14ac:dyDescent="0.3">
      <c r="A308" t="str">
        <f>Binary!A308</f>
        <v>Amischa forcipata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Amischa n. sp.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 t="str">
        <f>IF(Binary!G309&gt;=1,"X",0)</f>
        <v>X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Amischa sp.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 t="str">
        <f>IF(Binary!J310&gt;=1,"X",0)</f>
        <v>X</v>
      </c>
      <c r="K310" s="137">
        <f>IF(Binary!K310&gt;=1,"X",0)</f>
        <v>0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strupii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Anaulacaspis laevigata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 t="str">
        <f>IF(Binary!F312&gt;=1,"X",0)</f>
        <v>X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 t="str">
        <f>IF(Binary!J312&gt;=1,"X",0)</f>
        <v>X</v>
      </c>
      <c r="K312" s="137">
        <f>IF(Binary!K312&gt;=1,"X",0)</f>
        <v>0</v>
      </c>
      <c r="L312" s="137">
        <f>IF(Binary!L312&gt;=1,"X",0)</f>
        <v>0</v>
      </c>
      <c r="M312">
        <f>'Actual species'!V312</f>
        <v>14</v>
      </c>
    </row>
    <row r="313" spans="1:13" x14ac:dyDescent="0.3">
      <c r="A313" t="str">
        <f>Binary!A313</f>
        <v>Anaulacaspis nigra</v>
      </c>
      <c r="B313" s="137">
        <f>IF(Binary!B313&gt;=1,"X",0)</f>
        <v>0</v>
      </c>
      <c r="C313" s="137">
        <f>IF(Binary!C313&gt;=1,"X",0)</f>
        <v>0</v>
      </c>
      <c r="D313" s="137" t="str">
        <f>IF(Binary!D313&gt;=1,"X",0)</f>
        <v>X</v>
      </c>
      <c r="E313" s="137">
        <f>IF(Binary!E313&gt;=1,"X",0)</f>
        <v>0</v>
      </c>
      <c r="F313" s="137">
        <f>IF(Binary!F313&gt;=1,"X",0)</f>
        <v>0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 t="str">
        <f>IF(Binary!J313&gt;=1,"X",0)</f>
        <v>X</v>
      </c>
      <c r="K313" s="137">
        <f>IF(Binary!K313&gt;=1,"X",0)</f>
        <v>0</v>
      </c>
      <c r="L313" s="137">
        <f>IF(Binary!L313&gt;=1,"X",0)</f>
        <v>0</v>
      </c>
      <c r="M313">
        <f>'Actual species'!V313</f>
        <v>25</v>
      </c>
    </row>
    <row r="314" spans="1:13" x14ac:dyDescent="0.3">
      <c r="A314" t="str">
        <f>Binary!A314</f>
        <v>Anaulacaspis nigrina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 t="str">
        <f>IF(Binary!F314&gt;=1,"X",0)</f>
        <v>X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>
        <f>IF(Binary!J314&gt;=1,"X",0)</f>
        <v>0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Atheta (Bessobia)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>
        <f>IF(Binary!G315&gt;=1,"X",0)</f>
        <v>0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 xml:space="preserve">Atheta (Microdota) sp. </v>
      </c>
      <c r="B316" s="137" t="str">
        <f>IF(Binary!B316&gt;=1,"X",0)</f>
        <v>X</v>
      </c>
      <c r="C316" s="137">
        <f>IF(Binary!C316&gt;=1,"X",0)</f>
        <v>0</v>
      </c>
      <c r="D316" s="137">
        <f>IF(Binary!D316&gt;=1,"X",0)</f>
        <v>0</v>
      </c>
      <c r="E316" s="137" t="str">
        <f>IF(Binary!E316&gt;=1,"X",0)</f>
        <v>X</v>
      </c>
      <c r="F316" s="137">
        <f>IF(Binary!F316&gt;=1,"X",0)</f>
        <v>0</v>
      </c>
      <c r="G316" s="137" t="str">
        <f>IF(Binary!G316&gt;=1,"X",0)</f>
        <v>X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Atheta (Mocyta) cingulata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 t="str">
        <f>IF(Binary!F317&gt;=1,"X",0)</f>
        <v>X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Atheta (Mocyta) clientula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>
        <f>IF(Binary!J318&gt;=1,"X",0)</f>
        <v>0</v>
      </c>
      <c r="K318" s="137" t="str">
        <f>IF(Binary!K318&gt;=1,"X",0)</f>
        <v>X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Atheta (Mocyta) pulchra</v>
      </c>
      <c r="B319" s="137">
        <f>IF(Binary!B319&gt;=1,"X",0)</f>
        <v>0</v>
      </c>
      <c r="C319" s="137">
        <f>IF(Binary!C319&gt;=1,"X",0)</f>
        <v>0</v>
      </c>
      <c r="D319" s="137">
        <f>IF(Binary!D319&gt;=1,"X",0)</f>
        <v>0</v>
      </c>
      <c r="E319" s="137" t="str">
        <f>IF(Binary!E319&gt;=1,"X",0)</f>
        <v>X</v>
      </c>
      <c r="F319" s="137" t="str">
        <f>IF(Binary!F319&gt;=1,"X",0)</f>
        <v>X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>
        <f>IF(Binary!J319&gt;=1,"X",0)</f>
        <v>0</v>
      </c>
      <c r="K319" s="137">
        <f>IF(Binary!K319&gt;=1,"X",0)</f>
        <v>0</v>
      </c>
      <c r="L319" s="137" t="str">
        <f>IF(Binary!L319&gt;=1,"X",0)</f>
        <v>X</v>
      </c>
      <c r="M319" t="str">
        <f>'Actual species'!V319</f>
        <v>------------</v>
      </c>
    </row>
    <row r="320" spans="1:13" x14ac:dyDescent="0.3">
      <c r="A320" t="str">
        <f>Binary!A320</f>
        <v>Atheta (Mocyta) sp.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 t="str">
        <f>IF(Binary!K320&gt;=1,"X",0)</f>
        <v>X</v>
      </c>
      <c r="L320" s="137" t="str">
        <f>IF(Binary!L320&gt;=1,"X",0)</f>
        <v>X</v>
      </c>
      <c r="M320" t="str">
        <f>'Actual species'!V320</f>
        <v>------------</v>
      </c>
    </row>
    <row r="321" spans="1:13" x14ac:dyDescent="0.3">
      <c r="A321" t="str">
        <f>Binary!A321</f>
        <v>Atheta (Mocyta) spp.</v>
      </c>
      <c r="B321" s="137" t="str">
        <f>IF(Binary!B321&gt;=1,"X",0)</f>
        <v>X</v>
      </c>
      <c r="C321" s="137">
        <f>IF(Binary!C321&gt;=1,"X",0)</f>
        <v>0</v>
      </c>
      <c r="D321" s="137">
        <f>IF(Binary!D321&gt;=1,"X",0)</f>
        <v>0</v>
      </c>
      <c r="E321" s="137" t="str">
        <f>IF(Binary!E321&gt;=1,"X",0)</f>
        <v>X</v>
      </c>
      <c r="F321" s="137">
        <f>IF(Binary!F321&gt;=1,"X",0)</f>
        <v>0</v>
      </c>
      <c r="G321" s="137" t="str">
        <f>IF(Binary!G321&gt;=1,"X",0)</f>
        <v>X</v>
      </c>
      <c r="H321" s="137" t="str">
        <f>IF(Binary!H321&gt;=1,"X",0)</f>
        <v>X</v>
      </c>
      <c r="I321" s="137">
        <f>IF(Binary!I321&gt;=1,"X",0)</f>
        <v>0</v>
      </c>
      <c r="J321" s="137" t="str">
        <f>IF(Binary!J321&gt;=1,"X",0)</f>
        <v>X</v>
      </c>
      <c r="K321" s="137" t="str">
        <f>IF(Binary!K321&gt;=1,"X",0)</f>
        <v>X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(Paralpinia)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>Atheta (Philhygra) sp. (Female)</v>
      </c>
      <c r="B323" s="137">
        <f>IF(Binary!B323&gt;=1,"X",0)</f>
        <v>0</v>
      </c>
      <c r="C323" s="137">
        <f>IF(Binary!C323&gt;=1,"X",0)</f>
        <v>0</v>
      </c>
      <c r="D323" s="137">
        <f>IF(Binary!D323&gt;=1,"X",0)</f>
        <v>0</v>
      </c>
      <c r="E323" s="137">
        <f>IF(Binary!E323&gt;=1,"X",0)</f>
        <v>0</v>
      </c>
      <c r="F323" s="137" t="str">
        <f>IF(Binary!F323&gt;=1,"X",0)</f>
        <v>X</v>
      </c>
      <c r="G323" s="137">
        <f>IF(Binary!G323&gt;=1,"X",0)</f>
        <v>0</v>
      </c>
      <c r="H323" s="137">
        <f>IF(Binary!H323&gt;=1,"X",0)</f>
        <v>0</v>
      </c>
      <c r="I323" s="137">
        <f>IF(Binary!I323&gt;=1,"X",0)</f>
        <v>0</v>
      </c>
      <c r="J323" s="137">
        <f>IF(Binary!J323&gt;=1,"X",0)</f>
        <v>0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(s. str) sp.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aegra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>
        <f>IF(Binary!F325&gt;=1,"X",0)</f>
        <v>0</v>
      </c>
      <c r="G325" s="137">
        <f>IF(Binary!G325&gt;=1,"X",0)</f>
        <v>0</v>
      </c>
      <c r="H325" s="137" t="str">
        <f>IF(Binary!H325&gt;=1,"X",0)</f>
        <v>X</v>
      </c>
      <c r="I325" s="137">
        <f>IF(Binary!I325&gt;=1,"X",0)</f>
        <v>0</v>
      </c>
      <c r="J325" s="137">
        <f>IF(Binary!J325&gt;=1,"X",0)</f>
        <v>0</v>
      </c>
      <c r="K325" s="137">
        <f>IF(Binary!K325&gt;=1,"X",0)</f>
        <v>0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aeneicollis</v>
      </c>
      <c r="B326" s="137" t="str">
        <f>IF(Binary!B326&gt;=1,"X",0)</f>
        <v>X</v>
      </c>
      <c r="C326" s="137">
        <f>IF(Binary!C326&gt;=1,"X",0)</f>
        <v>0</v>
      </c>
      <c r="D326" s="137" t="str">
        <f>IF(Binary!D326&gt;=1,"X",0)</f>
        <v>X</v>
      </c>
      <c r="E326" s="137" t="str">
        <f>IF(Binary!E326&gt;=1,"X",0)</f>
        <v>X</v>
      </c>
      <c r="F326" s="137" t="str">
        <f>IF(Binary!F326&gt;=1,"X",0)</f>
        <v>X</v>
      </c>
      <c r="G326" s="137" t="str">
        <f>IF(Binary!G326&gt;=1,"X",0)</f>
        <v>X</v>
      </c>
      <c r="H326" s="137" t="str">
        <f>IF(Binary!H326&gt;=1,"X",0)</f>
        <v>X</v>
      </c>
      <c r="I326" s="137" t="str">
        <f>IF(Binary!I326&gt;=1,"X",0)</f>
        <v>X</v>
      </c>
      <c r="J326" s="137" t="str">
        <f>IF(Binary!J326&gt;=1,"X",0)</f>
        <v>X</v>
      </c>
      <c r="K326" s="137" t="str">
        <f>IF(Binary!K326&gt;=1,"X",0)</f>
        <v>X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amicula</v>
      </c>
      <c r="B327" s="137">
        <f>IF(Binary!B327&gt;=1,"X",0)</f>
        <v>0</v>
      </c>
      <c r="C327" s="137" t="str">
        <f>IF(Binary!C327&gt;=1,"X",0)</f>
        <v>X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 t="str">
        <f>IF(Binary!G327&gt;=1,"X",0)</f>
        <v>X</v>
      </c>
      <c r="H327" s="137">
        <f>IF(Binary!H327&gt;=1,"X",0)</f>
        <v>0</v>
      </c>
      <c r="I327" s="137">
        <f>IF(Binary!I327&gt;=1,"X",0)</f>
        <v>0</v>
      </c>
      <c r="J327" s="137" t="str">
        <f>IF(Binary!J327&gt;=1,"X",0)</f>
        <v>X</v>
      </c>
      <c r="K327" s="137" t="str">
        <f>IF(Binary!K327&gt;=1,"X",0)</f>
        <v>X</v>
      </c>
      <c r="L327" s="137">
        <f>IF(Binary!L327&gt;=1,"X",0)</f>
        <v>0</v>
      </c>
      <c r="M327" t="str">
        <f>'Actual species'!V327</f>
        <v>------------</v>
      </c>
    </row>
    <row r="328" spans="1:13" x14ac:dyDescent="0.3">
      <c r="A328" t="str">
        <f>Binary!A328</f>
        <v>Atheta aquatilis</v>
      </c>
      <c r="B328" s="137">
        <f>IF(Binary!B328&gt;=1,"X",0)</f>
        <v>0</v>
      </c>
      <c r="C328" s="137" t="str">
        <f>IF(Binary!C328&gt;=1,"X",0)</f>
        <v>X</v>
      </c>
      <c r="D328" s="137">
        <f>IF(Binary!D328&gt;=1,"X",0)</f>
        <v>0</v>
      </c>
      <c r="E328" s="137">
        <f>IF(Binary!E328&gt;=1,"X",0)</f>
        <v>0</v>
      </c>
      <c r="F328" s="137">
        <f>IF(Binary!F328&gt;=1,"X",0)</f>
        <v>0</v>
      </c>
      <c r="G328" s="137">
        <f>IF(Binary!G328&gt;=1,"X",0)</f>
        <v>0</v>
      </c>
      <c r="H328" s="137">
        <f>IF(Binary!H328&gt;=1,"X",0)</f>
        <v>0</v>
      </c>
      <c r="I328" s="137">
        <f>IF(Binary!I328&gt;=1,"X",0)</f>
        <v>0</v>
      </c>
      <c r="J328" s="137">
        <f>IF(Binary!J328&gt;=1,"X",0)</f>
        <v>0</v>
      </c>
      <c r="K328" s="137">
        <f>IF(Binary!K328&gt;=1,"X",0)</f>
        <v>0</v>
      </c>
      <c r="L328" s="137">
        <f>IF(Binary!L328&gt;=1,"X",0)</f>
        <v>0</v>
      </c>
      <c r="M328" t="str">
        <f>'Actual species'!V328</f>
        <v>------------</v>
      </c>
    </row>
    <row r="329" spans="1:13" x14ac:dyDescent="0.3">
      <c r="A329" t="str">
        <f>Binary!A329</f>
        <v>Atheta atramentaria</v>
      </c>
      <c r="B329" s="137">
        <f>IF(Binary!B329&gt;=1,"X",0)</f>
        <v>0</v>
      </c>
      <c r="C329" s="137" t="str">
        <f>IF(Binary!C329&gt;=1,"X",0)</f>
        <v>X</v>
      </c>
      <c r="D329" s="137">
        <f>IF(Binary!D329&gt;=1,"X",0)</f>
        <v>0</v>
      </c>
      <c r="E329" s="137">
        <f>IF(Binary!E329&gt;=1,"X",0)</f>
        <v>0</v>
      </c>
      <c r="F329" s="137" t="str">
        <f>IF(Binary!F329&gt;=1,"X",0)</f>
        <v>X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 t="str">
        <f>'Actual species'!V329</f>
        <v>------------</v>
      </c>
    </row>
    <row r="330" spans="1:13" x14ac:dyDescent="0.3">
      <c r="A330" t="str">
        <f>Binary!A330</f>
        <v>Atheta balcanicola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>
        <f>IF(Binary!F330&gt;=1,"X",0)</f>
        <v>0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 t="str">
        <f>IF(Binary!J330&gt;=1,"X",0)</f>
        <v>X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benickiella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>
        <f>IF(Binary!F331&gt;=1,"X",0)</f>
        <v>0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 xml:space="preserve">Atheta biroi (E) 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>
        <f>IF(Binary!H332&gt;=1,"X",0)</f>
        <v>0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X</v>
      </c>
    </row>
    <row r="333" spans="1:13" x14ac:dyDescent="0.3">
      <c r="A333" t="str">
        <f>Binary!A333</f>
        <v>Atheta bosnica</v>
      </c>
      <c r="B333" s="137">
        <f>IF(Binary!B333&gt;=1,"X",0)</f>
        <v>0</v>
      </c>
      <c r="C333" s="137">
        <f>IF(Binary!C333&gt;=1,"X",0)</f>
        <v>0</v>
      </c>
      <c r="D333" s="137">
        <f>IF(Binary!D333&gt;=1,"X",0)</f>
        <v>0</v>
      </c>
      <c r="E333" s="137">
        <f>IF(Binary!E333&gt;=1,"X",0)</f>
        <v>0</v>
      </c>
      <c r="F333" s="137">
        <f>IF(Binary!F333&gt;=1,"X",0)</f>
        <v>0</v>
      </c>
      <c r="G333" s="137">
        <f>IF(Binary!G333&gt;=1,"X",0)</f>
        <v>0</v>
      </c>
      <c r="H333" s="137">
        <f>IF(Binary!H333&gt;=1,"X",0)</f>
        <v>0</v>
      </c>
      <c r="I333" s="137">
        <f>IF(Binary!I333&gt;=1,"X",0)</f>
        <v>0</v>
      </c>
      <c r="J333" s="137">
        <f>IF(Binary!J333&gt;=1,"X",0)</f>
        <v>0</v>
      </c>
      <c r="K333" s="137">
        <f>IF(Binary!K333&gt;=1,"X",0)</f>
        <v>0</v>
      </c>
      <c r="L333" s="137">
        <f>IF(Binary!L333&gt;=1,"X",0)</f>
        <v>0</v>
      </c>
      <c r="M333" t="str">
        <f>'Actual species'!V333</f>
        <v>------------</v>
      </c>
    </row>
    <row r="334" spans="1:13" x14ac:dyDescent="0.3">
      <c r="A334" t="str">
        <f>Binary!A334</f>
        <v>Atheta brisouti</v>
      </c>
      <c r="B334" s="137">
        <f>IF(Binary!B334&gt;=1,"X",0)</f>
        <v>0</v>
      </c>
      <c r="C334" s="137">
        <f>IF(Binary!C334&gt;=1,"X",0)</f>
        <v>0</v>
      </c>
      <c r="D334" s="137">
        <f>IF(Binary!D334&gt;=1,"X",0)</f>
        <v>0</v>
      </c>
      <c r="E334" s="137">
        <f>IF(Binary!E334&gt;=1,"X",0)</f>
        <v>0</v>
      </c>
      <c r="F334" s="137">
        <f>IF(Binary!F334&gt;=1,"X",0)</f>
        <v>0</v>
      </c>
      <c r="G334" s="137">
        <f>IF(Binary!G334&gt;=1,"X",0)</f>
        <v>0</v>
      </c>
      <c r="H334" s="137">
        <f>IF(Binary!H334&gt;=1,"X",0)</f>
        <v>0</v>
      </c>
      <c r="I334" s="137">
        <f>IF(Binary!I334&gt;=1,"X",0)</f>
        <v>0</v>
      </c>
      <c r="J334" s="137">
        <f>IF(Binary!J334&gt;=1,"X",0)</f>
        <v>0</v>
      </c>
      <c r="K334" s="137">
        <f>IF(Binary!K334&gt;=1,"X",0)</f>
        <v>0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castanoptera</v>
      </c>
      <c r="B335" s="137">
        <f>IF(Binary!B335&gt;=1,"X",0)</f>
        <v>0</v>
      </c>
      <c r="C335" s="137">
        <f>IF(Binary!C335&gt;=1,"X",0)</f>
        <v>0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cauta</v>
      </c>
      <c r="B336" s="137">
        <f>IF(Binary!B336&gt;=1,"X",0)</f>
        <v>0</v>
      </c>
      <c r="C336" s="137">
        <f>IF(Binary!C336&gt;=1,"X",0)</f>
        <v>0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 t="str">
        <f>IF(Binary!J336&gt;=1,"X",0)</f>
        <v>X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cf. Clientula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 t="str">
        <f>IF(Binary!G337&gt;=1,"X",0)</f>
        <v>X</v>
      </c>
      <c r="H337" s="137">
        <f>IF(Binary!H337&gt;=1,"X",0)</f>
        <v>0</v>
      </c>
      <c r="I337" s="137">
        <f>IF(Binary!I337&gt;=1,"X",0)</f>
        <v>0</v>
      </c>
      <c r="J337" s="137">
        <f>IF(Binary!J337&gt;=1,"X",0)</f>
        <v>0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clientula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 t="str">
        <f>IF(Binary!H338&gt;=1,"X",0)</f>
        <v>X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 t="str">
        <f>'Actual species'!V338</f>
        <v>------------</v>
      </c>
    </row>
    <row r="339" spans="1:13" x14ac:dyDescent="0.3">
      <c r="A339" t="str">
        <f>Binary!A339</f>
        <v>Atheta crassicornis</v>
      </c>
      <c r="B339" s="137" t="str">
        <f>IF(Binary!B339&gt;=1,"X",0)</f>
        <v>X</v>
      </c>
      <c r="C339" s="137" t="str">
        <f>IF(Binary!C339&gt;=1,"X",0)</f>
        <v>X</v>
      </c>
      <c r="D339" s="137">
        <f>IF(Binary!D339&gt;=1,"X",0)</f>
        <v>0</v>
      </c>
      <c r="E339" s="137">
        <f>IF(Binary!E339&gt;=1,"X",0)</f>
        <v>0</v>
      </c>
      <c r="F339" s="137" t="str">
        <f>IF(Binary!F339&gt;=1,"X",0)</f>
        <v>X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 t="str">
        <f>IF(Binary!J339&gt;=1,"X",0)</f>
        <v>X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 xml:space="preserve">Atheta cretica (E) 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 t="str">
        <f>IF(Binary!G340&gt;=1,"X",0)</f>
        <v>X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X</v>
      </c>
    </row>
    <row r="341" spans="1:13" x14ac:dyDescent="0.3">
      <c r="A341" t="str">
        <f>Binary!A341</f>
        <v>Atheta debilis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elongatula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epirotica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>
        <f>IF(Binary!F343&gt;=1,"X",0)</f>
        <v>0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fimorum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>
        <f>IF(Binary!G344&gt;=1,"X",0)</f>
        <v>0</v>
      </c>
      <c r="H344" s="137">
        <f>IF(Binary!H344&gt;=1,"X",0)</f>
        <v>0</v>
      </c>
      <c r="I344" s="137">
        <f>IF(Binary!I344&gt;=1,"X",0)</f>
        <v>0</v>
      </c>
      <c r="J344" s="137" t="str">
        <f>IF(Binary!J344&gt;=1,"X",0)</f>
        <v>X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flavipes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>
        <f>IF(Binary!H345&gt;=1,"X",0)</f>
        <v>0</v>
      </c>
      <c r="I345" s="137">
        <f>IF(Binary!I345&gt;=1,"X",0)</f>
        <v>0</v>
      </c>
      <c r="J345" s="137" t="str">
        <f>IF(Binary!J345&gt;=1,"X",0)</f>
        <v>X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fungi fungi</v>
      </c>
      <c r="B346" s="137">
        <f>IF(Binary!B346&gt;=1,"X",0)</f>
        <v>0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>
        <f>IF(Binary!F346&gt;=1,"X",0)</f>
        <v>0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>
        <f>IF(Binary!J346&gt;=1,"X",0)</f>
        <v>0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>Atheta fussi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>
        <f>IF(Binary!G347&gt;=1,"X",0)</f>
        <v>0</v>
      </c>
      <c r="H347" s="137">
        <f>IF(Binary!H347&gt;=1,"X",0)</f>
        <v>0</v>
      </c>
      <c r="I347" s="137">
        <f>IF(Binary!I347&gt;=1,"X",0)</f>
        <v>0</v>
      </c>
      <c r="J347" s="137" t="str">
        <f>IF(Binary!J347&gt;=1,"X",0)</f>
        <v>X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gagatina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s. str. Graminicola</v>
      </c>
      <c r="B349" s="137">
        <f>IF(Binary!B349&gt;=1,"X",0)</f>
        <v>0</v>
      </c>
      <c r="C349" s="137" t="str">
        <f>IF(Binary!C349&gt;=1,"X",0)</f>
        <v>X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harwoodi</v>
      </c>
      <c r="B350" s="137" t="str">
        <f>IF(Binary!B350&gt;=1,"X",0)</f>
        <v>X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>
        <f>IF(Binary!J350&gt;=1,"X",0)</f>
        <v>0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hummleri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>
        <f>IF(Binary!J351&gt;=1,"X",0)</f>
        <v>0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hypnorum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>
        <f>IF(Binary!J352&gt;=1,"X",0)</f>
        <v>0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laevicauda</v>
      </c>
      <c r="B353" s="137">
        <f>IF(Binary!B353&gt;=1,"X",0)</f>
        <v>0</v>
      </c>
      <c r="C353" s="137">
        <f>IF(Binary!C353&gt;=1,"X",0)</f>
        <v>0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laevigata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>
        <f>IF(Binary!J354&gt;=1,"X",0)</f>
        <v>0</v>
      </c>
      <c r="K354" s="137" t="str">
        <f>IF(Binary!K354&gt;=1,"X",0)</f>
        <v>X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laticollis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 t="str">
        <f>IF(Binary!J355&gt;=1,"X",0)</f>
        <v>X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longicornis</v>
      </c>
      <c r="B356" s="137">
        <f>IF(Binary!B356&gt;=1,"X",0)</f>
        <v>0</v>
      </c>
      <c r="C356" s="137">
        <f>IF(Binary!C356&gt;=1,"X",0)</f>
        <v>0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 t="str">
        <f>IF(Binary!J356&gt;=1,"X",0)</f>
        <v>X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luridipennis</v>
      </c>
      <c r="B357" s="137">
        <f>IF(Binary!B357&gt;=1,"X",0)</f>
        <v>0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 t="str">
        <f>IF(Binary!J357&gt;=1,"X",0)</f>
        <v>X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luctuosa</v>
      </c>
      <c r="B358" s="137">
        <f>IF(Binary!B358&gt;=1,"X",0)</f>
        <v>0</v>
      </c>
      <c r="C358" s="137">
        <f>IF(Binary!C358&gt;=1,"X",0)</f>
        <v>0</v>
      </c>
      <c r="D358" s="137" t="str">
        <f>IF(Binary!D358&gt;=1,"X",0)</f>
        <v>X</v>
      </c>
      <c r="E358" s="137">
        <f>IF(Binary!E358&gt;=1,"X",0)</f>
        <v>0</v>
      </c>
      <c r="F358" s="137">
        <f>IF(Binary!F358&gt;=1,"X",0)</f>
        <v>0</v>
      </c>
      <c r="G358" s="137" t="str">
        <f>IF(Binary!G358&gt;=1,"X",0)</f>
        <v>X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marcida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 t="str">
        <f>IF(Binary!I359&gt;=1,"X",0)</f>
        <v>X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meybohmi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 t="str">
        <f>IF(Binary!H360&gt;=1,"X",0)</f>
        <v>X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nigra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 t="str">
        <f>IF(Binary!G361&gt;=1,"X",0)</f>
        <v>X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nigritula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 t="str">
        <f>IF(Binary!J362&gt;=1,"X",0)</f>
        <v>X</v>
      </c>
      <c r="K362" s="137">
        <f>IF(Binary!K362&gt;=1,"X",0)</f>
        <v>0</v>
      </c>
      <c r="L362" s="137">
        <f>IF(Binary!L362&gt;=1,"X",0)</f>
        <v>0</v>
      </c>
      <c r="M362" t="str">
        <f>'Actual species'!V362</f>
        <v>------------</v>
      </c>
    </row>
    <row r="363" spans="1:13" x14ac:dyDescent="0.3">
      <c r="A363" t="str">
        <f>Binary!A363</f>
        <v>Atheta oblita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 t="str">
        <f>IF(Binary!G363&gt;=1,"X",0)</f>
        <v>X</v>
      </c>
      <c r="H363" s="137">
        <f>IF(Binary!H363&gt;=1,"X",0)</f>
        <v>0</v>
      </c>
      <c r="I363" s="137">
        <f>IF(Binary!I363&gt;=1,"X",0)</f>
        <v>0</v>
      </c>
      <c r="J363" s="137" t="str">
        <f>IF(Binary!J363&gt;=1,"X",0)</f>
        <v>X</v>
      </c>
      <c r="K363" s="137">
        <f>IF(Binary!K363&gt;=1,"X",0)</f>
        <v>0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occulta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>
        <f>IF(Binary!J364&gt;=1,"X",0)</f>
        <v>0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opacicollis</v>
      </c>
      <c r="B365" s="137" t="str">
        <f>IF(Binary!B365&gt;=1,"X",0)</f>
        <v>X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>
        <f>IF(Binary!J365&gt;=1,"X",0)</f>
        <v>0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orbata</v>
      </c>
      <c r="B366" s="137">
        <f>IF(Binary!B366&gt;=1,"X",0)</f>
        <v>0</v>
      </c>
      <c r="C366" s="137" t="str">
        <f>IF(Binary!C366&gt;=1,"X",0)</f>
        <v>X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>
        <f>IF(Binary!J366&gt;=1,"X",0)</f>
        <v>0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orosana</v>
      </c>
      <c r="B367" s="137">
        <f>IF(Binary!B367&gt;=1,"X",0)</f>
        <v>0</v>
      </c>
      <c r="C367" s="137">
        <f>IF(Binary!C367&gt;=1,"X",0)</f>
        <v>0</v>
      </c>
      <c r="D367" s="137">
        <f>IF(Binary!D367&gt;=1,"X",0)</f>
        <v>0</v>
      </c>
      <c r="E367" s="137">
        <f>IF(Binary!E367&gt;=1,"X",0)</f>
        <v>0</v>
      </c>
      <c r="F367" s="137">
        <f>IF(Binary!F367&gt;=1,"X",0)</f>
        <v>0</v>
      </c>
      <c r="G367" s="137">
        <f>IF(Binary!G367&gt;=1,"X",0)</f>
        <v>0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palustris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>
        <f>IF(Binary!I368&gt;=1,"X",0)</f>
        <v>0</v>
      </c>
      <c r="J368" s="137" t="str">
        <f>IF(Binary!J368&gt;=1,"X",0)</f>
        <v>X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pittionii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>
        <f>IF(Binary!H369&gt;=1,"X",0)</f>
        <v>0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putrida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>
        <f>IF(Binary!G370&gt;=1,"X",0)</f>
        <v>0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ravilla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sodalis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>
        <f>IF(Binary!G372&gt;=1,"X",0)</f>
        <v>0</v>
      </c>
      <c r="H372" s="137">
        <f>IF(Binary!H372&gt;=1,"X",0)</f>
        <v>0</v>
      </c>
      <c r="I372" s="137">
        <f>IF(Binary!I372&gt;=1,"X",0)</f>
        <v>0</v>
      </c>
      <c r="J372" s="137">
        <f>IF(Binary!J372&gt;=1,"X",0)</f>
        <v>0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sp.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 t="str">
        <f>IF(Binary!G373&gt;=1,"X",0)</f>
        <v>X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sp. aff. bellesi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speculum</v>
      </c>
      <c r="B375" s="137">
        <f>IF(Binary!B375&gt;=1,"X",0)</f>
        <v>0</v>
      </c>
      <c r="C375" s="137">
        <f>IF(Binary!C375&gt;=1,"X",0)</f>
        <v>0</v>
      </c>
      <c r="D375" s="137">
        <f>IF(Binary!D375&gt;=1,"X",0)</f>
        <v>0</v>
      </c>
      <c r="E375" s="137" t="str">
        <f>IF(Binary!E375&gt;=1,"X",0)</f>
        <v>X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 t="str">
        <f>IF(Binary!I375&gt;=1,"X",0)</f>
        <v>X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subtilis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testaceipes</v>
      </c>
      <c r="B377" s="137">
        <f>IF(Binary!B377&gt;=1,"X",0)</f>
        <v>0</v>
      </c>
      <c r="C377" s="137">
        <f>IF(Binary!C377&gt;=1,"X",0)</f>
        <v>0</v>
      </c>
      <c r="D377" s="137" t="str">
        <f>IF(Binary!D377&gt;=1,"X",0)</f>
        <v>X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 xml:space="preserve">Atheta triangulum </v>
      </c>
      <c r="B378" s="137" t="str">
        <f>IF(Binary!B378&gt;=1,"X",0)</f>
        <v>X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 t="str">
        <f>IF(Binary!J378&gt;=1,"X",0)</f>
        <v>X</v>
      </c>
      <c r="K378" s="137" t="str">
        <f>IF(Binary!K378&gt;=1,"X",0)</f>
        <v>X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trinotata</v>
      </c>
      <c r="B379" s="137">
        <f>IF(Binary!B379&gt;=1,"X",0)</f>
        <v>0</v>
      </c>
      <c r="C379" s="137">
        <f>IF(Binary!C379&gt;=1,"X",0)</f>
        <v>0</v>
      </c>
      <c r="D379" s="137" t="str">
        <f>IF(Binary!D379&gt;=1,"X",0)</f>
        <v>X</v>
      </c>
      <c r="E379" s="137" t="str">
        <f>IF(Binary!E379&gt;=1,"X",0)</f>
        <v>X</v>
      </c>
      <c r="F379" s="137">
        <f>IF(Binary!F379&gt;=1,"X",0)</f>
        <v>0</v>
      </c>
      <c r="G379" s="137">
        <f>IF(Binary!G379&gt;=1,"X",0)</f>
        <v>0</v>
      </c>
      <c r="H379" s="137" t="str">
        <f>IF(Binary!H379&gt;=1,"X",0)</f>
        <v>X</v>
      </c>
      <c r="I379" s="137">
        <f>IF(Binary!I379&gt;=1,"X",0)</f>
        <v>0</v>
      </c>
      <c r="J379" s="137" t="str">
        <f>IF(Binary!J379&gt;=1,"X",0)</f>
        <v>X</v>
      </c>
      <c r="K379" s="137">
        <f>IF(Binary!K379&gt;=1,"X",0)</f>
        <v>0</v>
      </c>
      <c r="L379" s="137">
        <f>IF(Binary!L379&gt;=1,"X",0)</f>
        <v>0</v>
      </c>
      <c r="M379" t="str">
        <f>'Actual species'!V379</f>
        <v>------------</v>
      </c>
    </row>
    <row r="380" spans="1:13" x14ac:dyDescent="0.3">
      <c r="A380" t="str">
        <f>Binary!A380</f>
        <v>Atheta vaga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Autalia longicornis</v>
      </c>
      <c r="B381" s="137" t="str">
        <f>IF(Binary!B381&gt;=1,"X",0)</f>
        <v>X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 t="str">
        <f>IF(Binary!J381&gt;=1,"X",0)</f>
        <v>X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Autalia rivularis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>
        <f>IF(Binary!G382&gt;=1,"X",0)</f>
        <v>0</v>
      </c>
      <c r="H382" s="137">
        <f>IF(Binary!H382&gt;=1,"X",0)</f>
        <v>0</v>
      </c>
      <c r="I382" s="137">
        <f>IF(Binary!I382&gt;=1,"X",0)</f>
        <v>0</v>
      </c>
      <c r="J382" s="137" t="str">
        <f>IF(Binary!J382&gt;=1,"X",0)</f>
        <v>X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 xml:space="preserve">Bellatheta albimontis (E) </v>
      </c>
      <c r="B383" s="137">
        <f>IF(Binary!B383&gt;=1,"X",0)</f>
        <v>0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 t="str">
        <f>IF(Binary!G383&gt;=1,"X",0)</f>
        <v>X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X</v>
      </c>
    </row>
    <row r="384" spans="1:13" x14ac:dyDescent="0.3">
      <c r="A384" t="str">
        <f>Binary!A384</f>
        <v>Bellatheta idana (E)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>
        <f>IF(Binary!E384&gt;=1,"X",0)</f>
        <v>0</v>
      </c>
      <c r="F384" s="137">
        <f>IF(Binary!F384&gt;=1,"X",0)</f>
        <v>0</v>
      </c>
      <c r="G384" s="137" t="str">
        <f>IF(Binary!G384&gt;=1,"X",0)</f>
        <v>X</v>
      </c>
      <c r="H384" s="137">
        <f>IF(Binary!H384&gt;=1,"X",0)</f>
        <v>0</v>
      </c>
      <c r="I384" s="137">
        <f>IF(Binary!I384&gt;=1,"X",0)</f>
        <v>0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X</v>
      </c>
    </row>
    <row r="385" spans="1:13" x14ac:dyDescent="0.3">
      <c r="A385" t="str">
        <f>Binary!A385</f>
        <v>Bolitobius sp.</v>
      </c>
      <c r="B385" s="137">
        <f>IF(Binary!B385&gt;=1,"X",0)</f>
        <v>0</v>
      </c>
      <c r="C385" s="137" t="str">
        <f>IF(Binary!C385&gt;=1,"X",0)</f>
        <v>X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Bolitochara bella</v>
      </c>
      <c r="B386" s="137">
        <f>IF(Binary!B386&gt;=1,"X",0)</f>
        <v>0</v>
      </c>
      <c r="C386" s="137">
        <f>IF(Binary!C386&gt;=1,"X",0)</f>
        <v>0</v>
      </c>
      <c r="D386" s="137">
        <f>IF(Binary!D386&gt;=1,"X",0)</f>
        <v>0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>Bolitochara obliqua</v>
      </c>
      <c r="B387" s="137">
        <f>IF(Binary!B387&gt;=1,"X",0)</f>
        <v>0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>
        <f>IF(Binary!J387&gt;=1,"X",0)</f>
        <v>0</v>
      </c>
      <c r="K387" s="137">
        <f>IF(Binary!K387&gt;=1,"X",0)</f>
        <v>0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 xml:space="preserve">*Borboropora corcyrana (E) </v>
      </c>
      <c r="B388" s="137">
        <f>IF(Binary!B388&gt;=1,"X",0)</f>
        <v>0</v>
      </c>
      <c r="C388" s="137">
        <f>IF(Binary!C388&gt;=1,"X",0)</f>
        <v>0</v>
      </c>
      <c r="D388" s="137">
        <f>IF(Binary!D388&gt;=1,"X",0)</f>
        <v>0</v>
      </c>
      <c r="E388" s="137">
        <f>IF(Binary!E388&gt;=1,"X",0)</f>
        <v>0</v>
      </c>
      <c r="F388" s="137">
        <f>IF(Binary!F388&gt;=1,"X",0)</f>
        <v>0</v>
      </c>
      <c r="G388" s="137">
        <f>IF(Binary!G388&gt;=1,"X",0)</f>
        <v>0</v>
      </c>
      <c r="H388" s="137">
        <f>IF(Binary!H388&gt;=1,"X",0)</f>
        <v>0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X</v>
      </c>
    </row>
    <row r="389" spans="1:13" x14ac:dyDescent="0.3">
      <c r="A389" t="str">
        <f>Binary!A389</f>
        <v>Brachida exigua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>
        <f>IF(Binary!J389&gt;=1,"X",0)</f>
        <v>0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Brundinia meridionalis</v>
      </c>
      <c r="B390" s="137">
        <f>IF(Binary!B390&gt;=1,"X",0)</f>
        <v>0</v>
      </c>
      <c r="C390" s="137">
        <f>IF(Binary!C390&gt;=1,"X",0)</f>
        <v>0</v>
      </c>
      <c r="D390" s="137">
        <f>IF(Binary!D390&gt;=1,"X",0)</f>
        <v>0</v>
      </c>
      <c r="E390" s="137" t="str">
        <f>IF(Binary!E390&gt;=1,"X",0)</f>
        <v>X</v>
      </c>
      <c r="F390" s="137" t="str">
        <f>IF(Binary!F390&gt;=1,"X",0)</f>
        <v>X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>
        <f>IF(Binary!J390&gt;=1,"X",0)</f>
        <v>0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Callicerus rigidicornis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>Caloderina hierosolymitana</v>
      </c>
      <c r="B392" s="137" t="str">
        <f>IF(Binary!B392&gt;=1,"X",0)</f>
        <v>X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 t="str">
        <f>IF(Binary!J392&gt;=1,"X",0)</f>
        <v>X</v>
      </c>
      <c r="K392" s="137" t="str">
        <f>IF(Binary!K392&gt;=1,"X",0)</f>
        <v>X</v>
      </c>
      <c r="L392" s="137" t="str">
        <f>IF(Binary!L392&gt;=1,"X",0)</f>
        <v>X</v>
      </c>
      <c r="M392" t="str">
        <f>'Actual species'!V392</f>
        <v>------------</v>
      </c>
    </row>
    <row r="393" spans="1:13" x14ac:dyDescent="0.3">
      <c r="A393" t="str">
        <f>Binary!A393</f>
        <v>Cordalia anatolica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 t="str">
        <f>IF(Binary!F393&gt;=1,"X",0)</f>
        <v>X</v>
      </c>
      <c r="G393" s="137">
        <f>IF(Binary!G393&gt;=1,"X",0)</f>
        <v>0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Cordalia obscura</v>
      </c>
      <c r="B394" s="137" t="str">
        <f>IF(Binary!B394&gt;=1,"X",0)</f>
        <v>X</v>
      </c>
      <c r="C394" s="137">
        <f>IF(Binary!C394&gt;=1,"X",0)</f>
        <v>0</v>
      </c>
      <c r="D394" s="137">
        <f>IF(Binary!D394&gt;=1,"X",0)</f>
        <v>0</v>
      </c>
      <c r="E394" s="137">
        <f>IF(Binary!E394&gt;=1,"X",0)</f>
        <v>0</v>
      </c>
      <c r="F394" s="137" t="str">
        <f>IF(Binary!F394&gt;=1,"X",0)</f>
        <v>X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 t="str">
        <f>IF(Binary!J394&gt;=1,"X",0)</f>
        <v>X</v>
      </c>
      <c r="K394" s="137" t="str">
        <f>IF(Binary!K394&gt;=1,"X",0)</f>
        <v>X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Cousya 2 spp.</v>
      </c>
      <c r="B395" s="137" t="str">
        <f>IF(Binary!B395&gt;=1,"X",0)</f>
        <v>X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>
        <f>IF(Binary!J395&gt;=1,"X",0)</f>
        <v>0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Cousya cf. nitidiventris</v>
      </c>
      <c r="B396" s="137" t="str">
        <f>IF(Binary!B396&gt;=1,"X",0)</f>
        <v>X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>Cousya defecta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 t="str">
        <f>IF(Binary!E397&gt;=1,"X",0)</f>
        <v>X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>
        <f>IF(Binary!J397&gt;=1,"X",0)</f>
        <v>0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Cousya dimorpha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Cousya sp.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>
        <f>IF(Binary!E399&gt;=1,"X",0)</f>
        <v>0</v>
      </c>
      <c r="F399" s="137">
        <f>IF(Binary!F399&gt;=1,"X",0)</f>
        <v>0</v>
      </c>
      <c r="G399" s="137">
        <f>IF(Binary!G399&gt;=1,"X",0)</f>
        <v>0</v>
      </c>
      <c r="H399" s="137" t="str">
        <f>IF(Binary!H399&gt;=1,"X",0)</f>
        <v>X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Crataraea suturalis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>
        <f>IF(Binary!J400&gt;=1,"X",0)</f>
        <v>0</v>
      </c>
      <c r="K400" s="137">
        <f>IF(Binary!K400&gt;=1,"X",0)</f>
        <v>0</v>
      </c>
      <c r="L400" s="137">
        <f>IF(Binary!L400&gt;=1,"X",0)</f>
        <v>0</v>
      </c>
      <c r="M400" t="str">
        <f>'Actual species'!V400</f>
        <v>------------</v>
      </c>
    </row>
    <row r="401" spans="1:13" x14ac:dyDescent="0.3">
      <c r="A401" t="str">
        <f>Binary!A401</f>
        <v>Cypha cf. tarsalis</v>
      </c>
      <c r="B401" s="137">
        <f>IF(Binary!B401&gt;=1,"X",0)</f>
        <v>0</v>
      </c>
      <c r="C401" s="137">
        <f>IF(Binary!C401&gt;=1,"X",0)</f>
        <v>0</v>
      </c>
      <c r="D401" s="137">
        <f>IF(Binary!D401&gt;=1,"X",0)</f>
        <v>0</v>
      </c>
      <c r="E401" s="137" t="str">
        <f>IF(Binary!E401&gt;=1,"X",0)</f>
        <v>X</v>
      </c>
      <c r="F401" s="137">
        <f>IF(Binary!F401&gt;=1,"X",0)</f>
        <v>0</v>
      </c>
      <c r="G401" s="137">
        <f>IF(Binary!G401&gt;=1,"X",0)</f>
        <v>0</v>
      </c>
      <c r="H401" s="137">
        <f>IF(Binary!H401&gt;=1,"X",0)</f>
        <v>0</v>
      </c>
      <c r="I401" s="137">
        <f>IF(Binary!I401&gt;=1,"X",0)</f>
        <v>0</v>
      </c>
      <c r="J401" s="137">
        <f>IF(Binary!J401&gt;=1,"X",0)</f>
        <v>0</v>
      </c>
      <c r="K401" s="137">
        <f>IF(Binary!K401&gt;=1,"X",0)</f>
        <v>0</v>
      </c>
      <c r="L401" s="137">
        <f>IF(Binary!L401&gt;=1,"X",0)</f>
        <v>0</v>
      </c>
      <c r="M401" t="str">
        <f>'Actual species'!V401</f>
        <v>------------</v>
      </c>
    </row>
    <row r="402" spans="1:13" x14ac:dyDescent="0.3">
      <c r="A402" t="str">
        <f>Binary!A402</f>
        <v>Cypha graeca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>
        <f>IF(Binary!F402&gt;=1,"X",0)</f>
        <v>0</v>
      </c>
      <c r="G402" s="137" t="str">
        <f>IF(Binary!G402&gt;=1,"X",0)</f>
        <v>X</v>
      </c>
      <c r="H402" s="137">
        <f>IF(Binary!H402&gt;=1,"X",0)</f>
        <v>0</v>
      </c>
      <c r="I402" s="137">
        <f>IF(Binary!I402&gt;=1,"X",0)</f>
        <v>0</v>
      </c>
      <c r="J402" s="137" t="str">
        <f>IF(Binary!J402&gt;=1,"X",0)</f>
        <v>X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Cypha longicornis</v>
      </c>
      <c r="B403" s="137">
        <f>IF(Binary!B403&gt;=1,"X",0)</f>
        <v>0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>
        <f>IF(Binary!J403&gt;=1,"X",0)</f>
        <v>0</v>
      </c>
      <c r="K403" s="137">
        <f>IF(Binary!K403&gt;=1,"X",0)</f>
        <v>0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Cypha spathulata</v>
      </c>
      <c r="B404" s="137">
        <f>IF(Binary!B404&gt;=1,"X",0)</f>
        <v>0</v>
      </c>
      <c r="C404" s="137">
        <f>IF(Binary!C404&gt;=1,"X",0)</f>
        <v>0</v>
      </c>
      <c r="D404" s="137">
        <f>IF(Binary!D404&gt;=1,"X",0)</f>
        <v>0</v>
      </c>
      <c r="E404" s="137" t="str">
        <f>IF(Binary!E404&gt;=1,"X",0)</f>
        <v>X</v>
      </c>
      <c r="F404" s="137" t="str">
        <f>IF(Binary!F404&gt;=1,"X",0)</f>
        <v>X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 t="str">
        <f>IF(Binary!L404&gt;=1,"X",0)</f>
        <v>X</v>
      </c>
      <c r="M404" t="str">
        <f>'Actual species'!V404</f>
        <v>------------</v>
      </c>
    </row>
    <row r="405" spans="1:13" x14ac:dyDescent="0.3">
      <c r="A405" t="str">
        <f>Binary!A405</f>
        <v>Cypha sp.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 t="str">
        <f>IF(Binary!J405&gt;=1,"X",0)</f>
        <v>X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Cypha tenebricosa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>
        <f>IF(Binary!E406&gt;=1,"X",0)</f>
        <v>0</v>
      </c>
      <c r="F406" s="137" t="str">
        <f>IF(Binary!F406&gt;=1,"X",0)</f>
        <v>X</v>
      </c>
      <c r="G406" s="137">
        <f>IF(Binary!G406&gt;=1,"X",0)</f>
        <v>0</v>
      </c>
      <c r="H406" s="137">
        <f>IF(Binary!H406&gt;=1,"X",0)</f>
        <v>0</v>
      </c>
      <c r="I406" s="137" t="str">
        <f>IF(Binary!I406&gt;=1,"X",0)</f>
        <v>X</v>
      </c>
      <c r="J406" s="137">
        <f>IF(Binary!J406&gt;=1,"X",0)</f>
        <v>0</v>
      </c>
      <c r="K406" s="137" t="str">
        <f>IF(Binary!K406&gt;=1,"X",0)</f>
        <v>X</v>
      </c>
      <c r="L406" s="137" t="str">
        <f>IF(Binary!L406&gt;=1,"X",0)</f>
        <v>X</v>
      </c>
      <c r="M406" t="str">
        <f>'Actual species'!V406</f>
        <v>------------</v>
      </c>
    </row>
    <row r="407" spans="1:13" x14ac:dyDescent="0.3">
      <c r="A407" t="str">
        <f>Binary!A407</f>
        <v>Dalotia coriaria</v>
      </c>
      <c r="B407" s="137">
        <f>IF(Binary!B407&gt;=1,"X",0)</f>
        <v>0</v>
      </c>
      <c r="C407" s="137" t="str">
        <f>IF(Binary!C407&gt;=1,"X",0)</f>
        <v>X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 t="str">
        <f>IF(Binary!H407&gt;=1,"X",0)</f>
        <v>X</v>
      </c>
      <c r="I407" s="137">
        <f>IF(Binary!I407&gt;=1,"X",0)</f>
        <v>0</v>
      </c>
      <c r="J407" s="137" t="str">
        <f>IF(Binary!J407&gt;=1,"X",0)</f>
        <v>X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Deinopsis erosa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>
        <f>IF(Binary!H408&gt;=1,"X",0)</f>
        <v>0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 t="str">
        <f>'Actual species'!V408</f>
        <v>------------</v>
      </c>
    </row>
    <row r="409" spans="1:13" x14ac:dyDescent="0.3">
      <c r="A409" t="str">
        <f>Binary!A409</f>
        <v>Diestota guadalupensis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 t="str">
        <f>IF(Binary!J409&gt;=1,"X",0)</f>
        <v>X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Dilacra luteipes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>
        <f>IF(Binary!E410&gt;=1,"X",0)</f>
        <v>0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Dilacra pruinosa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>
        <f>IF(Binary!G411&gt;=1,"X",0)</f>
        <v>0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Dinusa cretica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 t="str">
        <f>IF(Binary!E412&gt;=1,"X",0)</f>
        <v>X</v>
      </c>
      <c r="F412" s="137">
        <f>IF(Binary!F412&gt;=1,"X",0)</f>
        <v>0</v>
      </c>
      <c r="G412" s="137" t="str">
        <f>IF(Binary!G412&gt;=1,"X",0)</f>
        <v>X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 t="str">
        <f>IF(Binary!L412&gt;=1,"X",0)</f>
        <v>X</v>
      </c>
      <c r="M412" t="str">
        <f>'Actual species'!V412</f>
        <v>------------</v>
      </c>
    </row>
    <row r="413" spans="1:13" x14ac:dyDescent="0.3">
      <c r="A413" t="str">
        <f>Binary!A413</f>
        <v>Dinusa smyrnensis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>
        <f>IF(Binary!E413&gt;=1,"X",0)</f>
        <v>0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>
        <f>IF(Binary!L413&gt;=1,"X",0)</f>
        <v>0</v>
      </c>
      <c r="M413" t="str">
        <f>'Actual species'!V413</f>
        <v>------------</v>
      </c>
    </row>
    <row r="414" spans="1:13" x14ac:dyDescent="0.3">
      <c r="A414" t="str">
        <f>Binary!A414</f>
        <v>Dinusa sp. (female)</v>
      </c>
      <c r="B414" s="137">
        <f>IF(Binary!B414&gt;=1,"X",0)</f>
        <v>0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 t="str">
        <f>IF(Binary!H414&gt;=1,"X",0)</f>
        <v>X</v>
      </c>
      <c r="I414" s="137">
        <f>IF(Binary!I414&gt;=1,"X",0)</f>
        <v>0</v>
      </c>
      <c r="J414" s="137">
        <f>IF(Binary!J414&gt;=1,"X",0)</f>
        <v>0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Drusilla canaliculata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>
        <f>IF(Binary!F415&gt;=1,"X",0)</f>
        <v>0</v>
      </c>
      <c r="G415" s="137">
        <f>IF(Binary!G415&gt;=1,"X",0)</f>
        <v>0</v>
      </c>
      <c r="H415" s="137">
        <f>IF(Binary!H415&gt;=1,"X",0)</f>
        <v>0</v>
      </c>
      <c r="I415" s="137">
        <f>IF(Binary!I415&gt;=1,"X",0)</f>
        <v>0</v>
      </c>
      <c r="J415" s="137">
        <f>IF(Binary!J415&gt;=1,"X",0)</f>
        <v>0</v>
      </c>
      <c r="K415" s="137">
        <f>IF(Binary!K415&gt;=1,"X",0)</f>
        <v>0</v>
      </c>
      <c r="L415" s="137">
        <f>IF(Binary!L415&gt;=1,"X",0)</f>
        <v>0</v>
      </c>
      <c r="M415" t="str">
        <f>'Actual species'!V415</f>
        <v>------------</v>
      </c>
    </row>
    <row r="416" spans="1:13" x14ac:dyDescent="0.3">
      <c r="A416" t="str">
        <f>Binary!A416</f>
        <v xml:space="preserve">Drusilla cretica (E) </v>
      </c>
      <c r="B416" s="137">
        <f>IF(Binary!B416&gt;=1,"X",0)</f>
        <v>0</v>
      </c>
      <c r="C416" s="137">
        <f>IF(Binary!C416&gt;=1,"X",0)</f>
        <v>0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 t="str">
        <f>IF(Binary!G416&gt;=1,"X",0)</f>
        <v>X</v>
      </c>
      <c r="H416" s="137">
        <f>IF(Binary!H416&gt;=1,"X",0)</f>
        <v>0</v>
      </c>
      <c r="I416" s="137">
        <f>IF(Binary!I416&gt;=1,"X",0)</f>
        <v>0</v>
      </c>
      <c r="J416" s="137">
        <f>IF(Binary!J416&gt;=1,"X",0)</f>
        <v>0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X</v>
      </c>
    </row>
    <row r="417" spans="1:13" x14ac:dyDescent="0.3">
      <c r="A417" t="str">
        <f>Binary!A417</f>
        <v>Emmeostiba? Sp.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Enalodroma hepatica</v>
      </c>
      <c r="B418" s="137">
        <f>IF(Binary!B418&gt;=1,"X",0)</f>
        <v>0</v>
      </c>
      <c r="C418" s="137">
        <f>IF(Binary!C418&gt;=1,"X",0)</f>
        <v>0</v>
      </c>
      <c r="D418" s="137" t="str">
        <f>IF(Binary!D418&gt;=1,"X",0)</f>
        <v>X</v>
      </c>
      <c r="E418" s="137">
        <f>IF(Binary!E418&gt;=1,"X",0)</f>
        <v>0</v>
      </c>
      <c r="F418" s="137" t="str">
        <f>IF(Binary!F418&gt;=1,"X",0)</f>
        <v>X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Eurodotina inquinula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 xml:space="preserve">*Euryalea picipennis (E) </v>
      </c>
      <c r="B420" s="137" t="str">
        <f>IF(Binary!B420&gt;=1,"X",0)</f>
        <v>X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X</v>
      </c>
    </row>
    <row r="421" spans="1:13" x14ac:dyDescent="0.3">
      <c r="A421" t="str">
        <f>Binary!A421</f>
        <v>Falagria caesa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Falagria sulcata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>
        <f>IF(Binary!E422&gt;=1,"X",0)</f>
        <v>0</v>
      </c>
      <c r="F422" s="137" t="str">
        <f>IF(Binary!F422&gt;=1,"X",0)</f>
        <v>X</v>
      </c>
      <c r="G422" s="137">
        <f>IF(Binary!G422&gt;=1,"X",0)</f>
        <v>0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Falagrioma thoracica</v>
      </c>
      <c r="B423" s="137">
        <f>IF(Binary!B423&gt;=1,"X",0)</f>
        <v>0</v>
      </c>
      <c r="C423" s="137">
        <f>IF(Binary!C423&gt;=1,"X",0)</f>
        <v>0</v>
      </c>
      <c r="D423" s="137" t="str">
        <f>IF(Binary!D423&gt;=1,"X",0)</f>
        <v>X</v>
      </c>
      <c r="E423" s="137">
        <f>IF(Binary!E423&gt;=1,"X",0)</f>
        <v>0</v>
      </c>
      <c r="F423" s="137">
        <f>IF(Binary!F423&gt;=1,"X",0)</f>
        <v>0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 t="str">
        <f>IF(Binary!J423&gt;=1,"X",0)</f>
        <v>X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 xml:space="preserve">Geostiba albimontis (E) 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>
        <f>IF(Binary!H424&gt;=1,"X",0)</f>
        <v>0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X</v>
      </c>
    </row>
    <row r="425" spans="1:13" x14ac:dyDescent="0.3">
      <c r="A425" t="str">
        <f>Binary!A425</f>
        <v>Geostiba armata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>Geostiba breviuter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>
        <f>IF(Binary!G426&gt;=1,"X",0)</f>
        <v>0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 xml:space="preserve">*Geostiba cyprensis (E) </v>
      </c>
      <c r="B427" s="137" t="str">
        <f>IF(Binary!B427&gt;=1,"X",0)</f>
        <v>X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X</v>
      </c>
    </row>
    <row r="428" spans="1:13" x14ac:dyDescent="0.3">
      <c r="A428" t="str">
        <f>Binary!A428</f>
        <v xml:space="preserve">Geostiba diktiana (E) </v>
      </c>
      <c r="B428" s="137">
        <f>IF(Binary!B428&gt;=1,"X",0)</f>
        <v>0</v>
      </c>
      <c r="C428" s="137">
        <f>IF(Binary!C428&gt;=1,"X",0)</f>
        <v>0</v>
      </c>
      <c r="D428" s="137">
        <f>IF(Binary!D428&gt;=1,"X",0)</f>
        <v>0</v>
      </c>
      <c r="E428" s="137">
        <f>IF(Binary!E428&gt;=1,"X",0)</f>
        <v>0</v>
      </c>
      <c r="F428" s="137">
        <f>IF(Binary!F428&gt;=1,"X",0)</f>
        <v>0</v>
      </c>
      <c r="G428" s="137" t="str">
        <f>IF(Binary!G428&gt;=1,"X",0)</f>
        <v>X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X</v>
      </c>
    </row>
    <row r="429" spans="1:13" x14ac:dyDescent="0.3">
      <c r="A429" t="str">
        <f>Binary!A429</f>
        <v>Geostiba euboica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>
        <f>IF(Binary!J429&gt;=1,"X",0)</f>
        <v>0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Geostiba exsecta (E) </v>
      </c>
      <c r="B430" s="137">
        <f>IF(Binary!B430&gt;=1,"X",0)</f>
        <v>0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 t="str">
        <f>IF(Binary!G430&gt;=1,"X",0)</f>
        <v>X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X</v>
      </c>
    </row>
    <row r="431" spans="1:13" x14ac:dyDescent="0.3">
      <c r="A431" t="str">
        <f>Binary!A431</f>
        <v>Geostiba fthiotisensis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>
        <f>IF(Binary!J431&gt;=1,"X",0)</f>
        <v>0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 xml:space="preserve">Geostiba icaria (E) 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>
        <f>IF(Binary!F432&gt;=1,"X",0)</f>
        <v>0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>
        <f>IF(Binary!L432&gt;=1,"X",0)</f>
        <v>0</v>
      </c>
      <c r="M432" t="str">
        <f>'Actual species'!V432</f>
        <v>X</v>
      </c>
    </row>
    <row r="433" spans="1:13" x14ac:dyDescent="0.3">
      <c r="A433" t="str">
        <f>Binary!A433</f>
        <v xml:space="preserve">Geostiba idaea (E) </v>
      </c>
      <c r="B433" s="137">
        <f>IF(Binary!B433&gt;=1,"X",0)</f>
        <v>0</v>
      </c>
      <c r="C433" s="137">
        <f>IF(Binary!C433&gt;=1,"X",0)</f>
        <v>0</v>
      </c>
      <c r="D433" s="137">
        <f>IF(Binary!D433&gt;=1,"X",0)</f>
        <v>0</v>
      </c>
      <c r="E433" s="137">
        <f>IF(Binary!E433&gt;=1,"X",0)</f>
        <v>0</v>
      </c>
      <c r="F433" s="137">
        <f>IF(Binary!F433&gt;=1,"X",0)</f>
        <v>0</v>
      </c>
      <c r="G433" s="137" t="str">
        <f>IF(Binary!G433&gt;=1,"X",0)</f>
        <v>X</v>
      </c>
      <c r="H433" s="137">
        <f>IF(Binary!H433&gt;=1,"X",0)</f>
        <v>0</v>
      </c>
      <c r="I433" s="137">
        <f>IF(Binary!I433&gt;=1,"X",0)</f>
        <v>0</v>
      </c>
      <c r="J433" s="137">
        <f>IF(Binary!J433&gt;=1,"X",0)</f>
        <v>0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X</v>
      </c>
    </row>
    <row r="434" spans="1:13" x14ac:dyDescent="0.3">
      <c r="A434" t="str">
        <f>Binary!A434</f>
        <v>Geostiba lucens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 t="str">
        <f>IF(Binary!H434&gt;=1,"X",0)</f>
        <v>X</v>
      </c>
      <c r="I434" s="137" t="str">
        <f>IF(Binary!I434&gt;=1,"X",0)</f>
        <v>X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maxiana</v>
      </c>
      <c r="B435" s="137">
        <f>IF(Binary!B435&gt;=1,"X",0)</f>
        <v>0</v>
      </c>
      <c r="C435" s="137">
        <f>IF(Binary!C435&gt;=1,"X",0)</f>
        <v>0</v>
      </c>
      <c r="D435" s="137" t="str">
        <f>IF(Binary!D435&gt;=1,"X",0)</f>
        <v>X</v>
      </c>
      <c r="E435" s="137" t="str">
        <f>IF(Binary!E435&gt;=1,"X",0)</f>
        <v>X</v>
      </c>
      <c r="F435" s="137" t="str">
        <f>IF(Binary!F435&gt;=1,"X",0)</f>
        <v>X</v>
      </c>
      <c r="G435" s="137">
        <f>IF(Binary!G435&gt;=1,"X",0)</f>
        <v>0</v>
      </c>
      <c r="H435" s="137">
        <f>IF(Binary!H435&gt;=1,"X",0)</f>
        <v>0</v>
      </c>
      <c r="I435" s="137" t="str">
        <f>IF(Binary!I435&gt;=1,"X",0)</f>
        <v>X</v>
      </c>
      <c r="J435" s="137">
        <f>IF(Binary!J435&gt;=1,"X",0)</f>
        <v>0</v>
      </c>
      <c r="K435" s="137" t="str">
        <f>IF(Binary!K435&gt;=1,"X",0)</f>
        <v>X</v>
      </c>
      <c r="L435" s="137" t="str">
        <f>IF(Binary!L435&gt;=1,"X",0)</f>
        <v>X</v>
      </c>
      <c r="M435" t="str">
        <f>'Actual species'!V435</f>
        <v>------------</v>
      </c>
    </row>
    <row r="436" spans="1:13" x14ac:dyDescent="0.3">
      <c r="A436" t="str">
        <f>Binary!A436</f>
        <v xml:space="preserve">Geostiba meybohmi (E) 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 t="str">
        <f>IF(Binary!G436&gt;=1,"X",0)</f>
        <v>X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X</v>
      </c>
    </row>
    <row r="437" spans="1:13" x14ac:dyDescent="0.3">
      <c r="A437" t="str">
        <f>Binary!A437</f>
        <v>Geostiba obtusangula</v>
      </c>
      <c r="B437" s="137">
        <f>IF(Binary!B437&gt;=1,"X",0)</f>
        <v>0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>Geostiba oertzeni</v>
      </c>
      <c r="B438" s="137">
        <f>IF(Binary!B438&gt;=1,"X",0)</f>
        <v>0</v>
      </c>
      <c r="C438" s="137" t="str">
        <f>IF(Binary!C438&gt;=1,"X",0)</f>
        <v>X</v>
      </c>
      <c r="D438" s="137">
        <f>IF(Binary!D438&gt;=1,"X",0)</f>
        <v>0</v>
      </c>
      <c r="E438" s="137" t="str">
        <f>IF(Binary!E438&gt;=1,"X",0)</f>
        <v>X</v>
      </c>
      <c r="F438" s="137" t="str">
        <f>IF(Binary!F438&gt;=1,"X",0)</f>
        <v>X</v>
      </c>
      <c r="G438" s="137" t="str">
        <f>IF(Binary!G438&gt;=1,"X",0)</f>
        <v>X</v>
      </c>
      <c r="H438" s="137" t="str">
        <f>IF(Binary!H438&gt;=1,"X",0)</f>
        <v>X</v>
      </c>
      <c r="I438" s="137">
        <f>IF(Binary!I438&gt;=1,"X",0)</f>
        <v>0</v>
      </c>
      <c r="J438" s="137">
        <f>IF(Binary!J438&gt;=1,"X",0)</f>
        <v>0</v>
      </c>
      <c r="K438" s="137" t="str">
        <f>IF(Binary!K438&gt;=1,"X",0)</f>
        <v>X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 xml:space="preserve">Geostiba paulexsecta (E) 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 t="str">
        <f>IF(Binary!G439&gt;=1,"X",0)</f>
        <v>X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X</v>
      </c>
    </row>
    <row r="440" spans="1:13" x14ac:dyDescent="0.3">
      <c r="A440" t="str">
        <f>Binary!A440</f>
        <v xml:space="preserve">*Geostiba perdita (E) </v>
      </c>
      <c r="B440" s="137">
        <f>IF(Binary!B440&gt;=1,"X",0)</f>
        <v>0</v>
      </c>
      <c r="C440" s="137">
        <f>IF(Binary!C440&gt;=1,"X",0)</f>
        <v>0</v>
      </c>
      <c r="D440" s="137" t="str">
        <f>IF(Binary!D440&gt;=1,"X",0)</f>
        <v>X</v>
      </c>
      <c r="E440" s="137">
        <f>IF(Binary!E440&gt;=1,"X",0)</f>
        <v>0</v>
      </c>
      <c r="F440" s="137">
        <f>IF(Binary!F440&gt;=1,"X",0)</f>
        <v>0</v>
      </c>
      <c r="G440" s="137">
        <f>IF(Binary!G440&gt;=1,"X",0)</f>
        <v>0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X</v>
      </c>
    </row>
    <row r="441" spans="1:13" x14ac:dyDescent="0.3">
      <c r="A441" t="str">
        <f>Binary!A441</f>
        <v xml:space="preserve">*Geostiba plicipennis (E) 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 t="str">
        <f>IF(Binary!E441&gt;=1,"X",0)</f>
        <v>X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X</v>
      </c>
    </row>
    <row r="442" spans="1:13" x14ac:dyDescent="0.3">
      <c r="A442" t="str">
        <f>Binary!A442</f>
        <v>Geostiba rhodiensis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 t="str">
        <f>IF(Binary!H442&gt;=1,"X",0)</f>
        <v>X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thryptisensis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X</v>
      </c>
    </row>
    <row r="444" spans="1:13" x14ac:dyDescent="0.3">
      <c r="A444" t="str">
        <f>Binary!A444</f>
        <v>Geostiba torisuturalis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>
        <f>IF(Binary!H444&gt;=1,"X",0)</f>
        <v>0</v>
      </c>
      <c r="I444" s="137">
        <f>IF(Binary!I444&gt;=1,"X",0)</f>
        <v>0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varnousica</v>
      </c>
      <c r="B445" s="137">
        <f>IF(Binary!B445&gt;=1,"X",0)</f>
        <v>0</v>
      </c>
      <c r="C445" s="137">
        <f>IF(Binary!C445&gt;=1,"X",0)</f>
        <v>0</v>
      </c>
      <c r="D445" s="137">
        <f>IF(Binary!D445&gt;=1,"X",0)</f>
        <v>0</v>
      </c>
      <c r="E445" s="137">
        <f>IF(Binary!E445&gt;=1,"X",0)</f>
        <v>0</v>
      </c>
      <c r="F445" s="137">
        <f>IF(Binary!F445&gt;=1,"X",0)</f>
        <v>0</v>
      </c>
      <c r="G445" s="137">
        <f>IF(Binary!G445&gt;=1,"X",0)</f>
        <v>0</v>
      </c>
      <c r="H445" s="137">
        <f>IF(Binary!H445&gt;=1,"X",0)</f>
        <v>0</v>
      </c>
      <c r="I445" s="137">
        <f>IF(Binary!I445&gt;=1,"X",0)</f>
        <v>0</v>
      </c>
      <c r="J445" s="137">
        <f>IF(Binary!J445&gt;=1,"X",0)</f>
        <v>0</v>
      </c>
      <c r="K445" s="137">
        <f>IF(Binary!K445&gt;=1,"X",0)</f>
        <v>0</v>
      </c>
      <c r="L445" s="137">
        <f>IF(Binary!L445&gt;=1,"X",0)</f>
        <v>0</v>
      </c>
      <c r="M445" t="str">
        <f>'Actual species'!V445</f>
        <v>------------</v>
      </c>
    </row>
    <row r="446" spans="1:13" x14ac:dyDescent="0.3">
      <c r="A446" t="str">
        <f>Binary!A446</f>
        <v>Gnypeta carbonaria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 t="str">
        <f>IF(Binary!F446&gt;=1,"X",0)</f>
        <v>X</v>
      </c>
      <c r="G446" s="137">
        <f>IF(Binary!G446&gt;=1,"X",0)</f>
        <v>0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Gyrophaena affinis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 t="str">
        <f>IF(Binary!J447&gt;=1,"X",0)</f>
        <v>X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Gyrophaena joyi</v>
      </c>
      <c r="B448" s="137">
        <f>IF(Binary!B448&gt;=1,"X",0)</f>
        <v>0</v>
      </c>
      <c r="C448" s="137">
        <f>IF(Binary!C448&gt;=1,"X",0)</f>
        <v>0</v>
      </c>
      <c r="D448" s="137">
        <f>IF(Binary!D448&gt;=1,"X",0)</f>
        <v>0</v>
      </c>
      <c r="E448" s="137">
        <f>IF(Binary!E448&gt;=1,"X",0)</f>
        <v>0</v>
      </c>
      <c r="F448" s="137">
        <f>IF(Binary!F448&gt;=1,"X",0)</f>
        <v>0</v>
      </c>
      <c r="G448" s="137">
        <f>IF(Binary!G448&gt;=1,"X",0)</f>
        <v>0</v>
      </c>
      <c r="H448" s="137">
        <f>IF(Binary!H448&gt;=1,"X",0)</f>
        <v>0</v>
      </c>
      <c r="I448" s="137">
        <f>IF(Binary!I448&gt;=1,"X",0)</f>
        <v>0</v>
      </c>
      <c r="J448" s="137" t="str">
        <f>IF(Binary!J448&gt;=1,"X",0)</f>
        <v>X</v>
      </c>
      <c r="K448" s="137">
        <f>IF(Binary!K448&gt;=1,"X",0)</f>
        <v>0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>Gyrophaena lucidula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>
        <f>IF(Binary!G449&gt;=1,"X",0)</f>
        <v>0</v>
      </c>
      <c r="H449" s="137">
        <f>IF(Binary!H449&gt;=1,"X",0)</f>
        <v>0</v>
      </c>
      <c r="I449" s="137">
        <f>IF(Binary!I449&gt;=1,"X",0)</f>
        <v>0</v>
      </c>
      <c r="J449" s="137" t="str">
        <f>IF(Binary!J449&gt;=1,"X",0)</f>
        <v>X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>Gyrophaena sp. (female)</v>
      </c>
      <c r="B450" s="137">
        <f>IF(Binary!B450&gt;=1,"X",0)</f>
        <v>0</v>
      </c>
      <c r="C450" s="137">
        <f>IF(Binary!C450&gt;=1,"X",0)</f>
        <v>0</v>
      </c>
      <c r="D450" s="137">
        <f>IF(Binary!D450&gt;=1,"X",0)</f>
        <v>0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>Halobrecta algae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>
        <f>IF(Binary!E451&gt;=1,"X",0)</f>
        <v>0</v>
      </c>
      <c r="F451" s="137" t="str">
        <f>IF(Binary!F451&gt;=1,"X",0)</f>
        <v>X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Halobrecta cf. Puncticeps</v>
      </c>
      <c r="B452" s="137" t="str">
        <f>IF(Binary!B452&gt;=1,"X",0)</f>
        <v>X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>
        <f>IF(Binary!H452&gt;=1,"X",0)</f>
        <v>0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>Halobrecta flavipes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 t="str">
        <f>IF(Binary!F453&gt;=1,"X",0)</f>
        <v>X</v>
      </c>
      <c r="G453" s="137">
        <f>IF(Binary!G453&gt;=1,"X",0)</f>
        <v>0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Haploglossa villosula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 t="str">
        <f>IF(Binary!F454&gt;=1,"X",0)</f>
        <v>X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 t="str">
        <f>IF(Binary!J454&gt;=1,"X",0)</f>
        <v>X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Heterota plumbea</v>
      </c>
      <c r="B455" s="137" t="str">
        <f>IF(Binary!B455&gt;=1,"X",0)</f>
        <v>X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Holobus flavicornis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>
        <f>IF(Binary!F456&gt;=1,"X",0)</f>
        <v>0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 t="str">
        <f>IF(Binary!J456&gt;=1,"X",0)</f>
        <v>X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Homoeusa acuminata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>
        <f>IF(Binary!J457&gt;=1,"X",0)</f>
        <v>0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Homoeusa spec.</v>
      </c>
      <c r="B458" s="137">
        <f>IF(Binary!B458&gt;=1,"X",0)</f>
        <v>0</v>
      </c>
      <c r="C458" s="137">
        <f>IF(Binary!C458&gt;=1,"X",0)</f>
        <v>0</v>
      </c>
      <c r="D458" s="137" t="str">
        <f>IF(Binary!D458&gt;=1,"X",0)</f>
        <v>X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Hydrosmecta fragilis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Hydrosmecta sp.</v>
      </c>
      <c r="B460" s="137">
        <f>IF(Binary!B460&gt;=1,"X",0)</f>
        <v>0</v>
      </c>
      <c r="C460" s="137">
        <f>IF(Binary!C460&gt;=1,"X",0)</f>
        <v>0</v>
      </c>
      <c r="D460" s="137" t="str">
        <f>IF(Binary!D460&gt;=1,"X",0)</f>
        <v>X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Hydromecta sp. 1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 t="str">
        <f>IF(Binary!G461&gt;=1,"X",0)</f>
        <v>X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Hydromecta sp. 2</v>
      </c>
      <c r="B462" s="137">
        <f>IF(Binary!B462&gt;=1,"X",0)</f>
        <v>0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 t="str">
        <f>IF(Binary!F462&gt;=1,"X",0)</f>
        <v>X</v>
      </c>
      <c r="G462" s="137" t="str">
        <f>IF(Binary!G462&gt;=1,"X",0)</f>
        <v>X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Hydromecta sp. 3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 t="str">
        <f>IF(Binary!G463&gt;=1,"X",0)</f>
        <v>X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Ischnoglossa proxila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>
        <f>IF(Binary!F464&gt;=1,"X",0)</f>
        <v>0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>
        <f>IF(Binary!J464&gt;=1,"X",0)</f>
        <v>0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Ischnoglossa turcica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 t="str">
        <f>IF(Binary!E465&gt;=1,"X",0)</f>
        <v>X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Ischnopoda umbratica</v>
      </c>
      <c r="B466" s="137">
        <f>IF(Binary!B466&gt;=1,"X",0)</f>
        <v>0</v>
      </c>
      <c r="C466" s="137">
        <f>IF(Binary!C466&gt;=1,"X",0)</f>
        <v>0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>
        <f>IF(Binary!J466&gt;=1,"X",0)</f>
        <v>0</v>
      </c>
      <c r="K466" s="137">
        <f>IF(Binary!K466&gt;=1,"X",0)</f>
        <v>0</v>
      </c>
      <c r="L466" s="137">
        <f>IF(Binary!L466&gt;=1,"X",0)</f>
        <v>0</v>
      </c>
      <c r="M466" t="str">
        <f>'Actual species'!V466</f>
        <v>------------</v>
      </c>
    </row>
    <row r="467" spans="1:13" x14ac:dyDescent="0.3">
      <c r="A467" t="str">
        <f>Binary!A467</f>
        <v>Leptusa asperata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 xml:space="preserve">*Leptusa cerrutii (E) </v>
      </c>
      <c r="B468" s="137" t="str">
        <f>IF(Binary!B468&gt;=1,"X",0)</f>
        <v>X</v>
      </c>
      <c r="C468" s="137">
        <f>IF(Binary!C468&gt;=1,"X",0)</f>
        <v>0</v>
      </c>
      <c r="D468" s="137">
        <f>IF(Binary!D468&gt;=1,"X",0)</f>
        <v>0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>
        <f>IF(Binary!J468&gt;=1,"X",0)</f>
        <v>0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X</v>
      </c>
    </row>
    <row r="469" spans="1:13" x14ac:dyDescent="0.3">
      <c r="A469" t="str">
        <f>Binary!A469</f>
        <v xml:space="preserve">*Leptusa cypria (E) </v>
      </c>
      <c r="B469" s="137" t="str">
        <f>IF(Binary!B469&gt;=1,"X",0)</f>
        <v>X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X</v>
      </c>
    </row>
    <row r="470" spans="1:13" x14ac:dyDescent="0.3">
      <c r="A470" t="str">
        <f>Binary!A470</f>
        <v>Leptusa jelineki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>
        <f>IF(Binary!J470&gt;=1,"X",0)</f>
        <v>0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Leptusa meschniggi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Leptusa peristerica</v>
      </c>
      <c r="B472" s="137">
        <f>IF(Binary!B472&gt;=1,"X",0)</f>
        <v>0</v>
      </c>
      <c r="C472" s="137">
        <f>IF(Binary!C472&gt;=1,"X",0)</f>
        <v>0</v>
      </c>
      <c r="D472" s="137">
        <f>IF(Binary!D472&gt;=1,"X",0)</f>
        <v>0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Leptusa reitteri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>
        <f>IF(Binary!F473&gt;=1,"X",0)</f>
        <v>0</v>
      </c>
      <c r="G473" s="137">
        <f>IF(Binary!G473&gt;=1,"X",0)</f>
        <v>0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Leptusa ruficollis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>
        <f>IF(Binary!F474&gt;=1,"X",0)</f>
        <v>0</v>
      </c>
      <c r="G474" s="137">
        <f>IF(Binary!G474&gt;=1,"X",0)</f>
        <v>0</v>
      </c>
      <c r="H474" s="137">
        <f>IF(Binary!H474&gt;=1,"X",0)</f>
        <v>0</v>
      </c>
      <c r="I474" s="137">
        <f>IF(Binary!I474&gt;=1,"X",0)</f>
        <v>0</v>
      </c>
      <c r="J474" s="137" t="str">
        <f>IF(Binary!J474&gt;=1,"X",0)</f>
        <v>X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Leptusa samia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 t="str">
        <f>IF(Binary!E475&gt;=1,"X",0)</f>
        <v>X</v>
      </c>
      <c r="F475" s="137" t="str">
        <f>IF(Binary!F475&gt;=1,"X",0)</f>
        <v>X</v>
      </c>
      <c r="G475" s="137">
        <f>IF(Binary!G475&gt;=1,"X",0)</f>
        <v>0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Leptusa sororella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 xml:space="preserve">Leptusa sp. </v>
      </c>
      <c r="B477" s="137">
        <f>IF(Binary!B477&gt;=1,"X",0)</f>
        <v>0</v>
      </c>
      <c r="C477" s="137" t="str">
        <f>IF(Binary!C477&gt;=1,"X",0)</f>
        <v>X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Leptusa winneguthiana</v>
      </c>
      <c r="B478" s="137">
        <f>IF(Binary!B478&gt;=1,"X",0)</f>
        <v>0</v>
      </c>
      <c r="C478" s="137">
        <f>IF(Binary!C478&gt;=1,"X",0)</f>
        <v>0</v>
      </c>
      <c r="D478" s="137">
        <f>IF(Binary!D478&gt;=1,"X",0)</f>
        <v>0</v>
      </c>
      <c r="E478" s="137">
        <f>IF(Binary!E478&gt;=1,"X",0)</f>
        <v>0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Liogluta alpestris</v>
      </c>
      <c r="B479" s="137">
        <f>IF(Binary!B479&gt;=1,"X",0)</f>
        <v>0</v>
      </c>
      <c r="C479" s="137">
        <f>IF(Binary!C479&gt;=1,"X",0)</f>
        <v>0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Liogluta longiuscula</v>
      </c>
      <c r="B480" s="137" t="str">
        <f>IF(Binary!B480&gt;=1,"X",0)</f>
        <v>X</v>
      </c>
      <c r="C480" s="137">
        <f>IF(Binary!C480&gt;=1,"X",0)</f>
        <v>0</v>
      </c>
      <c r="D480" s="137" t="str">
        <f>IF(Binary!D480&gt;=1,"X",0)</f>
        <v>X</v>
      </c>
      <c r="E480" s="137" t="str">
        <f>IF(Binary!E480&gt;=1,"X",0)</f>
        <v>X</v>
      </c>
      <c r="F480" s="137" t="str">
        <f>IF(Binary!F480&gt;=1,"X",0)</f>
        <v>X</v>
      </c>
      <c r="G480" s="137" t="str">
        <f>IF(Binary!G480&gt;=1,"X",0)</f>
        <v>X</v>
      </c>
      <c r="H480" s="137" t="str">
        <f>IF(Binary!H480&gt;=1,"X",0)</f>
        <v>X</v>
      </c>
      <c r="I480" s="137" t="str">
        <f>IF(Binary!I480&gt;=1,"X",0)</f>
        <v>X</v>
      </c>
      <c r="J480" s="137">
        <f>IF(Binary!J480&gt;=1,"X",0)</f>
        <v>0</v>
      </c>
      <c r="K480" s="137" t="str">
        <f>IF(Binary!K480&gt;=1,"X",0)</f>
        <v>X</v>
      </c>
      <c r="L480" s="137">
        <f>IF(Binary!L480&gt;=1,"X",0)</f>
        <v>0</v>
      </c>
      <c r="M480" t="str">
        <f>'Actual species'!V480</f>
        <v>------------</v>
      </c>
    </row>
    <row r="481" spans="1:13" x14ac:dyDescent="0.3">
      <c r="A481" t="str">
        <f>Binary!A481</f>
        <v>Liogluta microptera</v>
      </c>
      <c r="B481" s="137">
        <f>IF(Binary!B481&gt;=1,"X",0)</f>
        <v>0</v>
      </c>
      <c r="C481" s="137" t="str">
        <f>IF(Binary!C481&gt;=1,"X",0)</f>
        <v>X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>Lyprocorrhe anceps</v>
      </c>
      <c r="B482" s="137">
        <f>IF(Binary!B482&gt;=1,"X",0)</f>
        <v>0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Maurachelia roubali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 t="str">
        <f>IF(Binary!E483&gt;=1,"X",0)</f>
        <v>X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 t="str">
        <f>'Actual species'!V483</f>
        <v>------------</v>
      </c>
    </row>
    <row r="484" spans="1:13" x14ac:dyDescent="0.3">
      <c r="A484" t="str">
        <f>Binary!A484</f>
        <v>Meotica parasita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 t="str">
        <f>IF(Binary!J484&gt;=1,"X",0)</f>
        <v>X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Meotica sp.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Myllaena aff. minuta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Myllaena cf. Kraatzi</v>
      </c>
      <c r="B487" s="137" t="str">
        <f>IF(Binary!B487&gt;=1,"X",0)</f>
        <v>X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>
        <f>IF(Binary!J487&gt;=1,"X",0)</f>
        <v>0</v>
      </c>
      <c r="K487" s="137">
        <f>IF(Binary!K487&gt;=1,"X",0)</f>
        <v>0</v>
      </c>
      <c r="L487" s="137">
        <f>IF(Binary!L487&gt;=1,"X",0)</f>
        <v>0</v>
      </c>
      <c r="M487" t="str">
        <f>'Actual species'!V487</f>
        <v>------------</v>
      </c>
    </row>
    <row r="488" spans="1:13" x14ac:dyDescent="0.3">
      <c r="A488" t="str">
        <f>Binary!A488</f>
        <v>Myllaena dubia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>
        <f>IF(Binary!E488&gt;=1,"X",0)</f>
        <v>0</v>
      </c>
      <c r="F488" s="137">
        <f>IF(Binary!F488&gt;=1,"X",0)</f>
        <v>0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Myllaena infuscata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>Myllaena intermedia</v>
      </c>
      <c r="B490" s="137">
        <f>IF(Binary!B490&gt;=1,"X",0)</f>
        <v>0</v>
      </c>
      <c r="C490" s="137">
        <f>IF(Binary!C490&gt;=1,"X",0)</f>
        <v>0</v>
      </c>
      <c r="D490" s="137">
        <f>IF(Binary!D490&gt;=1,"X",0)</f>
        <v>0</v>
      </c>
      <c r="E490" s="137" t="str">
        <f>IF(Binary!E490&gt;=1,"X",0)</f>
        <v>X</v>
      </c>
      <c r="F490" s="137" t="str">
        <f>IF(Binary!F490&gt;=1,"X",0)</f>
        <v>X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 t="str">
        <f>IF(Binary!L490&gt;=1,"X",0)</f>
        <v>X</v>
      </c>
      <c r="M490" t="str">
        <f>'Actual species'!V490</f>
        <v>------------</v>
      </c>
    </row>
    <row r="491" spans="1:13" x14ac:dyDescent="0.3">
      <c r="A491" t="str">
        <f>Binary!A491</f>
        <v>Myllaena lesbia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 t="str">
        <f>IF(Binary!F491&gt;=1,"X",0)</f>
        <v>X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Myllaena kraatzi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 t="str">
        <f>'Actual species'!V492</f>
        <v>------------</v>
      </c>
    </row>
    <row r="493" spans="1:13" x14ac:dyDescent="0.3">
      <c r="A493" t="str">
        <f>Binary!A493</f>
        <v>Myllaena minuta</v>
      </c>
      <c r="B493" s="137">
        <f>IF(Binary!B493&gt;=1,"X",0)</f>
        <v>0</v>
      </c>
      <c r="C493" s="137">
        <f>IF(Binary!C493&gt;=1,"X",0)</f>
        <v>0</v>
      </c>
      <c r="D493" s="137">
        <f>IF(Binary!D493&gt;=1,"X",0)</f>
        <v>0</v>
      </c>
      <c r="E493" s="137">
        <f>IF(Binary!E493&gt;=1,"X",0)</f>
        <v>0</v>
      </c>
      <c r="F493" s="137">
        <f>IF(Binary!F493&gt;=1,"X",0)</f>
        <v>0</v>
      </c>
      <c r="G493" s="137">
        <f>IF(Binary!G493&gt;=1,"X",0)</f>
        <v>0</v>
      </c>
      <c r="H493" s="137">
        <f>IF(Binary!H493&gt;=1,"X",0)</f>
        <v>0</v>
      </c>
      <c r="I493" s="137">
        <f>IF(Binary!I493&gt;=1,"X",0)</f>
        <v>0</v>
      </c>
      <c r="J493" s="137">
        <f>IF(Binary!J493&gt;=1,"X",0)</f>
        <v>0</v>
      </c>
      <c r="K493" s="137">
        <f>IF(Binary!K493&gt;=1,"X",0)</f>
        <v>0</v>
      </c>
      <c r="L493" s="137">
        <f>IF(Binary!L493&gt;=1,"X",0)</f>
        <v>0</v>
      </c>
      <c r="M493" t="str">
        <f>'Actual species'!V493</f>
        <v>------------</v>
      </c>
    </row>
    <row r="494" spans="1:13" x14ac:dyDescent="0.3">
      <c r="A494" t="str">
        <f>Binary!A494</f>
        <v>Myllaena sp.</v>
      </c>
      <c r="B494" s="137">
        <f>IF(Binary!B494&gt;=1,"X",0)</f>
        <v>0</v>
      </c>
      <c r="C494" s="137">
        <f>IF(Binary!C494&gt;=1,"X",0)</f>
        <v>0</v>
      </c>
      <c r="D494" s="137">
        <f>IF(Binary!D494&gt;=1,"X",0)</f>
        <v>0</v>
      </c>
      <c r="E494" s="137">
        <f>IF(Binary!E494&gt;=1,"X",0)</f>
        <v>0</v>
      </c>
      <c r="F494" s="137" t="str">
        <f>IF(Binary!F494&gt;=1,"X",0)</f>
        <v>X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Myllaena spp.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 t="str">
        <f>IF(Binary!J495&gt;=1,"X",0)</f>
        <v>X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Myrmecopora anatolica</v>
      </c>
      <c r="B496" s="137" t="str">
        <f>IF(Binary!B496&gt;=1,"X",0)</f>
        <v>X</v>
      </c>
      <c r="C496" s="137">
        <f>IF(Binary!C496&gt;=1,"X",0)</f>
        <v>0</v>
      </c>
      <c r="D496" s="137">
        <f>IF(Binary!D496&gt;=1,"X",0)</f>
        <v>0</v>
      </c>
      <c r="E496" s="137">
        <f>IF(Binary!E496&gt;=1,"X",0)</f>
        <v>0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Myrmecopora boehmi</v>
      </c>
      <c r="B497" s="137" t="str">
        <f>IF(Binary!B497&gt;=1,"X",0)</f>
        <v>X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>
        <f>IF(Binary!J497&gt;=1,"X",0)</f>
        <v>0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Myrmecopora convexula</v>
      </c>
      <c r="B498" s="137">
        <f>IF(Binary!B498&gt;=1,"X",0)</f>
        <v>0</v>
      </c>
      <c r="C498" s="137">
        <f>IF(Binary!C498&gt;=1,"X",0)</f>
        <v>0</v>
      </c>
      <c r="D498" s="137" t="str">
        <f>IF(Binary!D498&gt;=1,"X",0)</f>
        <v>X</v>
      </c>
      <c r="E498" s="137" t="str">
        <f>IF(Binary!E498&gt;=1,"X",0)</f>
        <v>X</v>
      </c>
      <c r="F498" s="137" t="str">
        <f>IF(Binary!F498&gt;=1,"X",0)</f>
        <v>X</v>
      </c>
      <c r="G498" s="137">
        <f>IF(Binary!G498&gt;=1,"X",0)</f>
        <v>0</v>
      </c>
      <c r="H498" s="137">
        <f>IF(Binary!H498&gt;=1,"X",0)</f>
        <v>0</v>
      </c>
      <c r="I498" s="137" t="str">
        <f>IF(Binary!I498&gt;=1,"X",0)</f>
        <v>X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 xml:space="preserve">Myrmecopora elisa (E) 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 t="str">
        <f>IF(Binary!G499&gt;=1,"X",0)</f>
        <v>X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X</v>
      </c>
    </row>
    <row r="500" spans="1:13" x14ac:dyDescent="0.3">
      <c r="A500" t="str">
        <f>Binary!A500</f>
        <v xml:space="preserve">Myrmecopora fornicata (E) </v>
      </c>
      <c r="B500" s="137">
        <f>IF(Binary!B500&gt;=1,"X",0)</f>
        <v>0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 t="str">
        <f>IF(Binary!G500&gt;=1,"X",0)</f>
        <v>X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X</v>
      </c>
    </row>
    <row r="501" spans="1:13" x14ac:dyDescent="0.3">
      <c r="A501" t="str">
        <f>Binary!A501</f>
        <v>Myrmecopora fugax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 t="str">
        <f>IF(Binary!H501&gt;=1,"X",0)</f>
        <v>X</v>
      </c>
      <c r="I501" s="137">
        <f>IF(Binary!I501&gt;=1,"X",0)</f>
        <v>0</v>
      </c>
      <c r="J501" s="137" t="str">
        <f>IF(Binary!J501&gt;=1,"X",0)</f>
        <v>X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 xml:space="preserve">Myrmecopora idana (E) 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 t="str">
        <f>IF(Binary!G502&gt;=1,"X",0)</f>
        <v>X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X</v>
      </c>
    </row>
    <row r="503" spans="1:13" x14ac:dyDescent="0.3">
      <c r="A503" t="str">
        <f>Binary!A503</f>
        <v>Myrmecopora laesa</v>
      </c>
      <c r="B503" s="137" t="str">
        <f>IF(Binary!B503&gt;=1,"X",0)</f>
        <v>X</v>
      </c>
      <c r="C503" s="137">
        <f>IF(Binary!C503&gt;=1,"X",0)</f>
        <v>0</v>
      </c>
      <c r="D503" s="137">
        <f>IF(Binary!D503&gt;=1,"X",0)</f>
        <v>0</v>
      </c>
      <c r="E503" s="137">
        <f>IF(Binary!E503&gt;=1,"X",0)</f>
        <v>0</v>
      </c>
      <c r="F503" s="137">
        <f>IF(Binary!F503&gt;=1,"X",0)</f>
        <v>0</v>
      </c>
      <c r="G503" s="137" t="str">
        <f>IF(Binary!G503&gt;=1,"X",0)</f>
        <v>X</v>
      </c>
      <c r="H503" s="137" t="str">
        <f>IF(Binary!H503&gt;=1,"X",0)</f>
        <v>X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>
        <f>IF(Binary!L503&gt;=1,"X",0)</f>
        <v>0</v>
      </c>
      <c r="M503" t="str">
        <f>'Actual species'!V503</f>
        <v>------------</v>
      </c>
    </row>
    <row r="504" spans="1:13" x14ac:dyDescent="0.3">
      <c r="A504" t="str">
        <f>Binary!A504</f>
        <v xml:space="preserve">Myrmecopora plana (E) 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>
        <f>IF(Binary!F504&gt;=1,"X",0)</f>
        <v>0</v>
      </c>
      <c r="G504" s="137" t="str">
        <f>IF(Binary!G504&gt;=1,"X",0)</f>
        <v>X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X</v>
      </c>
    </row>
    <row r="505" spans="1:13" x14ac:dyDescent="0.3">
      <c r="A505" t="str">
        <f>Binary!A505</f>
        <v>Myrmecopora pygmaea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 xml:space="preserve">Myrmecopora rhodica (E) 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 t="str">
        <f>IF(Binary!H506&gt;=1,"X",0)</f>
        <v>X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X</v>
      </c>
    </row>
    <row r="507" spans="1:13" x14ac:dyDescent="0.3">
      <c r="A507" t="str">
        <f>Binary!A507</f>
        <v xml:space="preserve">Myrmecopora sp. 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>
        <f>IF(Binary!F507&gt;=1,"X",0)</f>
        <v>0</v>
      </c>
      <c r="G507" s="137" t="str">
        <f>IF(Binary!G507&gt;=1,"X",0)</f>
        <v>X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 xml:space="preserve">Myrmecopora sulcata 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 t="str">
        <f>IF(Binary!F508&gt;=1,"X",0)</f>
        <v>X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>
        <f>IF(Binary!J508&gt;=1,"X",0)</f>
        <v>0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 xml:space="preserve">Myrmecopora thriptica (E) </v>
      </c>
      <c r="B509" s="137">
        <f>IF(Binary!B509&gt;=1,"X",0)</f>
        <v>0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 t="str">
        <f>IF(Binary!G509&gt;=1,"X",0)</f>
        <v>X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X</v>
      </c>
    </row>
    <row r="510" spans="1:13" x14ac:dyDescent="0.3">
      <c r="A510" t="str">
        <f>Binary!A510</f>
        <v>Myrmecopora uvida</v>
      </c>
      <c r="B510" s="137">
        <f>IF(Binary!B510&gt;=1,"X",0)</f>
        <v>0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 t="str">
        <f>IF(Binary!F510&gt;=1,"X",0)</f>
        <v>X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Myrmoecia plicata</v>
      </c>
      <c r="B511" s="137">
        <f>IF(Binary!B511&gt;=1,"X",0)</f>
        <v>0</v>
      </c>
      <c r="C511" s="137">
        <f>IF(Binary!C511&gt;=1,"X",0)</f>
        <v>0</v>
      </c>
      <c r="D511" s="137">
        <f>IF(Binary!D511&gt;=1,"X",0)</f>
        <v>0</v>
      </c>
      <c r="E511" s="137">
        <f>IF(Binary!E511&gt;=1,"X",0)</f>
        <v>0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>
        <f>IF(Binary!I511&gt;=1,"X",0)</f>
        <v>0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>Nehemitropia lividipennis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>
        <f>IF(Binary!G512&gt;=1,"X",0)</f>
        <v>0</v>
      </c>
      <c r="H512" s="137" t="str">
        <f>IF(Binary!H512&gt;=1,"X",0)</f>
        <v>X</v>
      </c>
      <c r="I512" s="137">
        <f>IF(Binary!I512&gt;=1,"X",0)</f>
        <v>0</v>
      </c>
      <c r="J512" s="137" t="str">
        <f>IF(Binary!J512&gt;=1,"X",0)</f>
        <v>X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>Notothecta flavipes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>
        <f>IF(Binary!G513&gt;=1,"X",0)</f>
        <v>0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Notothecta pisidica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 t="str">
        <f>IF(Binary!F514&gt;=1,"X",0)</f>
        <v>X</v>
      </c>
      <c r="G514" s="137">
        <f>IF(Binary!G514&gt;=1,"X",0)</f>
        <v>0</v>
      </c>
      <c r="H514" s="137">
        <f>IF(Binary!H514&gt;=1,"X",0)</f>
        <v>0</v>
      </c>
      <c r="I514" s="137">
        <f>IF(Binary!I514&gt;=1,"X",0)</f>
        <v>0</v>
      </c>
      <c r="J514" s="137">
        <f>IF(Binary!J514&gt;=1,"X",0)</f>
        <v>0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>Ocalea badia</v>
      </c>
      <c r="B515" s="137">
        <f>IF(Binary!B515&gt;=1,"X",0)</f>
        <v>0</v>
      </c>
      <c r="C515" s="137" t="str">
        <f>IF(Binary!C515&gt;=1,"X",0)</f>
        <v>X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Ocalea brachyptera</v>
      </c>
      <c r="B516" s="137">
        <f>IF(Binary!B516&gt;=1,"X",0)</f>
        <v>0</v>
      </c>
      <c r="C516" s="137">
        <f>IF(Binary!C516&gt;=1,"X",0)</f>
        <v>0</v>
      </c>
      <c r="D516" s="137">
        <f>IF(Binary!D516&gt;=1,"X",0)</f>
        <v>0</v>
      </c>
      <c r="E516" s="137" t="str">
        <f>IF(Binary!E516&gt;=1,"X",0)</f>
        <v>X</v>
      </c>
      <c r="F516" s="137">
        <f>IF(Binary!F516&gt;=1,"X",0)</f>
        <v>0</v>
      </c>
      <c r="G516" s="137">
        <f>IF(Binary!G516&gt;=1,"X",0)</f>
        <v>0</v>
      </c>
      <c r="H516" s="137">
        <f>IF(Binary!H516&gt;=1,"X",0)</f>
        <v>0</v>
      </c>
      <c r="I516" s="137" t="str">
        <f>IF(Binary!I516&gt;=1,"X",0)</f>
        <v>X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>Ocalea cf. badia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>
        <f>IF(Binary!G517&gt;=1,"X",0)</f>
        <v>0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Ocalea cf. puncticollis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 t="str">
        <f>IF(Binary!F518&gt;=1,"X",0)</f>
        <v>X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>Ocalea cf. rivularis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 t="str">
        <f>IF(Binary!F519&gt;=1,"X",0)</f>
        <v>X</v>
      </c>
      <c r="G519" s="137">
        <f>IF(Binary!G519&gt;=1,"X",0)</f>
        <v>0</v>
      </c>
      <c r="H519" s="137">
        <f>IF(Binary!H519&gt;=1,"X",0)</f>
        <v>0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>Ocalea concolor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>
        <f>IF(Binary!G520&gt;=1,"X",0)</f>
        <v>0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Ocalea cretica (E)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>
        <f>IF(Binary!F521&gt;=1,"X",0)</f>
        <v>0</v>
      </c>
      <c r="G521" s="137" t="str">
        <f>IF(Binary!G521&gt;=1,"X",0)</f>
        <v>X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X</v>
      </c>
    </row>
    <row r="522" spans="1:13" x14ac:dyDescent="0.3">
      <c r="A522" t="str">
        <f>Binary!A522</f>
        <v>Ocalea puncticollis</v>
      </c>
      <c r="B522" s="137" t="str">
        <f>IF(Binary!B522&gt;=1,"X",0)</f>
        <v>X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>
        <f>IF(Binary!G522&gt;=1,"X",0)</f>
        <v>0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Ocalea robusta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>
        <f>IF(Binary!F523&gt;=1,"X",0)</f>
        <v>0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 t="str">
        <f>IF(Binary!J523&gt;=1,"X",0)</f>
        <v>X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Ocalea ruficollis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>
        <f>IF(Binary!F524&gt;=1,"X",0)</f>
        <v>0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 t="str">
        <f>IF(Binary!J524&gt;=1,"X",0)</f>
        <v>X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Ocalea sp.</v>
      </c>
      <c r="B525" s="137">
        <f>IF(Binary!B525&gt;=1,"X",0)</f>
        <v>0</v>
      </c>
      <c r="C525" s="137">
        <f>IF(Binary!C525&gt;=1,"X",0)</f>
        <v>0</v>
      </c>
      <c r="D525" s="137" t="str">
        <f>IF(Binary!D525&gt;=1,"X",0)</f>
        <v>X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>
        <f>IF(Binary!H525&gt;=1,"X",0)</f>
        <v>0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Ocalea spp.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?*Oligocharina corcyrica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>
        <f>IF(Binary!F527&gt;=1,"X",0)</f>
        <v>0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Oligota anatolica</v>
      </c>
      <c r="B528" s="137">
        <f>IF(Binary!B528&gt;=1,"X",0)</f>
        <v>0</v>
      </c>
      <c r="C528" s="137">
        <f>IF(Binary!C528&gt;=1,"X",0)</f>
        <v>0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>
        <f>IF(Binary!G528&gt;=1,"X",0)</f>
        <v>0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 t="str">
        <f>IF(Binary!K528&gt;=1,"X",0)</f>
        <v>X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Oligota granaria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>
        <f>IF(Binary!E529&gt;=1,"X",0)</f>
        <v>0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>
        <f>IF(Binary!I529&gt;=1,"X",0)</f>
        <v>0</v>
      </c>
      <c r="J529" s="137" t="str">
        <f>IF(Binary!J529&gt;=1,"X",0)</f>
        <v>X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Oligota lohsei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 t="str">
        <f>IF(Binary!J530&gt;=1,"X",0)</f>
        <v>X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Oligota parva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>
        <f>IF(Binary!F531&gt;=1,"X",0)</f>
        <v>0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 t="str">
        <f>IF(Binary!J531&gt;=1,"X",0)</f>
        <v>X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Oligota picipes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>
        <f>IF(Binary!F532&gt;=1,"X",0)</f>
        <v>0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 t="str">
        <f>IF(Binary!J532&gt;=1,"X",0)</f>
        <v>X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Oligota pusillima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 t="str">
        <f>IF(Binary!H533&gt;=1,"X",0)</f>
        <v>X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>Oligota pumilio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 t="str">
        <f>IF(Binary!E534&gt;=1,"X",0)</f>
        <v>X</v>
      </c>
      <c r="F534" s="137" t="str">
        <f>IF(Binary!F534&gt;=1,"X",0)</f>
        <v>X</v>
      </c>
      <c r="G534" s="137">
        <f>IF(Binary!G534&gt;=1,"X",0)</f>
        <v>0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Oligota sp. (female)</v>
      </c>
      <c r="B535" s="137">
        <f>IF(Binary!B535&gt;=1,"X",0)</f>
        <v>0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 t="str">
        <f>IF(Binary!G535&gt;=1,"X",0)</f>
        <v>X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Ousipalia caesula</v>
      </c>
      <c r="B536" s="137" t="str">
        <f>IF(Binary!B536&gt;=1,"X",0)</f>
        <v>X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 t="str">
        <f>IF(Binary!F536&gt;=1,"X",0)</f>
        <v>X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>
        <f>IF(Binary!J536&gt;=1,"X",0)</f>
        <v>0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Oxypoda (Baeoglena) sp.</v>
      </c>
      <c r="B537" s="137" t="str">
        <f>IF(Binary!B537&gt;=1,"X",0)</f>
        <v>X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 t="str">
        <f>IF(Binary!G537&gt;=1,"X",0)</f>
        <v>X</v>
      </c>
      <c r="H537" s="137" t="str">
        <f>IF(Binary!H537&gt;=1,"X",0)</f>
        <v>X</v>
      </c>
      <c r="I537" s="137">
        <f>IF(Binary!I537&gt;=1,"X",0)</f>
        <v>0</v>
      </c>
      <c r="J537" s="137">
        <f>IF(Binary!J537&gt;=1,"X",0)</f>
        <v>0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Oxypoda (brachyptera group) sp. Female</v>
      </c>
      <c r="B538" s="137">
        <f>IF(Binary!B538&gt;=1,"X",0)</f>
        <v>0</v>
      </c>
      <c r="C538" s="137">
        <f>IF(Binary!C538&gt;=1,"X",0)</f>
        <v>0</v>
      </c>
      <c r="D538" s="137">
        <f>IF(Binary!D538&gt;=1,"X",0)</f>
        <v>0</v>
      </c>
      <c r="E538" s="137">
        <f>IF(Binary!E538&gt;=1,"X",0)</f>
        <v>0</v>
      </c>
      <c r="F538" s="137">
        <f>IF(Binary!F538&gt;=1,"X",0)</f>
        <v>0</v>
      </c>
      <c r="G538" s="137" t="str">
        <f>IF(Binary!G538&gt;=1,"X",0)</f>
        <v>X</v>
      </c>
      <c r="H538" s="137">
        <f>IF(Binary!H538&gt;=1,"X",0)</f>
        <v>0</v>
      </c>
      <c r="I538" s="137">
        <f>IF(Binary!I538&gt;=1,"X",0)</f>
        <v>0</v>
      </c>
      <c r="J538" s="137">
        <f>IF(Binary!J538&gt;=1,"X",0)</f>
        <v>0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Oxypoda abominalis</v>
      </c>
      <c r="B539" s="137">
        <f>IF(Binary!B539&gt;=1,"X",0)</f>
        <v>0</v>
      </c>
      <c r="C539" s="137" t="str">
        <f>IF(Binary!C539&gt;=1,"X",0)</f>
        <v>X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 t="str">
        <f>'Actual species'!V539</f>
        <v>------------</v>
      </c>
    </row>
    <row r="540" spans="1:13" x14ac:dyDescent="0.3">
      <c r="A540" t="str">
        <f>Binary!A540</f>
        <v>Oxypoda acutissima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 t="str">
        <f>IF(Binary!E540&gt;=1,"X",0)</f>
        <v>X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 t="str">
        <f>IF(Binary!I540&gt;=1,"X",0)</f>
        <v>X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Oxypoda alternans</v>
      </c>
      <c r="B541" s="137">
        <f>IF(Binary!B541&gt;=1,"X",0)</f>
        <v>0</v>
      </c>
      <c r="C541" s="137" t="str">
        <f>IF(Binary!C541&gt;=1,"X",0)</f>
        <v>X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>
        <f>IF(Binary!K541&gt;=1,"X",0)</f>
        <v>0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Oxypoda annularis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>
        <f>IF(Binary!J542&gt;=1,"X",0)</f>
        <v>0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Oxypoda aff. brachyptera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>
        <f>IF(Binary!J543&gt;=1,"X",0)</f>
        <v>0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Oxypoda attenuata</v>
      </c>
      <c r="B544" s="137">
        <f>IF(Binary!B544&gt;=1,"X",0)</f>
        <v>0</v>
      </c>
      <c r="C544" s="137">
        <f>IF(Binary!C544&gt;=1,"X",0)</f>
        <v>0</v>
      </c>
      <c r="D544" s="137" t="str">
        <f>IF(Binary!D544&gt;=1,"X",0)</f>
        <v>X</v>
      </c>
      <c r="E544" s="137">
        <f>IF(Binary!E544&gt;=1,"X",0)</f>
        <v>0</v>
      </c>
      <c r="F544" s="137" t="str">
        <f>IF(Binary!F544&gt;=1,"X",0)</f>
        <v>X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>
        <f>IF(Binary!J544&gt;=1,"X",0)</f>
        <v>0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 xml:space="preserve">Oxypoda bicornuta (E) 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>
        <f>IF(Binary!J545&gt;=1,"X",0)</f>
        <v>0</v>
      </c>
      <c r="K545" s="137">
        <f>IF(Binary!K545&gt;=1,"X",0)</f>
        <v>0</v>
      </c>
      <c r="L545" s="137" t="str">
        <f>IF(Binary!L545&gt;=1,"X",0)</f>
        <v>X</v>
      </c>
      <c r="M545" t="str">
        <f>'Actual species'!V545</f>
        <v>X</v>
      </c>
    </row>
    <row r="546" spans="1:13" x14ac:dyDescent="0.3">
      <c r="A546" t="str">
        <f>Binary!A546</f>
        <v>Oxypoda bimaculata</v>
      </c>
      <c r="B546" s="137" t="str">
        <f>IF(Binary!B546&gt;=1,"X",0)</f>
        <v>X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 t="str">
        <f>IF(Binary!G546&gt;=1,"X",0)</f>
        <v>X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Oxypoda brevicornis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>
        <f>IF(Binary!E547&gt;=1,"X",0)</f>
        <v>0</v>
      </c>
      <c r="F547" s="137">
        <f>IF(Binary!F547&gt;=1,"X",0)</f>
        <v>0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 t="str">
        <f>IF(Binary!J547&gt;=1,"X",0)</f>
        <v>X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Oxypoda carbonaria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 t="str">
        <f>IF(Binary!F548&gt;=1,"X",0)</f>
        <v>X</v>
      </c>
      <c r="G548" s="137">
        <f>IF(Binary!G548&gt;=1,"X",0)</f>
        <v>0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 t="str">
        <f>IF(Binary!L548&gt;=1,"X",0)</f>
        <v>X</v>
      </c>
      <c r="M548" t="str">
        <f>'Actual species'!V548</f>
        <v>------------</v>
      </c>
    </row>
    <row r="549" spans="1:13" x14ac:dyDescent="0.3">
      <c r="A549" t="str">
        <f>Binary!A549</f>
        <v>Oxypoda cf. nova</v>
      </c>
      <c r="B549" s="137">
        <f>IF(Binary!B549&gt;=1,"X",0)</f>
        <v>0</v>
      </c>
      <c r="C549" s="137">
        <f>IF(Binary!C549&gt;=1,"X",0)</f>
        <v>0</v>
      </c>
      <c r="D549" s="137" t="str">
        <f>IF(Binary!D549&gt;=1,"X",0)</f>
        <v>X</v>
      </c>
      <c r="E549" s="137" t="str">
        <f>IF(Binary!E549&gt;=1,"X",0)</f>
        <v>X</v>
      </c>
      <c r="F549" s="137">
        <f>IF(Binary!F549&gt;=1,"X",0)</f>
        <v>0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 t="str">
        <f>IF(Binary!L549&gt;=1,"X",0)</f>
        <v>X</v>
      </c>
      <c r="M549" t="str">
        <f>'Actual species'!V549</f>
        <v>------------</v>
      </c>
    </row>
    <row r="550" spans="1:13" x14ac:dyDescent="0.3">
      <c r="A550" t="str">
        <f>Binary!A550</f>
        <v>Oxypoda cf. turcica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>
        <f>IF(Binary!G550&gt;=1,"X",0)</f>
        <v>0</v>
      </c>
      <c r="H550" s="137">
        <f>IF(Binary!H550&gt;=1,"X",0)</f>
        <v>0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 t="str">
        <f>'Actual species'!V550</f>
        <v>------------</v>
      </c>
    </row>
    <row r="551" spans="1:13" x14ac:dyDescent="0.3">
      <c r="A551" t="str">
        <f>Binary!A551</f>
        <v>Oxypoda cf. vicina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>
        <f>IF(Binary!G551&gt;=1,"X",0)</f>
        <v>0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 xml:space="preserve">Oxypoda cretica (E) </v>
      </c>
      <c r="B552" s="137">
        <f>IF(Binary!B552&gt;=1,"X",0)</f>
        <v>0</v>
      </c>
      <c r="C552" s="137">
        <f>IF(Binary!C552&gt;=1,"X",0)</f>
        <v>0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 t="str">
        <f>IF(Binary!G552&gt;=1,"X",0)</f>
        <v>X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X</v>
      </c>
    </row>
    <row r="553" spans="1:13" x14ac:dyDescent="0.3">
      <c r="A553" t="str">
        <f>Binary!A553</f>
        <v>Oxypoda exoleta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>
        <f>IF(Binary!E553&gt;=1,"X",0)</f>
        <v>0</v>
      </c>
      <c r="F553" s="137">
        <f>IF(Binary!F553&gt;=1,"X",0)</f>
        <v>0</v>
      </c>
      <c r="G553" s="137">
        <f>IF(Binary!G553&gt;=1,"X",0)</f>
        <v>0</v>
      </c>
      <c r="H553" s="137" t="str">
        <f>IF(Binary!H553&gt;=1,"X",0)</f>
        <v>X</v>
      </c>
      <c r="I553" s="137">
        <f>IF(Binary!I553&gt;=1,"X",0)</f>
        <v>0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ferruginea</v>
      </c>
      <c r="B554" s="137">
        <f>IF(Binary!B554&gt;=1,"X",0)</f>
        <v>0</v>
      </c>
      <c r="C554" s="137">
        <f>IF(Binary!C554&gt;=1,"X",0)</f>
        <v>0</v>
      </c>
      <c r="D554" s="137">
        <f>IF(Binary!D554&gt;=1,"X",0)</f>
        <v>0</v>
      </c>
      <c r="E554" s="137">
        <f>IF(Binary!E554&gt;=1,"X",0)</f>
        <v>0</v>
      </c>
      <c r="F554" s="137" t="str">
        <f>IF(Binary!F554&gt;=1,"X",0)</f>
        <v>X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 t="str">
        <f>IF(Binary!J554&gt;=1,"X",0)</f>
        <v>X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flavicornis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 t="str">
        <f>IF(Binary!E555&gt;=1,"X",0)</f>
        <v>X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formosa</v>
      </c>
      <c r="B556" s="137">
        <f>IF(Binary!B556&gt;=1,"X",0)</f>
        <v>0</v>
      </c>
      <c r="C556" s="137">
        <f>IF(Binary!C556&gt;=1,"X",0)</f>
        <v>0</v>
      </c>
      <c r="D556" s="137" t="str">
        <f>IF(Binary!D556&gt;=1,"X",0)</f>
        <v>X</v>
      </c>
      <c r="E556" s="137">
        <f>IF(Binary!E556&gt;=1,"X",0)</f>
        <v>0</v>
      </c>
      <c r="F556" s="137">
        <f>IF(Binary!F556&gt;=1,"X",0)</f>
        <v>0</v>
      </c>
      <c r="G556" s="137" t="str">
        <f>IF(Binary!G556&gt;=1,"X",0)</f>
        <v>X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haemorrhoa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 t="str">
        <f>IF(Binary!G557&gt;=1,"X",0)</f>
        <v>X</v>
      </c>
      <c r="H557" s="137">
        <f>IF(Binary!H557&gt;=1,"X",0)</f>
        <v>0</v>
      </c>
      <c r="I557" s="137">
        <f>IF(Binary!I557&gt;=1,"X",0)</f>
        <v>0</v>
      </c>
      <c r="J557" s="137" t="str">
        <f>IF(Binary!J557&gt;=1,"X",0)</f>
        <v>X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idana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 t="str">
        <f>IF(Binary!G558&gt;=1,"X",0)</f>
        <v>X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>
        <f>IF(Binary!L558&gt;=1,"X",0)</f>
        <v>0</v>
      </c>
      <c r="M558" t="str">
        <f>'Actual species'!V558</f>
        <v>X</v>
      </c>
    </row>
    <row r="559" spans="1:13" x14ac:dyDescent="0.3">
      <c r="A559" t="str">
        <f>Binary!A559</f>
        <v>Oxypoda ignorata</v>
      </c>
      <c r="B559" s="137">
        <f>IF(Binary!B559&gt;=1,"X",0)</f>
        <v>0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>
        <f>IF(Binary!G559&gt;=1,"X",0)</f>
        <v>0</v>
      </c>
      <c r="H559" s="137">
        <f>IF(Binary!H559&gt;=1,"X",0)</f>
        <v>0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induta</v>
      </c>
      <c r="B560" s="137">
        <f>IF(Binary!B560&gt;=1,"X",0)</f>
        <v>0</v>
      </c>
      <c r="C560" s="137" t="str">
        <f>IF(Binary!C560&gt;=1,"X",0)</f>
        <v>X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>
        <f>IF(Binary!J560&gt;=1,"X",0)</f>
        <v>0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 xml:space="preserve">*Oxypoda kerkisica (E) 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 t="str">
        <f>IF(Binary!E561&gt;=1,"X",0)</f>
        <v>X</v>
      </c>
      <c r="F561" s="137">
        <f>IF(Binary!F561&gt;=1,"X",0)</f>
        <v>0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>
        <f>IF(Binary!L561&gt;=1,"X",0)</f>
        <v>0</v>
      </c>
      <c r="M561" t="str">
        <f>'Actual species'!V561</f>
        <v>X</v>
      </c>
    </row>
    <row r="562" spans="1:13" x14ac:dyDescent="0.3">
      <c r="A562" t="str">
        <f>Binary!A562</f>
        <v>Oxypoda lesbia</v>
      </c>
      <c r="B562" s="137">
        <f>IF(Binary!B562&gt;=1,"X",0)</f>
        <v>0</v>
      </c>
      <c r="C562" s="137">
        <f>IF(Binary!C562&gt;=1,"X",0)</f>
        <v>0</v>
      </c>
      <c r="D562" s="137">
        <f>IF(Binary!D562&gt;=1,"X",0)</f>
        <v>0</v>
      </c>
      <c r="E562" s="137">
        <f>IF(Binary!E562&gt;=1,"X",0)</f>
        <v>0</v>
      </c>
      <c r="F562" s="137" t="str">
        <f>IF(Binary!F562&gt;=1,"X",0)</f>
        <v>X</v>
      </c>
      <c r="G562" s="137" t="str">
        <f>IF(Binary!G562&gt;=1,"X",0)</f>
        <v>X</v>
      </c>
      <c r="H562" s="137" t="str">
        <f>IF(Binary!H562&gt;=1,"X",0)</f>
        <v>X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>
        <f>IF(Binary!L562&gt;=1,"X",0)</f>
        <v>0</v>
      </c>
      <c r="M562" t="str">
        <f>'Actual species'!V562</f>
        <v>------------</v>
      </c>
    </row>
    <row r="563" spans="1:13" x14ac:dyDescent="0.3">
      <c r="A563" t="str">
        <f>Binary!A563</f>
        <v>Oxypoda libanotica</v>
      </c>
      <c r="B563" s="137">
        <f>IF(Binary!B563&gt;=1,"X",0)</f>
        <v>0</v>
      </c>
      <c r="C563" s="137">
        <f>IF(Binary!C563&gt;=1,"X",0)</f>
        <v>0</v>
      </c>
      <c r="D563" s="137" t="str">
        <f>IF(Binary!D563&gt;=1,"X",0)</f>
        <v>X</v>
      </c>
      <c r="E563" s="137" t="str">
        <f>IF(Binary!E563&gt;=1,"X",0)</f>
        <v>X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lurida</v>
      </c>
      <c r="B564" s="137" t="str">
        <f>IF(Binary!B564&gt;=1,"X",0)</f>
        <v>X</v>
      </c>
      <c r="C564" s="137">
        <f>IF(Binary!C564&gt;=1,"X",0)</f>
        <v>0</v>
      </c>
      <c r="D564" s="137" t="str">
        <f>IF(Binary!D564&gt;=1,"X",0)</f>
        <v>X</v>
      </c>
      <c r="E564" s="137" t="str">
        <f>IF(Binary!E564&gt;=1,"X",0)</f>
        <v>X</v>
      </c>
      <c r="F564" s="137" t="str">
        <f>IF(Binary!F564&gt;=1,"X",0)</f>
        <v>X</v>
      </c>
      <c r="G564" s="137" t="str">
        <f>IF(Binary!G564&gt;=1,"X",0)</f>
        <v>X</v>
      </c>
      <c r="H564" s="137">
        <f>IF(Binary!H564&gt;=1,"X",0)</f>
        <v>0</v>
      </c>
      <c r="I564" s="137" t="str">
        <f>IF(Binary!I564&gt;=1,"X",0)</f>
        <v>X</v>
      </c>
      <c r="J564" s="137">
        <f>IF(Binary!J564&gt;=1,"X",0)</f>
        <v>0</v>
      </c>
      <c r="K564" s="137" t="str">
        <f>IF(Binary!K564&gt;=1,"X",0)</f>
        <v>X</v>
      </c>
      <c r="L564" s="137" t="str">
        <f>IF(Binary!L564&gt;=1,"X",0)</f>
        <v>X</v>
      </c>
      <c r="M564" t="str">
        <f>'Actual species'!V564</f>
        <v>------------</v>
      </c>
    </row>
    <row r="565" spans="1:13" x14ac:dyDescent="0.3">
      <c r="A565" t="str">
        <f>Binary!A565</f>
        <v>Oxypoda moczarskii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>
        <f>IF(Binary!G565&gt;=1,"X",0)</f>
        <v>0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moreatica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>
        <f>IF(Binary!H566&gt;=1,"X",0)</f>
        <v>0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mulsanti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>
        <f>IF(Binary!F567&gt;=1,"X",0)</f>
        <v>0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>
        <f>IF(Binary!J567&gt;=1,"X",0)</f>
        <v>0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mutata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>
        <f>IF(Binary!E568&gt;=1,"X",0)</f>
        <v>0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obscuricollis</v>
      </c>
      <c r="B569" s="137">
        <f>IF(Binary!B569&gt;=1,"X",0)</f>
        <v>0</v>
      </c>
      <c r="C569" s="137">
        <f>IF(Binary!C569&gt;=1,"X",0)</f>
        <v>0</v>
      </c>
      <c r="D569" s="137">
        <f>IF(Binary!D569&gt;=1,"X",0)</f>
        <v>0</v>
      </c>
      <c r="E569" s="137">
        <f>IF(Binary!E569&gt;=1,"X",0)</f>
        <v>0</v>
      </c>
      <c r="F569" s="137">
        <f>IF(Binary!F569&gt;=1,"X",0)</f>
        <v>0</v>
      </c>
      <c r="G569" s="137">
        <f>IF(Binary!G569&gt;=1,"X",0)</f>
        <v>0</v>
      </c>
      <c r="H569" s="137" t="str">
        <f>IF(Binary!H569&gt;=1,"X",0)</f>
        <v>X</v>
      </c>
      <c r="I569" s="137" t="str">
        <f>IF(Binary!I569&gt;=1,"X",0)</f>
        <v>X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opaca</v>
      </c>
      <c r="B570" s="137">
        <f>IF(Binary!B570&gt;=1,"X",0)</f>
        <v>0</v>
      </c>
      <c r="C570" s="137" t="str">
        <f>IF(Binary!C570&gt;=1,"X",0)</f>
        <v>X</v>
      </c>
      <c r="D570" s="137">
        <f>IF(Binary!D570&gt;=1,"X",0)</f>
        <v>0</v>
      </c>
      <c r="E570" s="137">
        <f>IF(Binary!E570&gt;=1,"X",0)</f>
        <v>0</v>
      </c>
      <c r="F570" s="137">
        <f>IF(Binary!F570&gt;=1,"X",0)</f>
        <v>0</v>
      </c>
      <c r="G570" s="137">
        <f>IF(Binary!G570&gt;=1,"X",0)</f>
        <v>0</v>
      </c>
      <c r="H570" s="137">
        <f>IF(Binary!H570&gt;=1,"X",0)</f>
        <v>0</v>
      </c>
      <c r="I570" s="137">
        <f>IF(Binary!I570&gt;=1,"X",0)</f>
        <v>0</v>
      </c>
      <c r="J570" s="137">
        <f>IF(Binary!J570&gt;=1,"X",0)</f>
        <v>0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>Oxypoda praecox</v>
      </c>
      <c r="B571" s="137">
        <f>IF(Binary!B571&gt;=1,"X",0)</f>
        <v>0</v>
      </c>
      <c r="C571" s="137" t="str">
        <f>IF(Binary!C571&gt;=1,"X",0)</f>
        <v>X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>
        <f>IF(Binary!G571&gt;=1,"X",0)</f>
        <v>0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recondita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scheerpeltziana</v>
      </c>
      <c r="B573" s="137">
        <f>IF(Binary!B573&gt;=1,"X",0)</f>
        <v>0</v>
      </c>
      <c r="C573" s="137">
        <f>IF(Binary!C573&gt;=1,"X",0)</f>
        <v>0</v>
      </c>
      <c r="D573" s="137">
        <f>IF(Binary!D573&gt;=1,"X",0)</f>
        <v>0</v>
      </c>
      <c r="E573" s="137" t="str">
        <f>IF(Binary!E573&gt;=1,"X",0)</f>
        <v>X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>Oxypoda schminkei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>
        <f>IF(Binary!E574&gt;=1,"X",0)</f>
        <v>0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 t="str">
        <f>IF(Binary!L574&gt;=1,"X",0)</f>
        <v>X</v>
      </c>
      <c r="M574" t="str">
        <f>'Actual species'!V574</f>
        <v>------------</v>
      </c>
    </row>
    <row r="575" spans="1:13" x14ac:dyDescent="0.3">
      <c r="A575" t="str">
        <f>Binary!A575</f>
        <v>Oxypoda sp.</v>
      </c>
      <c r="B575" s="137" t="str">
        <f>IF(Binary!B575&gt;=1,"X",0)</f>
        <v>X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>
        <f>IF(Binary!G575&gt;=1,"X",0)</f>
        <v>0</v>
      </c>
      <c r="H575" s="137">
        <f>IF(Binary!H575&gt;=1,"X",0)</f>
        <v>0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sp. 1</v>
      </c>
      <c r="B576" s="137">
        <f>IF(Binary!B576&gt;=1,"X",0)</f>
        <v>0</v>
      </c>
      <c r="C576" s="137">
        <f>IF(Binary!C576&gt;=1,"X",0)</f>
        <v>0</v>
      </c>
      <c r="D576" s="137">
        <f>IF(Binary!D576&gt;=1,"X",0)</f>
        <v>0</v>
      </c>
      <c r="E576" s="137">
        <f>IF(Binary!E576&gt;=1,"X",0)</f>
        <v>0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sp. 2</v>
      </c>
      <c r="B577" s="137">
        <f>IF(Binary!B577&gt;=1,"X",0)</f>
        <v>0</v>
      </c>
      <c r="C577" s="137">
        <f>IF(Binary!C577&gt;=1,"X",0)</f>
        <v>0</v>
      </c>
      <c r="D577" s="137">
        <f>IF(Binary!D577&gt;=1,"X",0)</f>
        <v>0</v>
      </c>
      <c r="E577" s="137">
        <f>IF(Binary!E577&gt;=1,"X",0)</f>
        <v>0</v>
      </c>
      <c r="F577" s="137">
        <f>IF(Binary!F577&gt;=1,"X",0)</f>
        <v>0</v>
      </c>
      <c r="G577" s="137">
        <f>IF(Binary!G577&gt;=1,"X",0)</f>
        <v>0</v>
      </c>
      <c r="H577" s="137">
        <f>IF(Binary!H577&gt;=1,"X",0)</f>
        <v>0</v>
      </c>
      <c r="I577" s="137">
        <f>IF(Binary!I577&gt;=1,"X",0)</f>
        <v>0</v>
      </c>
      <c r="J577" s="137">
        <f>IF(Binary!J577&gt;=1,"X",0)</f>
        <v>0</v>
      </c>
      <c r="K577" s="137">
        <f>IF(Binary!K577&gt;=1,"X",0)</f>
        <v>0</v>
      </c>
      <c r="L577" s="137">
        <f>IF(Binary!L577&gt;=1,"X",0)</f>
        <v>0</v>
      </c>
      <c r="M577" t="str">
        <f>'Actual species'!V577</f>
        <v>------------</v>
      </c>
    </row>
    <row r="578" spans="1:13" x14ac:dyDescent="0.3">
      <c r="A578" t="str">
        <f>Binary!A578</f>
        <v>Oxypoda sp. 3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sp. aff. attenuata</v>
      </c>
      <c r="B579" s="137" t="str">
        <f>IF(Binary!B579&gt;=1,"X",0)</f>
        <v>X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 t="str">
        <f>'Actual species'!V579</f>
        <v>------------</v>
      </c>
    </row>
    <row r="580" spans="1:13" x14ac:dyDescent="0.3">
      <c r="A580" t="str">
        <f>Binary!A580</f>
        <v>Oxypoda sp. aff. vicina</v>
      </c>
      <c r="B580" s="137" t="str">
        <f>IF(Binary!B580&gt;=1,"X",0)</f>
        <v>X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subnitida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 t="str">
        <f>IF(Binary!G581&gt;=1,"X",0)</f>
        <v>X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togata</v>
      </c>
      <c r="B582" s="137">
        <f>IF(Binary!B582&gt;=1,"X",0)</f>
        <v>0</v>
      </c>
      <c r="C582" s="137" t="str">
        <f>IF(Binary!C582&gt;=1,"X",0)</f>
        <v>X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turcica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 t="str">
        <f>IF(Binary!E583&gt;=1,"X",0)</f>
        <v>X</v>
      </c>
      <c r="F583" s="137">
        <f>IF(Binary!F583&gt;=1,"X",0)</f>
        <v>0</v>
      </c>
      <c r="G583" s="137">
        <f>IF(Binary!G583&gt;=1,"X",0)</f>
        <v>0</v>
      </c>
      <c r="H583" s="137">
        <f>IF(Binary!H583&gt;=1,"X",0)</f>
        <v>0</v>
      </c>
      <c r="I583" s="137">
        <f>IF(Binary!I583&gt;=1,"X",0)</f>
        <v>0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vicina</v>
      </c>
      <c r="B584" s="137">
        <f>IF(Binary!B584&gt;=1,"X",0)</f>
        <v>0</v>
      </c>
      <c r="C584" s="137">
        <f>IF(Binary!C584&gt;=1,"X",0)</f>
        <v>0</v>
      </c>
      <c r="D584" s="137" t="str">
        <f>IF(Binary!D584&gt;=1,"X",0)</f>
        <v>X</v>
      </c>
      <c r="E584" s="137" t="str">
        <f>IF(Binary!E584&gt;=1,"X",0)</f>
        <v>X</v>
      </c>
      <c r="F584" s="137">
        <f>IF(Binary!F584&gt;=1,"X",0)</f>
        <v>0</v>
      </c>
      <c r="G584" s="137" t="str">
        <f>IF(Binary!G584&gt;=1,"X",0)</f>
        <v>X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vittata</v>
      </c>
      <c r="B585" s="137">
        <f>IF(Binary!B585&gt;=1,"X",0)</f>
        <v>0</v>
      </c>
      <c r="C585" s="137">
        <f>IF(Binary!C585&gt;=1,"X",0)</f>
        <v>0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Paraleptusa wunderlei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 t="str">
        <f>'Actual species'!V586</f>
        <v>------------</v>
      </c>
    </row>
    <row r="587" spans="1:13" x14ac:dyDescent="0.3">
      <c r="A587" t="str">
        <f>Binary!A587</f>
        <v>Parocyusa longitarsis</v>
      </c>
      <c r="B587" s="137" t="str">
        <f>IF(Binary!B587&gt;=1,"X",0)</f>
        <v>X</v>
      </c>
      <c r="C587" s="137">
        <f>IF(Binary!C587&gt;=1,"X",0)</f>
        <v>0</v>
      </c>
      <c r="D587" s="137">
        <f>IF(Binary!D587&gt;=1,"X",0)</f>
        <v>0</v>
      </c>
      <c r="E587" s="137">
        <f>IF(Binary!E587&gt;=1,"X",0)</f>
        <v>0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Pella cinctipennis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 t="str">
        <f>IF(Binary!F588&gt;=1,"X",0)</f>
        <v>X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>
        <f>IF(Binary!L588&gt;=1,"X",0)</f>
        <v>0</v>
      </c>
      <c r="M588" t="str">
        <f>'Actual species'!V588</f>
        <v>------------</v>
      </c>
    </row>
    <row r="589" spans="1:13" x14ac:dyDescent="0.3">
      <c r="A589" t="str">
        <f>Binary!A589</f>
        <v>Pella funesta</v>
      </c>
      <c r="B589" s="137">
        <f>IF(Binary!B589&gt;=1,"X",0)</f>
        <v>0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>
        <f>IF(Binary!F589&gt;=1,"X",0)</f>
        <v>0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Pella humeralis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Phloeopora corticalis</v>
      </c>
      <c r="B591" s="137" t="str">
        <f>IF(Binary!B591&gt;=1,"X",0)</f>
        <v>X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Phloeopora teres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 t="str">
        <f>IF(Binary!J592&gt;=1,"X",0)</f>
        <v>X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Phytosus balticus</v>
      </c>
      <c r="B593" s="137">
        <f>IF(Binary!B593&gt;=1,"X",0)</f>
        <v>0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 t="str">
        <f>IF(Binary!G593&gt;=1,"X",0)</f>
        <v>X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 xml:space="preserve">Phytosus holtzi (E) </v>
      </c>
      <c r="B594" s="137">
        <f>IF(Binary!B594&gt;=1,"X",0)</f>
        <v>0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X</v>
      </c>
    </row>
    <row r="595" spans="1:13" x14ac:dyDescent="0.3">
      <c r="A595" t="str">
        <f>Binary!A595</f>
        <v>Piochardia reitteri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 t="str">
        <f>IF(Binary!E595&gt;=1,"X",0)</f>
        <v>X</v>
      </c>
      <c r="F595" s="137" t="str">
        <f>IF(Binary!F595&gt;=1,"X",0)</f>
        <v>X</v>
      </c>
      <c r="G595" s="137">
        <f>IF(Binary!G595&gt;=1,"X",0)</f>
        <v>0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Platyola balcanica</v>
      </c>
      <c r="B596" s="137">
        <f>IF(Binary!B596&gt;=1,"X",0)</f>
        <v>0</v>
      </c>
      <c r="C596" s="137">
        <f>IF(Binary!C596&gt;=1,"X",0)</f>
        <v>0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 t="str">
        <f>IF(Binary!J596&gt;=1,"X",0)</f>
        <v>X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Pronomaea picea</v>
      </c>
      <c r="B597" s="137">
        <f>IF(Binary!B597&gt;=1,"X",0)</f>
        <v>0</v>
      </c>
      <c r="C597" s="137">
        <f>IF(Binary!C597&gt;=1,"X",0)</f>
        <v>0</v>
      </c>
      <c r="D597" s="137" t="str">
        <f>IF(Binary!D597&gt;=1,"X",0)</f>
        <v>X</v>
      </c>
      <c r="E597" s="137">
        <f>IF(Binary!E597&gt;=1,"X",0)</f>
        <v>0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 t="str">
        <f>IF(Binary!J597&gt;=1,"X",0)</f>
        <v>X</v>
      </c>
      <c r="K597" s="137">
        <f>IF(Binary!K597&gt;=1,"X",0)</f>
        <v>0</v>
      </c>
      <c r="L597" s="137" t="str">
        <f>IF(Binary!L597&gt;=1,"X",0)</f>
        <v>X</v>
      </c>
      <c r="M597" t="str">
        <f>'Actual species'!V597</f>
        <v>------------</v>
      </c>
    </row>
    <row r="598" spans="1:13" x14ac:dyDescent="0.3">
      <c r="A598" t="str">
        <f>Binary!A598</f>
        <v xml:space="preserve">Pronomaea wunderlei (E) </v>
      </c>
      <c r="B598" s="137">
        <f>IF(Binary!B598&gt;=1,"X",0)</f>
        <v>0</v>
      </c>
      <c r="C598" s="137">
        <f>IF(Binary!C598&gt;=1,"X",0)</f>
        <v>0</v>
      </c>
      <c r="D598" s="137">
        <f>IF(Binary!D598&gt;=1,"X",0)</f>
        <v>0</v>
      </c>
      <c r="E598" s="137">
        <f>IF(Binary!E598&gt;=1,"X",0)</f>
        <v>0</v>
      </c>
      <c r="F598" s="137">
        <f>IF(Binary!F598&gt;=1,"X",0)</f>
        <v>0</v>
      </c>
      <c r="G598" s="137">
        <f>IF(Binary!G598&gt;=1,"X",0)</f>
        <v>0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X</v>
      </c>
    </row>
    <row r="599" spans="1:13" x14ac:dyDescent="0.3">
      <c r="A599" t="str">
        <f>Binary!A599</f>
        <v>Pseudocalea angulata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 t="str">
        <f>IF(Binary!I599&gt;=1,"X",0)</f>
        <v>X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 t="str">
        <f>'Actual species'!V599</f>
        <v>------------</v>
      </c>
    </row>
    <row r="600" spans="1:13" x14ac:dyDescent="0.3">
      <c r="A600" t="str">
        <f>Binary!A600</f>
        <v>Pseudosemiris kaufmanni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 t="str">
        <f>IF(Binary!E600&gt;=1,"X",0)</f>
        <v>X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Rhopalocerina clavigera</v>
      </c>
      <c r="B601" s="137">
        <f>IF(Binary!B601&gt;=1,"X",0)</f>
        <v>0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Tachyusa agilis</v>
      </c>
      <c r="B602" s="137" t="str">
        <f>IF(Binary!B602&gt;=1,"X",0)</f>
        <v>X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>
        <f>IF(Binary!F602&gt;=1,"X",0)</f>
        <v>0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Tachyusa balteata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Tachyusa cf. coarctata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Tachyusa constricta</v>
      </c>
      <c r="B605" s="137">
        <f>IF(Binary!B605&gt;=1,"X",0)</f>
        <v>0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Tachyusa nitella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Tachyusa objecta</v>
      </c>
      <c r="B607" s="137" t="str">
        <f>IF(Binary!B607&gt;=1,"X",0)</f>
        <v>X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>
        <f>IF(Binary!G607&gt;=1,"X",0)</f>
        <v>0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>Taxicera moczarskii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 t="str">
        <f>IF(Binary!E608&gt;=1,"X",0)</f>
        <v>X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Taxicera sericophila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>
        <f>IF(Binary!E609&gt;=1,"X",0)</f>
        <v>0</v>
      </c>
      <c r="F609" s="137">
        <f>IF(Binary!F609&gt;=1,"X",0)</f>
        <v>0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 t="str">
        <f>IF(Binary!J609&gt;=1,"X",0)</f>
        <v>X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Tectusa apollonis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>
        <f>IF(Binary!J610&gt;=1,"X",0)</f>
        <v>0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 xml:space="preserve">Tectusa callicera (E) </v>
      </c>
      <c r="B611" s="137">
        <f>IF(Binary!B611&gt;=1,"X",0)</f>
        <v>0</v>
      </c>
      <c r="C611" s="137">
        <f>IF(Binary!C611&gt;=1,"X",0)</f>
        <v>0</v>
      </c>
      <c r="D611" s="137">
        <f>IF(Binary!D611&gt;=1,"X",0)</f>
        <v>0</v>
      </c>
      <c r="E611" s="137">
        <f>IF(Binary!E611&gt;=1,"X",0)</f>
        <v>0</v>
      </c>
      <c r="F611" s="137">
        <f>IF(Binary!F611&gt;=1,"X",0)</f>
        <v>0</v>
      </c>
      <c r="G611" s="137" t="str">
        <f>IF(Binary!G611&gt;=1,"X",0)</f>
        <v>X</v>
      </c>
      <c r="H611" s="137">
        <f>IF(Binary!H611&gt;=1,"X",0)</f>
        <v>0</v>
      </c>
      <c r="I611" s="137">
        <f>IF(Binary!I611&gt;=1,"X",0)</f>
        <v>0</v>
      </c>
      <c r="J611" s="137">
        <f>IF(Binary!J611&gt;=1,"X",0)</f>
        <v>0</v>
      </c>
      <c r="K611" s="137">
        <f>IF(Binary!K611&gt;=1,"X",0)</f>
        <v>0</v>
      </c>
      <c r="L611" s="137">
        <f>IF(Binary!L611&gt;=1,"X",0)</f>
        <v>0</v>
      </c>
      <c r="M611" t="str">
        <f>'Actual species'!V611</f>
        <v>X</v>
      </c>
    </row>
    <row r="612" spans="1:13" x14ac:dyDescent="0.3">
      <c r="A612" t="str">
        <f>Binary!A612</f>
        <v xml:space="preserve">Tectusa diktiana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 t="str">
        <f>IF(Binary!G612&gt;=1,"X",0)</f>
        <v>X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X</v>
      </c>
    </row>
    <row r="613" spans="1:13" x14ac:dyDescent="0.3">
      <c r="A613" t="str">
        <f>Binary!A613</f>
        <v>Tectusa longiuter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>
        <f>IF(Binary!I613&gt;=1,"X",0)</f>
        <v>0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Tectusa rastrifera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>
        <f>IF(Binary!E614&gt;=1,"X",0)</f>
        <v>0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Tectusa recta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Tectusa sp. n.</v>
      </c>
      <c r="B616" s="137">
        <f>IF(Binary!B616&gt;=1,"X",0)</f>
        <v>0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 xml:space="preserve">Tectusa thriptica (E) 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 t="str">
        <f>IF(Binary!G617&gt;=1,"X",0)</f>
        <v>X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X</v>
      </c>
    </row>
    <row r="618" spans="1:13" x14ac:dyDescent="0.3">
      <c r="A618" t="str">
        <f>Binary!A618</f>
        <v>Tectusa timfristosensis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Tectusa vardousiensis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Tectusa viduus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>
        <f>IF(Binary!J620&gt;=1,"X",0)</f>
        <v>0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Tetralaucopora longitarsis</v>
      </c>
      <c r="B621" s="137">
        <f>IF(Binary!B621&gt;=1,"X",0)</f>
        <v>0</v>
      </c>
      <c r="C621" s="137">
        <f>IF(Binary!C621&gt;=1,"X",0)</f>
        <v>0</v>
      </c>
      <c r="D621" s="137">
        <f>IF(Binary!D621&gt;=1,"X",0)</f>
        <v>0</v>
      </c>
      <c r="E621" s="137" t="str">
        <f>IF(Binary!E621&gt;=1,"X",0)</f>
        <v>X</v>
      </c>
      <c r="F621" s="137" t="str">
        <f>IF(Binary!F621&gt;=1,"X",0)</f>
        <v>X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Thecturota marchii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>
        <f>IF(Binary!E622&gt;=1,"X",0)</f>
        <v>0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 t="str">
        <f>IF(Binary!J622&gt;=1,"X",0)</f>
        <v>X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Thiasophila angulata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>
        <f>IF(Binary!J623&gt;=1,"X",0)</f>
        <v>0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Typhlocyptus pandellei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>Zoosetha sp.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 t="str">
        <f>IF(Binary!F625&gt;=1,"X",0)</f>
        <v>X</v>
      </c>
      <c r="G625" s="137">
        <f>IF(Binary!G625&gt;=1,"X",0)</f>
        <v>0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>Zyras collaris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>
        <f>IF(Binary!G626&gt;=1,"X",0)</f>
        <v>0</v>
      </c>
      <c r="H626" s="137">
        <f>IF(Binary!H626&gt;=1,"X",0)</f>
        <v>0</v>
      </c>
      <c r="I626" s="137">
        <f>IF(Binary!I626&gt;=1,"X",0)</f>
        <v>0</v>
      </c>
      <c r="J626" s="137" t="str">
        <f>IF(Binary!J626&gt;=1,"X",0)</f>
        <v>X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Zyras haworthi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 t="str">
        <f>IF(Binary!J627&gt;=1,"X",0)</f>
        <v>X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Scaphidiinae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Scaphidium quadrimaculatum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 t="str">
        <f>IF(Binary!J629&gt;=1,"X",0)</f>
        <v>X</v>
      </c>
      <c r="K629" s="137">
        <f>IF(Binary!K629&gt;=1,"X",0)</f>
        <v>0</v>
      </c>
      <c r="L629" s="137">
        <f>IF(Binary!L629&gt;=1,"X",0)</f>
        <v>0</v>
      </c>
      <c r="M629" t="str">
        <f>'Actual species'!V629</f>
        <v>------------</v>
      </c>
    </row>
    <row r="630" spans="1:13" x14ac:dyDescent="0.3">
      <c r="A630" t="str">
        <f>Binary!A630</f>
        <v>Scaphisoma agaricinum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 t="str">
        <f>IF(Binary!J630&gt;=1,"X",0)</f>
        <v>X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>Scaphisoma corcyricum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>
        <f>IF(Binary!G631&gt;=1,"X",0)</f>
        <v>0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Oxytelinae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Anotylus clypeonitens</v>
      </c>
      <c r="B633" s="137" t="str">
        <f>IF(Binary!B633&gt;=1,"X",0)</f>
        <v>X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 t="str">
        <f>IF(Binary!F633&gt;=1,"X",0)</f>
        <v>X</v>
      </c>
      <c r="G633" s="137">
        <f>IF(Binary!G633&gt;=1,"X",0)</f>
        <v>0</v>
      </c>
      <c r="H633" s="137" t="str">
        <f>IF(Binary!H633&gt;=1,"X",0)</f>
        <v>X</v>
      </c>
      <c r="I633" s="137">
        <f>IF(Binary!I633&gt;=1,"X",0)</f>
        <v>0</v>
      </c>
      <c r="J633" s="137">
        <f>IF(Binary!J633&gt;=1,"X",0)</f>
        <v>0</v>
      </c>
      <c r="K633" s="137" t="str">
        <f>IF(Binary!K633&gt;=1,"X",0)</f>
        <v>X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Anotylus complanatus</v>
      </c>
      <c r="B634" s="137" t="str">
        <f>IF(Binary!B634&gt;=1,"X",0)</f>
        <v>X</v>
      </c>
      <c r="C634" s="137">
        <f>IF(Binary!C634&gt;=1,"X",0)</f>
        <v>0</v>
      </c>
      <c r="D634" s="137" t="str">
        <f>IF(Binary!D634&gt;=1,"X",0)</f>
        <v>X</v>
      </c>
      <c r="E634" s="137">
        <f>IF(Binary!E634&gt;=1,"X",0)</f>
        <v>0</v>
      </c>
      <c r="F634" s="137" t="str">
        <f>IF(Binary!F634&gt;=1,"X",0)</f>
        <v>X</v>
      </c>
      <c r="G634" s="137" t="str">
        <f>IF(Binary!G634&gt;=1,"X",0)</f>
        <v>X</v>
      </c>
      <c r="H634" s="137" t="str">
        <f>IF(Binary!H634&gt;=1,"X",0)</f>
        <v>X</v>
      </c>
      <c r="I634" s="137">
        <f>IF(Binary!I634&gt;=1,"X",0)</f>
        <v>0</v>
      </c>
      <c r="J634" s="137" t="str">
        <f>IF(Binary!J634&gt;=1,"X",0)</f>
        <v>X</v>
      </c>
      <c r="K634" s="137">
        <f>IF(Binary!K634&gt;=1,"X",0)</f>
        <v>0</v>
      </c>
      <c r="L634" s="137" t="str">
        <f>IF(Binary!L634&gt;=1,"X",0)</f>
        <v>X</v>
      </c>
      <c r="M634" t="str">
        <f>'Actual species'!V634</f>
        <v>------------</v>
      </c>
    </row>
    <row r="635" spans="1:13" x14ac:dyDescent="0.3">
      <c r="A635" t="str">
        <f>Binary!A635</f>
        <v>Anotylus inustus</v>
      </c>
      <c r="B635" s="137" t="str">
        <f>IF(Binary!B635&gt;=1,"X",0)</f>
        <v>X</v>
      </c>
      <c r="C635" s="137" t="str">
        <f>IF(Binary!C635&gt;=1,"X",0)</f>
        <v>X</v>
      </c>
      <c r="D635" s="137" t="str">
        <f>IF(Binary!D635&gt;=1,"X",0)</f>
        <v>X</v>
      </c>
      <c r="E635" s="137" t="str">
        <f>IF(Binary!E635&gt;=1,"X",0)</f>
        <v>X</v>
      </c>
      <c r="F635" s="137" t="str">
        <f>IF(Binary!F635&gt;=1,"X",0)</f>
        <v>X</v>
      </c>
      <c r="G635" s="137" t="str">
        <f>IF(Binary!G635&gt;=1,"X",0)</f>
        <v>X</v>
      </c>
      <c r="H635" s="137" t="str">
        <f>IF(Binary!H635&gt;=1,"X",0)</f>
        <v>X</v>
      </c>
      <c r="I635" s="137" t="str">
        <f>IF(Binary!I635&gt;=1,"X",0)</f>
        <v>X</v>
      </c>
      <c r="J635" s="137" t="str">
        <f>IF(Binary!J635&gt;=1,"X",0)</f>
        <v>X</v>
      </c>
      <c r="K635" s="137" t="str">
        <f>IF(Binary!K635&gt;=1,"X",0)</f>
        <v>X</v>
      </c>
      <c r="L635" s="137" t="str">
        <f>IF(Binary!L635&gt;=1,"X",0)</f>
        <v>X</v>
      </c>
      <c r="M635" t="str">
        <f>'Actual species'!V635</f>
        <v>------------</v>
      </c>
    </row>
    <row r="636" spans="1:13" x14ac:dyDescent="0.3">
      <c r="A636" t="str">
        <f>Binary!A636</f>
        <v>Anotylus nitidulus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Anotylus pumilus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 t="str">
        <f>IF(Binary!F637&gt;=1,"X",0)</f>
        <v>X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Anotylus rugosus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Anotylus sculpturatus</v>
      </c>
      <c r="B639" s="137" t="str">
        <f>IF(Binary!B639&gt;=1,"X",0)</f>
        <v>X</v>
      </c>
      <c r="C639" s="137" t="str">
        <f>IF(Binary!C639&gt;=1,"X",0)</f>
        <v>X</v>
      </c>
      <c r="D639" s="137" t="str">
        <f>IF(Binary!D639&gt;=1,"X",0)</f>
        <v>X</v>
      </c>
      <c r="E639" s="137">
        <f>IF(Binary!E639&gt;=1,"X",0)</f>
        <v>0</v>
      </c>
      <c r="F639" s="137" t="str">
        <f>IF(Binary!F639&gt;=1,"X",0)</f>
        <v>X</v>
      </c>
      <c r="G639" s="137" t="str">
        <f>IF(Binary!G639&gt;=1,"X",0)</f>
        <v>X</v>
      </c>
      <c r="H639" s="137" t="str">
        <f>IF(Binary!H639&gt;=1,"X",0)</f>
        <v>X</v>
      </c>
      <c r="I639" s="137">
        <f>IF(Binary!I639&gt;=1,"X",0)</f>
        <v>0</v>
      </c>
      <c r="J639" s="137">
        <f>IF(Binary!J639&gt;=1,"X",0)</f>
        <v>0</v>
      </c>
      <c r="K639" s="137" t="str">
        <f>IF(Binary!K639&gt;=1,"X",0)</f>
        <v>X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Anotylus speculifrons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Anotylus tetracarinatus</v>
      </c>
      <c r="B641" s="137" t="str">
        <f>IF(Binary!B641&gt;=1,"X",0)</f>
        <v>X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 t="str">
        <f>IF(Binary!F641&gt;=1,"X",0)</f>
        <v>X</v>
      </c>
      <c r="G641" s="137">
        <f>IF(Binary!G641&gt;=1,"X",0)</f>
        <v>0</v>
      </c>
      <c r="H641" s="137" t="str">
        <f>IF(Binary!H641&gt;=1,"X",0)</f>
        <v>X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Aploderus caelatus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 t="str">
        <f>'Actual species'!V642</f>
        <v>------------</v>
      </c>
    </row>
    <row r="643" spans="1:13" x14ac:dyDescent="0.3">
      <c r="A643" t="str">
        <f>Binary!A643</f>
        <v>Aploderus lydicus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 t="str">
        <f>IF(Binary!F643&gt;=1,"X",0)</f>
        <v>X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>
        <f>IF(Binary!J643&gt;=1,"X",0)</f>
        <v>0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Bledius bicornis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 t="str">
        <f>IF(Binary!H644&gt;=1,"X",0)</f>
        <v>X</v>
      </c>
      <c r="I644" s="137">
        <f>IF(Binary!I644&gt;=1,"X",0)</f>
        <v>0</v>
      </c>
      <c r="J644" s="137">
        <f>IF(Binary!J644&gt;=1,"X",0)</f>
        <v>0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Bledius corniger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Bledius cribicollis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 t="str">
        <f>'Actual species'!V646</f>
        <v>------------</v>
      </c>
    </row>
    <row r="647" spans="1:13" x14ac:dyDescent="0.3">
      <c r="A647" t="str">
        <f>Binary!A647</f>
        <v>Bledius fossor</v>
      </c>
      <c r="B647" s="137">
        <f>IF(Binary!B647&gt;=1,"X",0)</f>
        <v>0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>
        <f>IF(Binary!F647&gt;=1,"X",0)</f>
        <v>0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>
        <f>IF(Binary!K647&gt;=1,"X",0)</f>
        <v>0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Bledius frisius</v>
      </c>
      <c r="B648" s="137">
        <f>IF(Binary!B648&gt;=1,"X",0)</f>
        <v>0</v>
      </c>
      <c r="C648" s="137">
        <f>IF(Binary!C648&gt;=1,"X",0)</f>
        <v>0</v>
      </c>
      <c r="D648" s="137">
        <f>IF(Binary!D648&gt;=1,"X",0)</f>
        <v>0</v>
      </c>
      <c r="E648" s="137" t="str">
        <f>IF(Binary!E648&gt;=1,"X",0)</f>
        <v>X</v>
      </c>
      <c r="F648" s="137" t="str">
        <f>IF(Binary!F648&gt;=1,"X",0)</f>
        <v>X</v>
      </c>
      <c r="G648" s="137">
        <f>IF(Binary!G648&gt;=1,"X",0)</f>
        <v>0</v>
      </c>
      <c r="H648" s="137">
        <f>IF(Binary!H648&gt;=1,"X",0)</f>
        <v>0</v>
      </c>
      <c r="I648" s="137">
        <f>IF(Binary!I648&gt;=1,"X",0)</f>
        <v>0</v>
      </c>
      <c r="J648" s="137">
        <f>IF(Binary!J648&gt;=1,"X",0)</f>
        <v>0</v>
      </c>
      <c r="K648" s="137">
        <f>IF(Binary!K648&gt;=1,"X",0)</f>
        <v>0</v>
      </c>
      <c r="L648" s="137">
        <f>IF(Binary!L648&gt;=1,"X",0)</f>
        <v>0</v>
      </c>
      <c r="M648" t="str">
        <f>'Actual species'!V648</f>
        <v>------------</v>
      </c>
    </row>
    <row r="649" spans="1:13" x14ac:dyDescent="0.3">
      <c r="A649" t="str">
        <f>Binary!A649</f>
        <v>Bledius furcatus</v>
      </c>
      <c r="B649" s="137">
        <f>IF(Binary!B649&gt;=1,"X",0)</f>
        <v>0</v>
      </c>
      <c r="C649" s="137">
        <f>IF(Binary!C649&gt;=1,"X",0)</f>
        <v>0</v>
      </c>
      <c r="D649" s="137">
        <f>IF(Binary!D649&gt;=1,"X",0)</f>
        <v>0</v>
      </c>
      <c r="E649" s="137" t="str">
        <f>IF(Binary!E649&gt;=1,"X",0)</f>
        <v>X</v>
      </c>
      <c r="F649" s="137">
        <f>IF(Binary!F649&gt;=1,"X",0)</f>
        <v>0</v>
      </c>
      <c r="G649" s="137">
        <f>IF(Binary!G649&gt;=1,"X",0)</f>
        <v>0</v>
      </c>
      <c r="H649" s="137">
        <f>IF(Binary!H649&gt;=1,"X",0)</f>
        <v>0</v>
      </c>
      <c r="I649" s="137">
        <f>IF(Binary!I649&gt;=1,"X",0)</f>
        <v>0</v>
      </c>
      <c r="J649" s="137">
        <f>IF(Binary!J649&gt;=1,"X",0)</f>
        <v>0</v>
      </c>
      <c r="K649" s="137">
        <f>IF(Binary!K649&gt;=1,"X",0)</f>
        <v>0</v>
      </c>
      <c r="L649" s="137">
        <f>IF(Binary!L649&gt;=1,"X",0)</f>
        <v>0</v>
      </c>
      <c r="M649" t="str">
        <f>'Actual species'!V649</f>
        <v>------------</v>
      </c>
    </row>
    <row r="650" spans="1:13" x14ac:dyDescent="0.3">
      <c r="A650" t="str">
        <f>Binary!A650</f>
        <v xml:space="preserve">Bledius minor minor 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>
        <f>IF(Binary!J650&gt;=1,"X",0)</f>
        <v>0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Bledius sp.</v>
      </c>
      <c r="B651" s="137" t="str">
        <f>IF(Binary!B651&gt;=1,"X",0)</f>
        <v>X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>
        <f>IF(Binary!F651&gt;=1,"X",0)</f>
        <v>0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Bledius spectabilis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 t="str">
        <f>IF(Binary!H652&gt;=1,"X",0)</f>
        <v>X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Bledius tristis</v>
      </c>
      <c r="B653" s="137">
        <f>IF(Binary!B653&gt;=1,"X",0)</f>
        <v>0</v>
      </c>
      <c r="C653" s="137">
        <f>IF(Binary!C653&gt;=1,"X",0)</f>
        <v>0</v>
      </c>
      <c r="D653" s="137">
        <f>IF(Binary!D653&gt;=1,"X",0)</f>
        <v>0</v>
      </c>
      <c r="E653" s="137">
        <f>IF(Binary!E653&gt;=1,"X",0)</f>
        <v>0</v>
      </c>
      <c r="F653" s="137">
        <f>IF(Binary!F653&gt;=1,"X",0)</f>
        <v>0</v>
      </c>
      <c r="G653" s="137">
        <f>IF(Binary!G653&gt;=1,"X",0)</f>
        <v>0</v>
      </c>
      <c r="H653" s="137">
        <f>IF(Binary!H653&gt;=1,"X",0)</f>
        <v>0</v>
      </c>
      <c r="I653" s="137">
        <f>IF(Binary!I653&gt;=1,"X",0)</f>
        <v>0</v>
      </c>
      <c r="J653" s="137">
        <f>IF(Binary!J653&gt;=1,"X",0)</f>
        <v>0</v>
      </c>
      <c r="K653" s="137">
        <f>IF(Binary!K653&gt;=1,"X",0)</f>
        <v>0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Bledius unicornis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 t="str">
        <f>IF(Binary!E654&gt;=1,"X",0)</f>
        <v>X</v>
      </c>
      <c r="F654" s="137" t="str">
        <f>IF(Binary!F654&gt;=1,"X",0)</f>
        <v>X</v>
      </c>
      <c r="G654" s="137">
        <f>IF(Binary!G654&gt;=1,"X",0)</f>
        <v>0</v>
      </c>
      <c r="H654" s="137" t="str">
        <f>IF(Binary!H654&gt;=1,"X",0)</f>
        <v>X</v>
      </c>
      <c r="I654" s="137">
        <f>IF(Binary!I654&gt;=1,"X",0)</f>
        <v>0</v>
      </c>
      <c r="J654" s="137">
        <f>IF(Binary!J654&gt;=1,"X",0)</f>
        <v>0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Bledius verres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>
        <f>IF(Binary!F655&gt;=1,"X",0)</f>
        <v>0</v>
      </c>
      <c r="G655" s="137">
        <f>IF(Binary!G655&gt;=1,"X",0)</f>
        <v>0</v>
      </c>
      <c r="H655" s="137">
        <f>IF(Binary!H655&gt;=1,"X",0)</f>
        <v>0</v>
      </c>
      <c r="I655" s="137">
        <f>IF(Binary!I655&gt;=1,"X",0)</f>
        <v>0</v>
      </c>
      <c r="J655" s="137">
        <f>IF(Binary!J655&gt;=1,"X",0)</f>
        <v>0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Carpelimus alutaceus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Carpelimus bilineatus</v>
      </c>
      <c r="B657" s="137" t="str">
        <f>IF(Binary!B657&gt;=1,"X",0)</f>
        <v>X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>
        <f>IF(Binary!F657&gt;=1,"X",0)</f>
        <v>0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 t="str">
        <f>IF(Binary!J657&gt;=1,"X",0)</f>
        <v>X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?*Carpelimus corfuensis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>
        <f>IF(Binary!H658&gt;=1,"X",0)</f>
        <v>0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Carpelimus corticinus</v>
      </c>
      <c r="B659" s="137" t="str">
        <f>IF(Binary!B659&gt;=1,"X",0)</f>
        <v>X</v>
      </c>
      <c r="C659" s="137">
        <f>IF(Binary!C659&gt;=1,"X",0)</f>
        <v>0</v>
      </c>
      <c r="D659" s="137" t="str">
        <f>IF(Binary!D659&gt;=1,"X",0)</f>
        <v>X</v>
      </c>
      <c r="E659" s="137">
        <f>IF(Binary!E659&gt;=1,"X",0)</f>
        <v>0</v>
      </c>
      <c r="F659" s="137" t="str">
        <f>IF(Binary!F659&gt;=1,"X",0)</f>
        <v>X</v>
      </c>
      <c r="G659" s="137" t="str">
        <f>IF(Binary!G659&gt;=1,"X",0)</f>
        <v>X</v>
      </c>
      <c r="H659" s="137">
        <f>IF(Binary!H659&gt;=1,"X",0)</f>
        <v>0</v>
      </c>
      <c r="I659" s="137">
        <f>IF(Binary!I659&gt;=1,"X",0)</f>
        <v>0</v>
      </c>
      <c r="J659" s="137" t="str">
        <f>IF(Binary!J659&gt;=1,"X",0)</f>
        <v>X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Carpelimus despectus</v>
      </c>
      <c r="B660" s="137" t="str">
        <f>IF(Binary!B660&gt;=1,"X",0)</f>
        <v>X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 t="str">
        <f>IF(Binary!J660&gt;=1,"X",0)</f>
        <v>X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Carpelimus foveolatus foveolatus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>
        <f>IF(Binary!H661&gt;=1,"X",0)</f>
        <v>0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Carpelimus fuliginosus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>
        <f>IF(Binary!E662&gt;=1,"X",0)</f>
        <v>0</v>
      </c>
      <c r="F662" s="137">
        <f>IF(Binary!F662&gt;=1,"X",0)</f>
        <v>0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 t="str">
        <f>IF(Binary!J662&gt;=1,"X",0)</f>
        <v>X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Carpelimus gracilis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>
        <f>IF(Binary!E663&gt;=1,"X",0)</f>
        <v>0</v>
      </c>
      <c r="F663" s="137" t="str">
        <f>IF(Binary!F663&gt;=1,"X",0)</f>
        <v>X</v>
      </c>
      <c r="G663" s="137" t="str">
        <f>IF(Binary!G663&gt;=1,"X",0)</f>
        <v>X</v>
      </c>
      <c r="H663" s="137">
        <f>IF(Binary!H663&gt;=1,"X",0)</f>
        <v>0</v>
      </c>
      <c r="I663" s="137">
        <f>IF(Binary!I663&gt;=1,"X",0)</f>
        <v>0</v>
      </c>
      <c r="J663" s="137" t="str">
        <f>IF(Binary!J663&gt;=1,"X",0)</f>
        <v>X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>Carpelimus nitidus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Carpelimus obesus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Carpelimus parvulus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>
        <f>IF(Binary!H666&gt;=1,"X",0)</f>
        <v>0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Carpelimus punctatellus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 t="str">
        <f>IF(Binary!J667&gt;=1,"X",0)</f>
        <v>X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Carpelimus punctipennis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>
        <f>IF(Binary!E668&gt;=1,"X",0)</f>
        <v>0</v>
      </c>
      <c r="F668" s="137">
        <f>IF(Binary!F668&gt;=1,"X",0)</f>
        <v>0</v>
      </c>
      <c r="G668" s="137">
        <f>IF(Binary!G668&gt;=1,"X",0)</f>
        <v>0</v>
      </c>
      <c r="H668" s="137">
        <f>IF(Binary!H668&gt;=1,"X",0)</f>
        <v>0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Carpelimus pusillus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?*Carpelimus reitteri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rivulare</v>
      </c>
      <c r="B671" s="137">
        <f>IF(Binary!B671&gt;=1,"X",0)</f>
        <v>0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>
        <f>IF(Binary!J671&gt;=1,"X",0)</f>
        <v>0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Carpelimus siculus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similis</v>
      </c>
      <c r="B673" s="137">
        <f>IF(Binary!B673&gt;=1,"X",0)</f>
        <v>0</v>
      </c>
      <c r="C673" s="137">
        <f>IF(Binary!C673&gt;=1,"X",0)</f>
        <v>0</v>
      </c>
      <c r="D673" s="137">
        <f>IF(Binary!D673&gt;=1,"X",0)</f>
        <v>0</v>
      </c>
      <c r="E673" s="137">
        <f>IF(Binary!E673&gt;=1,"X",0)</f>
        <v>0</v>
      </c>
      <c r="F673" s="137" t="str">
        <f>IF(Binary!F673&gt;=1,"X",0)</f>
        <v>X</v>
      </c>
      <c r="G673" s="137">
        <f>IF(Binary!G673&gt;=1,"X",0)</f>
        <v>0</v>
      </c>
      <c r="H673" s="137">
        <f>IF(Binary!H673&gt;=1,"X",0)</f>
        <v>0</v>
      </c>
      <c r="I673" s="137">
        <f>IF(Binary!I673&gt;=1,"X",0)</f>
        <v>0</v>
      </c>
      <c r="J673" s="137">
        <f>IF(Binary!J673&gt;=1,"X",0)</f>
        <v>0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 xml:space="preserve">Carpelimus sp. </v>
      </c>
      <c r="B674" s="137">
        <f>IF(Binary!B674&gt;=1,"X",0)</f>
        <v>0</v>
      </c>
      <c r="C674" s="137">
        <f>IF(Binary!C674&gt;=1,"X",0)</f>
        <v>0</v>
      </c>
      <c r="D674" s="137">
        <f>IF(Binary!D674&gt;=1,"X",0)</f>
        <v>0</v>
      </c>
      <c r="E674" s="137" t="str">
        <f>IF(Binary!E674&gt;=1,"X",0)</f>
        <v>X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>
        <f>IF(Binary!J674&gt;=1,"X",0)</f>
        <v>0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subtilis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Manda mandibularis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>
        <f>IF(Binary!J676&gt;=1,"X",0)</f>
        <v>0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Ochthephilus andalusiacus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 t="str">
        <f>IF(Binary!E677&gt;=1,"X",0)</f>
        <v>X</v>
      </c>
      <c r="F677" s="137" t="str">
        <f>IF(Binary!F677&gt;=1,"X",0)</f>
        <v>X</v>
      </c>
      <c r="G677" s="137" t="str">
        <f>IF(Binary!G677&gt;=1,"X",0)</f>
        <v>X</v>
      </c>
      <c r="H677" s="137" t="str">
        <f>IF(Binary!H677&gt;=1,"X",0)</f>
        <v>X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Ochthephilus angustior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Ochthephilus aureus</v>
      </c>
      <c r="B679" s="137">
        <f>IF(Binary!B679&gt;=1,"X",0)</f>
        <v>0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 t="str">
        <f>IF(Binary!G679&gt;=1,"X",0)</f>
        <v>X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Ochthephilus lenkoranus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 t="str">
        <f>IF(Binary!F680&gt;=1,"X",0)</f>
        <v>X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Ochthephilus rosenhaueri</v>
      </c>
      <c r="B681" s="137" t="str">
        <f>IF(Binary!B681&gt;=1,"X",0)</f>
        <v>X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 t="str">
        <f>IF(Binary!F681&gt;=1,"X",0)</f>
        <v>X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>
        <f>IF(Binary!J681&gt;=1,"X",0)</f>
        <v>0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Ochthephilus sp. n.</v>
      </c>
      <c r="B682" s="137" t="str">
        <f>IF(Binary!B682&gt;=1,"X",0)</f>
        <v>X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Ochthephilus venustulus</v>
      </c>
      <c r="B683" s="137">
        <f>IF(Binary!B683&gt;=1,"X",0)</f>
        <v>0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 t="str">
        <f>IF(Binary!F683&gt;=1,"X",0)</f>
        <v>X</v>
      </c>
      <c r="G683" s="137" t="str">
        <f>IF(Binary!G683&gt;=1,"X",0)</f>
        <v>X</v>
      </c>
      <c r="H683" s="137" t="str">
        <f>IF(Binary!H683&gt;=1,"X",0)</f>
        <v>X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Oxytelus piceus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Oxytelus sculptus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Planeustomus cephalotes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 t="str">
        <f>IF(Binary!E686&gt;=1,"X",0)</f>
        <v>X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 t="str">
        <f>IF(Binary!J686&gt;=1,"X",0)</f>
        <v>X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Planeustomus rosti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>
        <f>IF(Binary!F687&gt;=1,"X",0)</f>
        <v>0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>Platystethus alutaceus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>
        <f>IF(Binary!E688&gt;=1,"X",0)</f>
        <v>0</v>
      </c>
      <c r="F688" s="137">
        <f>IF(Binary!F688&gt;=1,"X",0)</f>
        <v>0</v>
      </c>
      <c r="G688" s="137" t="str">
        <f>IF(Binary!G688&gt;=1,"X",0)</f>
        <v>X</v>
      </c>
      <c r="H688" s="137">
        <f>IF(Binary!H688&gt;=1,"X",0)</f>
        <v>0</v>
      </c>
      <c r="I688" s="137">
        <f>IF(Binary!I688&gt;=1,"X",0)</f>
        <v>0</v>
      </c>
      <c r="J688" s="137" t="str">
        <f>IF(Binary!J688&gt;=1,"X",0)</f>
        <v>X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Platystethus arenarius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Platystethus capito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 t="str">
        <f>IF(Binary!J690&gt;=1,"X",0)</f>
        <v>X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Platystethus cornutus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>
        <f>IF(Binary!E691&gt;=1,"X",0)</f>
        <v>0</v>
      </c>
      <c r="F691" s="137">
        <f>IF(Binary!F691&gt;=1,"X",0)</f>
        <v>0</v>
      </c>
      <c r="G691" s="137">
        <f>IF(Binary!G691&gt;=1,"X",0)</f>
        <v>0</v>
      </c>
      <c r="H691" s="137">
        <f>IF(Binary!H691&gt;=1,"X",0)</f>
        <v>0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Platystethus degener</v>
      </c>
      <c r="B692" s="137" t="str">
        <f>IF(Binary!B692&gt;=1,"X",0)</f>
        <v>X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 t="str">
        <f>IF(Binary!G692&gt;=1,"X",0)</f>
        <v>X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Platystethus nitens</v>
      </c>
      <c r="B693" s="137" t="str">
        <f>IF(Binary!B693&gt;=1,"X",0)</f>
        <v>X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 t="str">
        <f>IF(Binary!H693&gt;=1,"X",0)</f>
        <v>X</v>
      </c>
      <c r="I693" s="137">
        <f>IF(Binary!I693&gt;=1,"X",0)</f>
        <v>0</v>
      </c>
      <c r="J693" s="137" t="str">
        <f>IF(Binary!J693&gt;=1,"X",0)</f>
        <v>X</v>
      </c>
      <c r="K693" s="137">
        <f>IF(Binary!K693&gt;=1,"X",0)</f>
        <v>0</v>
      </c>
      <c r="L693" s="137" t="str">
        <f>IF(Binary!L693&gt;=1,"X",0)</f>
        <v>X</v>
      </c>
      <c r="M693" t="str">
        <f>'Actual species'!V693</f>
        <v>------------</v>
      </c>
    </row>
    <row r="694" spans="1:13" x14ac:dyDescent="0.3">
      <c r="A694" t="str">
        <f>Binary!A694</f>
        <v>Platystethus rufospinus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>
        <f>IF(Binary!F694&gt;=1,"X",0)</f>
        <v>0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Platystethus spinosus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 t="str">
        <f>IF(Binary!E695&gt;=1,"X",0)</f>
        <v>X</v>
      </c>
      <c r="F695" s="137">
        <f>IF(Binary!F695&gt;=1,"X",0)</f>
        <v>0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Thinobius gilvus</v>
      </c>
      <c r="B696" s="137">
        <f>IF(Binary!B696&gt;=1,"X",0)</f>
        <v>0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Thinobius micros</v>
      </c>
      <c r="B697" s="137">
        <f>IF(Binary!B697&gt;=1,"X",0)</f>
        <v>0</v>
      </c>
      <c r="C697" s="137">
        <f>IF(Binary!C697&gt;=1,"X",0)</f>
        <v>0</v>
      </c>
      <c r="D697" s="137" t="str">
        <f>IF(Binary!D697&gt;=1,"X",0)</f>
        <v>X</v>
      </c>
      <c r="E697" s="137">
        <f>IF(Binary!E697&gt;=1,"X",0)</f>
        <v>0</v>
      </c>
      <c r="F697" s="137">
        <f>IF(Binary!F697&gt;=1,"X",0)</f>
        <v>0</v>
      </c>
      <c r="G697" s="137">
        <f>IF(Binary!G697&gt;=1,"X",0)</f>
        <v>0</v>
      </c>
      <c r="H697" s="137">
        <f>IF(Binary!H697&gt;=1,"X",0)</f>
        <v>0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Thinobius smetanai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Thinobius sp.</v>
      </c>
      <c r="B699" s="137" t="str">
        <f>IF(Binary!B699&gt;=1,"X",0)</f>
        <v>X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Thinodromus bodemeyeri</v>
      </c>
      <c r="B700" s="137" t="str">
        <f>IF(Binary!B700&gt;=1,"X",0)</f>
        <v>X</v>
      </c>
      <c r="C700" s="137">
        <f>IF(Binary!C700&gt;=1,"X",0)</f>
        <v>0</v>
      </c>
      <c r="D700" s="137">
        <f>IF(Binary!D700&gt;=1,"X",0)</f>
        <v>0</v>
      </c>
      <c r="E700" s="137">
        <f>IF(Binary!E700&gt;=1,"X",0)</f>
        <v>0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 t="str">
        <f>IF(Binary!K700&gt;=1,"X",0)</f>
        <v>X</v>
      </c>
      <c r="L700" s="137" t="str">
        <f>IF(Binary!L700&gt;=1,"X",0)</f>
        <v>X</v>
      </c>
      <c r="M700" t="str">
        <f>'Actual species'!V700</f>
        <v>------------</v>
      </c>
    </row>
    <row r="701" spans="1:13" x14ac:dyDescent="0.3">
      <c r="A701" s="63" t="str">
        <f>Binary!A701</f>
        <v>Steninae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Stenus aceris</v>
      </c>
      <c r="B702" s="137" t="str">
        <f>IF(Binary!B702&gt;=1,"X",0)</f>
        <v>X</v>
      </c>
      <c r="C702" s="137">
        <f>IF(Binary!C702&gt;=1,"X",0)</f>
        <v>0</v>
      </c>
      <c r="D702" s="137" t="str">
        <f>IF(Binary!D702&gt;=1,"X",0)</f>
        <v>X</v>
      </c>
      <c r="E702" s="137" t="str">
        <f>IF(Binary!E702&gt;=1,"X",0)</f>
        <v>X</v>
      </c>
      <c r="F702" s="137" t="str">
        <f>IF(Binary!F702&gt;=1,"X",0)</f>
        <v>X</v>
      </c>
      <c r="G702" s="137" t="str">
        <f>IF(Binary!G702&gt;=1,"X",0)</f>
        <v>X</v>
      </c>
      <c r="H702" s="137" t="str">
        <f>IF(Binary!H702&gt;=1,"X",0)</f>
        <v>X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 t="str">
        <f>IF(Binary!L702&gt;=1,"X",0)</f>
        <v>X</v>
      </c>
      <c r="M702" t="str">
        <f>'Actual species'!V702</f>
        <v>------------</v>
      </c>
    </row>
    <row r="703" spans="1:13" x14ac:dyDescent="0.3">
      <c r="A703" t="str">
        <f>Binary!A703</f>
        <v>Stenus anatolicus</v>
      </c>
      <c r="B703" s="137" t="str">
        <f>IF(Binary!B703&gt;=1,"X",0)</f>
        <v>X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Stenus annulipes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>
        <f>IF(Binary!J704&gt;=1,"X",0)</f>
        <v>0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 xml:space="preserve">Stenus ariadne (E) 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>
        <f>IF(Binary!J705&gt;=1,"X",0)</f>
        <v>0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X</v>
      </c>
    </row>
    <row r="706" spans="1:13" x14ac:dyDescent="0.3">
      <c r="A706" t="str">
        <f>Binary!A706</f>
        <v>Stenus assequens</v>
      </c>
      <c r="B706" s="137">
        <f>IF(Binary!B706&gt;=1,"X",0)</f>
        <v>0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>
        <f>IF(Binary!G706&gt;=1,"X",0)</f>
        <v>0</v>
      </c>
      <c r="H706" s="137">
        <f>IF(Binary!H706&gt;=1,"X",0)</f>
        <v>0</v>
      </c>
      <c r="I706" s="137">
        <f>IF(Binary!I706&gt;=1,"X",0)</f>
        <v>0</v>
      </c>
      <c r="J706" s="137" t="str">
        <f>IF(Binary!J706&gt;=1,"X",0)</f>
        <v>X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Stenus assequens assequens</v>
      </c>
      <c r="B707" s="137">
        <f>IF(Binary!B707&gt;=1,"X",0)</f>
        <v>0</v>
      </c>
      <c r="C707" s="137">
        <f>IF(Binary!C707&gt;=1,"X",0)</f>
        <v>0</v>
      </c>
      <c r="D707" s="137" t="str">
        <f>IF(Binary!D707&gt;=1,"X",0)</f>
        <v>X</v>
      </c>
      <c r="E707" s="137">
        <f>IF(Binary!E707&gt;=1,"X",0)</f>
        <v>0</v>
      </c>
      <c r="F707" s="137">
        <f>IF(Binary!F707&gt;=1,"X",0)</f>
        <v>0</v>
      </c>
      <c r="G707" s="137">
        <f>IF(Binary!G707&gt;=1,"X",0)</f>
        <v>0</v>
      </c>
      <c r="H707" s="137">
        <f>IF(Binary!H707&gt;=1,"X",0)</f>
        <v>0</v>
      </c>
      <c r="I707" s="137">
        <f>IF(Binary!I707&gt;=1,"X",0)</f>
        <v>0</v>
      </c>
      <c r="J707" s="137">
        <f>IF(Binary!J707&gt;=1,"X",0)</f>
        <v>0</v>
      </c>
      <c r="K707" s="137">
        <f>IF(Binary!K707&gt;=1,"X",0)</f>
        <v>0</v>
      </c>
      <c r="L707" s="137">
        <f>IF(Binary!L707&gt;=1,"X",0)</f>
        <v>0</v>
      </c>
      <c r="M707" t="str">
        <f>'Actual species'!V707</f>
        <v>------------</v>
      </c>
    </row>
    <row r="708" spans="1:13" x14ac:dyDescent="0.3">
      <c r="A708" t="str">
        <f>Binary!A708</f>
        <v>Stenus ater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Stenus atratulus</v>
      </c>
      <c r="B709" s="137">
        <f>IF(Binary!B709&gt;=1,"X",0)</f>
        <v>0</v>
      </c>
      <c r="C709" s="137">
        <f>IF(Binary!C709&gt;=1,"X",0)</f>
        <v>0</v>
      </c>
      <c r="D709" s="137">
        <f>IF(Binary!D709&gt;=1,"X",0)</f>
        <v>0</v>
      </c>
      <c r="E709" s="137">
        <f>IF(Binary!E709&gt;=1,"X",0)</f>
        <v>0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Stenus binotatus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 t="str">
        <f>IF(Binary!J710&gt;=1,"X",0)</f>
        <v>X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Stenus brunnipes</v>
      </c>
      <c r="B711" s="137">
        <f>IF(Binary!B711&gt;=1,"X",0)</f>
        <v>0</v>
      </c>
      <c r="C711" s="137">
        <f>IF(Binary!C711&gt;=1,"X",0)</f>
        <v>0</v>
      </c>
      <c r="D711" s="137">
        <f>IF(Binary!D711&gt;=1,"X",0)</f>
        <v>0</v>
      </c>
      <c r="E711" s="137">
        <f>IF(Binary!E711&gt;=1,"X",0)</f>
        <v>0</v>
      </c>
      <c r="F711" s="137" t="str">
        <f>IF(Binary!F711&gt;=1,"X",0)</f>
        <v>X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Stenus brunnipes brunnipes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Stenus brunnipes lepidus</v>
      </c>
      <c r="B713" s="137">
        <f>IF(Binary!B713&gt;=1,"X",0)</f>
        <v>0</v>
      </c>
      <c r="C713" s="137">
        <f>IF(Binary!C713&gt;=1,"X",0)</f>
        <v>0</v>
      </c>
      <c r="D713" s="137" t="str">
        <f>IF(Binary!D713&gt;=1,"X",0)</f>
        <v>X</v>
      </c>
      <c r="E713" s="137" t="str">
        <f>IF(Binary!E713&gt;=1,"X",0)</f>
        <v>X</v>
      </c>
      <c r="F713" s="137">
        <f>IF(Binary!F713&gt;=1,"X",0)</f>
        <v>0</v>
      </c>
      <c r="G713" s="137">
        <f>IF(Binary!G713&gt;=1,"X",0)</f>
        <v>0</v>
      </c>
      <c r="H713" s="137" t="str">
        <f>IF(Binary!H713&gt;=1,"X",0)</f>
        <v>X</v>
      </c>
      <c r="I713" s="137">
        <f>IF(Binary!I713&gt;=1,"X",0)</f>
        <v>0</v>
      </c>
      <c r="J713" s="137">
        <f>IF(Binary!J713&gt;=1,"X",0)</f>
        <v>0</v>
      </c>
      <c r="K713" s="137" t="str">
        <f>IF(Binary!K713&gt;=1,"X",0)</f>
        <v>X</v>
      </c>
      <c r="L713" s="137" t="str">
        <f>IF(Binary!L713&gt;=1,"X",0)</f>
        <v>X</v>
      </c>
      <c r="M713" t="str">
        <f>'Actual species'!V713</f>
        <v>------------</v>
      </c>
    </row>
    <row r="714" spans="1:13" x14ac:dyDescent="0.3">
      <c r="A714" t="str">
        <f>Binary!A714</f>
        <v>Stenus butrintensis</v>
      </c>
      <c r="B714" s="137">
        <f>IF(Binary!B714&gt;=1,"X",0)</f>
        <v>0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Stenus capitulatus</v>
      </c>
      <c r="B715" s="137">
        <f>IF(Binary!B715&gt;=1,"X",0)</f>
        <v>0</v>
      </c>
      <c r="C715" s="137">
        <f>IF(Binary!C715&gt;=1,"X",0)</f>
        <v>0</v>
      </c>
      <c r="D715" s="137" t="str">
        <f>IF(Binary!D715&gt;=1,"X",0)</f>
        <v>X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>
        <f>IF(Binary!J715&gt;=1,"X",0)</f>
        <v>0</v>
      </c>
      <c r="K715" s="137">
        <f>IF(Binary!K715&gt;=1,"X",0)</f>
        <v>0</v>
      </c>
      <c r="L715" s="137">
        <f>IF(Binary!L715&gt;=1,"X",0)</f>
        <v>0</v>
      </c>
      <c r="M715" t="str">
        <f>'Actual species'!V715</f>
        <v>------------</v>
      </c>
    </row>
    <row r="716" spans="1:13" x14ac:dyDescent="0.3">
      <c r="A716" t="str">
        <f>Binary!A716</f>
        <v>Stenus cephallenicus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 t="str">
        <f>'Actual species'!V716</f>
        <v>------------</v>
      </c>
    </row>
    <row r="717" spans="1:13" x14ac:dyDescent="0.3">
      <c r="A717" t="str">
        <f>Binary!A717</f>
        <v>Stenus cf. cordatoides</v>
      </c>
      <c r="B717" s="137">
        <f>IF(Binary!B717&gt;=1,"X",0)</f>
        <v>0</v>
      </c>
      <c r="C717" s="137">
        <f>IF(Binary!C717&gt;=1,"X",0)</f>
        <v>0</v>
      </c>
      <c r="D717" s="137">
        <f>IF(Binary!D717&gt;=1,"X",0)</f>
        <v>0</v>
      </c>
      <c r="E717" s="137">
        <f>IF(Binary!E717&gt;=1,"X",0)</f>
        <v>0</v>
      </c>
      <c r="F717" s="137">
        <f>IF(Binary!F717&gt;=1,"X",0)</f>
        <v>0</v>
      </c>
      <c r="G717" s="137" t="str">
        <f>IF(Binary!G717&gt;=1,"X",0)</f>
        <v>X</v>
      </c>
      <c r="H717" s="137">
        <f>IF(Binary!H717&gt;=1,"X",0)</f>
        <v>0</v>
      </c>
      <c r="I717" s="137">
        <f>IF(Binary!I717&gt;=1,"X",0)</f>
        <v>0</v>
      </c>
      <c r="J717" s="137">
        <f>IF(Binary!J717&gt;=1,"X",0)</f>
        <v>0</v>
      </c>
      <c r="K717" s="137">
        <f>IF(Binary!K717&gt;=1,"X",0)</f>
        <v>0</v>
      </c>
      <c r="L717" s="137">
        <f>IF(Binary!L717&gt;=1,"X",0)</f>
        <v>0</v>
      </c>
      <c r="M717" t="str">
        <f>'Actual species'!V717</f>
        <v>------------</v>
      </c>
    </row>
    <row r="718" spans="1:13" x14ac:dyDescent="0.3">
      <c r="A718" t="str">
        <f>Binary!A718</f>
        <v>Stenus cf. hospes</v>
      </c>
      <c r="B718" s="137">
        <f>IF(Binary!B718&gt;=1,"X",0)</f>
        <v>0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 t="str">
        <f>IF(Binary!G718&gt;=1,"X",0)</f>
        <v>X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cf. Turcicus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 t="str">
        <f>IF(Binary!E719&gt;=1,"X",0)</f>
        <v>X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>Stenus circularis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coarticollis drepanensis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 xml:space="preserve">Stenus cordatoides </v>
      </c>
      <c r="B722" s="137">
        <f>IF(Binary!B722&gt;=1,"X",0)</f>
        <v>0</v>
      </c>
      <c r="C722" s="137">
        <f>IF(Binary!C722&gt;=1,"X",0)</f>
        <v>0</v>
      </c>
      <c r="D722" s="137">
        <f>IF(Binary!D722&gt;=1,"X",0)</f>
        <v>0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cribratus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erythrocnemus</v>
      </c>
      <c r="B724" s="137">
        <f>IF(Binary!B724&gt;=1,"X",0)</f>
        <v>0</v>
      </c>
      <c r="C724" s="137" t="str">
        <f>IF(Binary!C724&gt;=1,"X",0)</f>
        <v>X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excellens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>
        <f>IF(Binary!J725&gt;=1,"X",0)</f>
        <v>0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flavipalpis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>
        <f>IF(Binary!F726&gt;=1,"X",0)</f>
        <v>0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fornicatus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ganglbaueri</v>
      </c>
      <c r="B728" s="137">
        <f>IF(Binary!B728&gt;=1,"X",0)</f>
        <v>0</v>
      </c>
      <c r="C728" s="137">
        <f>IF(Binary!C728&gt;=1,"X",0)</f>
        <v>0</v>
      </c>
      <c r="D728" s="137">
        <f>IF(Binary!D728&gt;=1,"X",0)</f>
        <v>0</v>
      </c>
      <c r="E728" s="137">
        <f>IF(Binary!E728&gt;=1,"X",0)</f>
        <v>0</v>
      </c>
      <c r="F728" s="137">
        <f>IF(Binary!F728&gt;=1,"X",0)</f>
        <v>0</v>
      </c>
      <c r="G728" s="137">
        <f>IF(Binary!G728&gt;=1,"X",0)</f>
        <v>0</v>
      </c>
      <c r="H728" s="137">
        <f>IF(Binary!H728&gt;=1,"X",0)</f>
        <v>0</v>
      </c>
      <c r="I728" s="137">
        <f>IF(Binary!I728&gt;=1,"X",0)</f>
        <v>0</v>
      </c>
      <c r="J728" s="137">
        <f>IF(Binary!J728&gt;=1,"X",0)</f>
        <v>0</v>
      </c>
      <c r="K728" s="137">
        <f>IF(Binary!K728&gt;=1,"X",0)</f>
        <v>0</v>
      </c>
      <c r="L728" s="137">
        <f>IF(Binary!L728&gt;=1,"X",0)</f>
        <v>0</v>
      </c>
      <c r="M728" t="str">
        <f>'Actual species'!V728</f>
        <v>------------</v>
      </c>
    </row>
    <row r="729" spans="1:13" x14ac:dyDescent="0.3">
      <c r="A729" t="str">
        <f>Binary!A729</f>
        <v>Stenus glacialis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 t="str">
        <f>IF(Binary!E729&gt;=1,"X",0)</f>
        <v>X</v>
      </c>
      <c r="F729" s="137" t="str">
        <f>IF(Binary!F729&gt;=1,"X",0)</f>
        <v>X</v>
      </c>
      <c r="G729" s="137">
        <f>IF(Binary!G729&gt;=1,"X",0)</f>
        <v>0</v>
      </c>
      <c r="H729" s="137" t="str">
        <f>IF(Binary!H729&gt;=1,"X",0)</f>
        <v>X</v>
      </c>
      <c r="I729" s="137" t="str">
        <f>IF(Binary!I729&gt;=1,"X",0)</f>
        <v>X</v>
      </c>
      <c r="J729" s="137" t="str">
        <f>IF(Binary!J729&gt;=1,"X",0)</f>
        <v>X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glacialis cyaneus</v>
      </c>
      <c r="B730" s="137" t="str">
        <f>IF(Binary!B730&gt;=1,"X",0)</f>
        <v>X</v>
      </c>
      <c r="C730" s="137">
        <f>IF(Binary!C730&gt;=1,"X",0)</f>
        <v>0</v>
      </c>
      <c r="D730" s="137">
        <f>IF(Binary!D730&gt;=1,"X",0)</f>
        <v>0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guttula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 t="str">
        <f>IF(Binary!H731&gt;=1,"X",0)</f>
        <v>X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horioni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>
        <f>IF(Binary!G732&gt;=1,"X",0)</f>
        <v>0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 t="str">
        <f>IF(Binary!E733&gt;=1,"X",0)</f>
        <v>X</v>
      </c>
      <c r="F733" s="137" t="str">
        <f>IF(Binary!F733&gt;=1,"X",0)</f>
        <v>X</v>
      </c>
      <c r="G733" s="137" t="str">
        <f>IF(Binary!G733&gt;=1,"X",0)</f>
        <v>X</v>
      </c>
      <c r="H733" s="137" t="str">
        <f>IF(Binary!H733&gt;=1,"X",0)</f>
        <v>X</v>
      </c>
      <c r="I733" s="137" t="str">
        <f>IF(Binary!I733&gt;=1,"X",0)</f>
        <v>X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ignotus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>
        <f>IF(Binary!E734&gt;=1,"X",0)</f>
        <v>0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impressus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 t="str">
        <f>IF(Binary!H735&gt;=1,"X",0)</f>
        <v>X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indifferens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 t="str">
        <f>IF(Binary!J736&gt;=1,"X",0)</f>
        <v>X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indtermedius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>
        <f>IF(Binary!J737&gt;=1,"X",0)</f>
        <v>0</v>
      </c>
      <c r="K737" s="137">
        <f>IF(Binary!K737&gt;=1,"X",0)</f>
        <v>0</v>
      </c>
      <c r="L737" s="137">
        <f>IF(Binary!L737&gt;=1,"X",0)</f>
        <v>0</v>
      </c>
      <c r="M737" t="str">
        <f>'Actual species'!V737</f>
        <v>------------</v>
      </c>
    </row>
    <row r="738" spans="1:13" x14ac:dyDescent="0.3">
      <c r="A738" t="str">
        <f>Binary!A738</f>
        <v>Stenus latifrons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ludyi</v>
      </c>
      <c r="B739" s="137">
        <f>IF(Binary!B739&gt;=1,"X",0)</f>
        <v>0</v>
      </c>
      <c r="C739" s="137" t="str">
        <f>IF(Binary!C739&gt;=1,"X",0)</f>
        <v>X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maculiger</v>
      </c>
      <c r="B740" s="137">
        <f>IF(Binary!B740&gt;=1,"X",0)</f>
        <v>0</v>
      </c>
      <c r="C740" s="137" t="str">
        <f>IF(Binary!C740&gt;=1,"X",0)</f>
        <v>X</v>
      </c>
      <c r="D740" s="137" t="str">
        <f>IF(Binary!D740&gt;=1,"X",0)</f>
        <v>X</v>
      </c>
      <c r="E740" s="137" t="str">
        <f>IF(Binary!E740&gt;=1,"X",0)</f>
        <v>X</v>
      </c>
      <c r="F740" s="137">
        <f>IF(Binary!F740&gt;=1,"X",0)</f>
        <v>0</v>
      </c>
      <c r="G740" s="137">
        <f>IF(Binary!G740&gt;=1,"X",0)</f>
        <v>0</v>
      </c>
      <c r="H740" s="137" t="str">
        <f>IF(Binary!H740&gt;=1,"X",0)</f>
        <v>X</v>
      </c>
      <c r="I740" s="137">
        <f>IF(Binary!I740&gt;=1,"X",0)</f>
        <v>0</v>
      </c>
      <c r="J740" s="137">
        <f>IF(Binary!J740&gt;=1,"X",0)</f>
        <v>0</v>
      </c>
      <c r="K740" s="137" t="str">
        <f>IF(Binary!K740&gt;=1,"X",0)</f>
        <v>X</v>
      </c>
      <c r="L740" s="137" t="str">
        <f>IF(Binary!L740&gt;=1,"X",0)</f>
        <v>X</v>
      </c>
      <c r="M740" t="str">
        <f>'Actual species'!V740</f>
        <v>------------</v>
      </c>
    </row>
    <row r="741" spans="1:13" x14ac:dyDescent="0.3">
      <c r="A741" t="str">
        <f>Binary!A741</f>
        <v>Stenus melanopus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morio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 t="str">
        <f>IF(Binary!F742&gt;=1,"X",0)</f>
        <v>X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 t="str">
        <f>IF(Binary!J742&gt;=1,"X",0)</f>
        <v>X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ochropus</v>
      </c>
      <c r="B743" s="137">
        <f>IF(Binary!B743&gt;=1,"X",0)</f>
        <v>0</v>
      </c>
      <c r="C743" s="137" t="str">
        <f>IF(Binary!C743&gt;=1,"X",0)</f>
        <v>X</v>
      </c>
      <c r="D743" s="137" t="str">
        <f>IF(Binary!D743&gt;=1,"X",0)</f>
        <v>X</v>
      </c>
      <c r="E743" s="137">
        <f>IF(Binary!E743&gt;=1,"X",0)</f>
        <v>0</v>
      </c>
      <c r="F743" s="137">
        <f>IF(Binary!F743&gt;=1,"X",0)</f>
        <v>0</v>
      </c>
      <c r="G743" s="137" t="str">
        <f>IF(Binary!G743&gt;=1,"X",0)</f>
        <v>X</v>
      </c>
      <c r="H743" s="137">
        <f>IF(Binary!H743&gt;=1,"X",0)</f>
        <v>0</v>
      </c>
      <c r="I743" s="137">
        <f>IF(Binary!I743&gt;=1,"X",0)</f>
        <v>0</v>
      </c>
      <c r="J743" s="137" t="str">
        <f>IF(Binary!J743&gt;=1,"X",0)</f>
        <v>X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ossium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pallitarsis pallitarsis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>
        <f>IF(Binary!E745&gt;=1,"X",0)</f>
        <v>0</v>
      </c>
      <c r="F745" s="137">
        <f>IF(Binary!F745&gt;=1,"X",0)</f>
        <v>0</v>
      </c>
      <c r="G745" s="137">
        <f>IF(Binary!G745&gt;=1,"X",0)</f>
        <v>0</v>
      </c>
      <c r="H745" s="137">
        <f>IF(Binary!H745&gt;=1,"X",0)</f>
        <v>0</v>
      </c>
      <c r="I745" s="137">
        <f>IF(Binary!I745&gt;=1,"X",0)</f>
        <v>0</v>
      </c>
      <c r="J745" s="137">
        <f>IF(Binary!J745&gt;=1,"X",0)</f>
        <v>0</v>
      </c>
      <c r="K745" s="137">
        <f>IF(Binary!K745&gt;=1,"X",0)</f>
        <v>0</v>
      </c>
      <c r="L745" s="137">
        <f>IF(Binary!L745&gt;=1,"X",0)</f>
        <v>0</v>
      </c>
      <c r="M745" t="str">
        <f>'Actual species'!V745</f>
        <v>------------</v>
      </c>
    </row>
    <row r="746" spans="1:13" x14ac:dyDescent="0.3">
      <c r="A746" t="str">
        <f>Binary!A746</f>
        <v>Stenus paludicola</v>
      </c>
      <c r="B746" s="137">
        <f>IF(Binary!B746&gt;=1,"X",0)</f>
        <v>0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parcior</v>
      </c>
      <c r="B747" s="137" t="str">
        <f>IF(Binary!B747&gt;=1,"X",0)</f>
        <v>X</v>
      </c>
      <c r="C747" s="137">
        <f>IF(Binary!C747&gt;=1,"X",0)</f>
        <v>0</v>
      </c>
      <c r="D747" s="137">
        <f>IF(Binary!D747&gt;=1,"X",0)</f>
        <v>0</v>
      </c>
      <c r="E747" s="137" t="str">
        <f>IF(Binary!E747&gt;=1,"X",0)</f>
        <v>X</v>
      </c>
      <c r="F747" s="137">
        <f>IF(Binary!F747&gt;=1,"X",0)</f>
        <v>0</v>
      </c>
      <c r="G747" s="137" t="str">
        <f>IF(Binary!G747&gt;=1,"X",0)</f>
        <v>X</v>
      </c>
      <c r="H747" s="137">
        <f>IF(Binary!H747&gt;=1,"X",0)</f>
        <v>0</v>
      </c>
      <c r="I747" s="137">
        <f>IF(Binary!I747&gt;=1,"X",0)</f>
        <v>0</v>
      </c>
      <c r="J747" s="137" t="str">
        <f>IF(Binary!J747&gt;=1,"X",0)</f>
        <v>X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picipennis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 xml:space="preserve">Stenus picipes picipes 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>
        <f>IF(Binary!E749&gt;=1,"X",0)</f>
        <v>0</v>
      </c>
      <c r="F749" s="137" t="str">
        <f>IF(Binary!F749&gt;=1,"X",0)</f>
        <v>X</v>
      </c>
      <c r="G749" s="137">
        <f>IF(Binary!G749&gt;=1,"X",0)</f>
        <v>0</v>
      </c>
      <c r="H749" s="137">
        <f>IF(Binary!H749&gt;=1,"X",0)</f>
        <v>0</v>
      </c>
      <c r="I749" s="137">
        <f>IF(Binary!I749&gt;=1,"X",0)</f>
        <v>0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planifrons</v>
      </c>
      <c r="B750" s="137" t="str">
        <f>IF(Binary!B750&gt;=1,"X",0)</f>
        <v>X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planifrons planifrons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>
        <f>IF(Binary!H751&gt;=1,"X",0)</f>
        <v>0</v>
      </c>
      <c r="I751" s="137">
        <f>IF(Binary!I751&gt;=1,"X",0)</f>
        <v>0</v>
      </c>
      <c r="J751" s="137" t="str">
        <f>IF(Binary!J751&gt;=1,"X",0)</f>
        <v>X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(Hypostenus) sp.</v>
      </c>
      <c r="B752" s="137">
        <f>IF(Binary!B752&gt;=1,"X",0)</f>
        <v>0</v>
      </c>
      <c r="C752" s="137" t="str">
        <f>IF(Binary!C752&gt;=1,"X",0)</f>
        <v>X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>
        <f>IF(Binary!J752&gt;=1,"X",0)</f>
        <v>0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(s. str.) sp.</v>
      </c>
      <c r="B753" s="137">
        <f>IF(Binary!B753&gt;=1,"X",0)</f>
        <v>0</v>
      </c>
      <c r="C753" s="137" t="str">
        <f>IF(Binary!C753&gt;=1,"X",0)</f>
        <v>X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similis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 t="str">
        <f>IF(Binary!J754&gt;=1,"X",0)</f>
        <v>X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subaeneus</v>
      </c>
      <c r="B755" s="137">
        <f>IF(Binary!B755&gt;=1,"X",0)</f>
        <v>0</v>
      </c>
      <c r="C755" s="137">
        <f>IF(Binary!C755&gt;=1,"X",0)</f>
        <v>0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 t="str">
        <f>IF(Binary!G755&gt;=1,"X",0)</f>
        <v>X</v>
      </c>
      <c r="H755" s="137" t="str">
        <f>IF(Binary!H755&gt;=1,"X",0)</f>
        <v>X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turbulentus</v>
      </c>
      <c r="B756" s="137" t="str">
        <f>IF(Binary!B756&gt;=1,"X",0)</f>
        <v>X</v>
      </c>
      <c r="C756" s="137">
        <f>IF(Binary!C756&gt;=1,"X",0)</f>
        <v>0</v>
      </c>
      <c r="D756" s="137" t="str">
        <f>IF(Binary!D756&gt;=1,"X",0)</f>
        <v>X</v>
      </c>
      <c r="E756" s="137" t="str">
        <f>IF(Binary!E756&gt;=1,"X",0)</f>
        <v>X</v>
      </c>
      <c r="F756" s="137" t="str">
        <f>IF(Binary!F756&gt;=1,"X",0)</f>
        <v>X</v>
      </c>
      <c r="G756" s="137">
        <f>IF(Binary!G756&gt;=1,"X",0)</f>
        <v>0</v>
      </c>
      <c r="H756" s="137" t="str">
        <f>IF(Binary!H756&gt;=1,"X",0)</f>
        <v>X</v>
      </c>
      <c r="I756" s="137" t="str">
        <f>IF(Binary!I756&gt;=1,"X",0)</f>
        <v>X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turcicus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 t="str">
        <f>IF(Binary!E757&gt;=1,"X",0)</f>
        <v>X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Euaesthetinae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Edaphus dissimilis</v>
      </c>
      <c r="B759" s="137">
        <f>IF(Binary!B759&gt;=1,"X",0)</f>
        <v>0</v>
      </c>
      <c r="C759" s="137">
        <f>IF(Binary!C759&gt;=1,"X",0)</f>
        <v>0</v>
      </c>
      <c r="D759" s="137">
        <f>IF(Binary!D759&gt;=1,"X",0)</f>
        <v>0</v>
      </c>
      <c r="E759" s="137">
        <f>IF(Binary!E759&gt;=1,"X",0)</f>
        <v>0</v>
      </c>
      <c r="F759" s="137">
        <f>IF(Binary!F759&gt;=1,"X",0)</f>
        <v>0</v>
      </c>
      <c r="G759" s="137">
        <f>IF(Binary!G759&gt;=1,"X",0)</f>
        <v>0</v>
      </c>
      <c r="H759" s="137">
        <f>IF(Binary!H759&gt;=1,"X",0)</f>
        <v>0</v>
      </c>
      <c r="I759" s="137">
        <f>IF(Binary!I759&gt;=1,"X",0)</f>
        <v>0</v>
      </c>
      <c r="J759" s="137">
        <f>IF(Binary!J759&gt;=1,"X",0)</f>
        <v>0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Leptotyphlinae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 xml:space="preserve">**Allotyphlus achileus (E) 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X</v>
      </c>
    </row>
    <row r="762" spans="1:13" x14ac:dyDescent="0.3">
      <c r="A762" t="str">
        <f>Binary!A762</f>
        <v xml:space="preserve">**Allotyphlus corcyranus (E) 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X</v>
      </c>
    </row>
    <row r="763" spans="1:13" x14ac:dyDescent="0.3">
      <c r="A763" t="str">
        <f>Binary!A763</f>
        <v xml:space="preserve">**Allotyphlus corcyricus (E) </v>
      </c>
      <c r="B763" s="137">
        <f>IF(Binary!B763&gt;=1,"X",0)</f>
        <v>0</v>
      </c>
      <c r="C763" s="137">
        <f>IF(Binary!C763&gt;=1,"X",0)</f>
        <v>0</v>
      </c>
      <c r="D763" s="137">
        <f>IF(Binary!D763&gt;=1,"X",0)</f>
        <v>0</v>
      </c>
      <c r="E763" s="137">
        <f>IF(Binary!E763&gt;=1,"X",0)</f>
        <v>0</v>
      </c>
      <c r="F763" s="137">
        <f>IF(Binary!F763&gt;=1,"X",0)</f>
        <v>0</v>
      </c>
      <c r="G763" s="137">
        <f>IF(Binary!G763&gt;=1,"X",0)</f>
        <v>0</v>
      </c>
      <c r="H763" s="137">
        <f>IF(Binary!H763&gt;=1,"X",0)</f>
        <v>0</v>
      </c>
      <c r="I763" s="137">
        <f>IF(Binary!I763&gt;=1,"X",0)</f>
        <v>0</v>
      </c>
      <c r="J763" s="137">
        <f>IF(Binary!J763&gt;=1,"X",0)</f>
        <v>0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X</v>
      </c>
    </row>
    <row r="764" spans="1:13" x14ac:dyDescent="0.3">
      <c r="A764" t="str">
        <f>Binary!A764</f>
        <v xml:space="preserve">**Allotyphlus dexter (E) 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X</v>
      </c>
    </row>
    <row r="765" spans="1:13" x14ac:dyDescent="0.3">
      <c r="A765" t="str">
        <f>Binary!A765</f>
        <v xml:space="preserve">**Allotyphlus sinester (E)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>
        <f>IF(Binary!F765&gt;=1,"X",0)</f>
        <v>0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X</v>
      </c>
    </row>
    <row r="766" spans="1:13" x14ac:dyDescent="0.3">
      <c r="A766" t="str">
        <f>Binary!A766</f>
        <v xml:space="preserve">**Gynotyphlus corcyrensis (E) </v>
      </c>
      <c r="B766" s="137">
        <f>IF(Binary!B766&gt;=1,"X",0)</f>
        <v>0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X</v>
      </c>
    </row>
    <row r="767" spans="1:13" x14ac:dyDescent="0.3">
      <c r="A767" t="str">
        <f>Binary!A767</f>
        <v>Gyntotyphlus perpusillus micros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>
        <f>IF(Binary!J767&gt;=1,"X",0)</f>
        <v>0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 xml:space="preserve">Kenotyphlus rhodensis (E) </v>
      </c>
      <c r="B768" s="137">
        <f>IF(Binary!B768&gt;=1,"X",0)</f>
        <v>0</v>
      </c>
      <c r="C768" s="137">
        <f>IF(Binary!C768&gt;=1,"X",0)</f>
        <v>0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 t="str">
        <f>IF(Binary!H768&gt;=1,"X",0)</f>
        <v>X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X</v>
      </c>
    </row>
    <row r="769" spans="1:13" x14ac:dyDescent="0.3">
      <c r="A769" t="str">
        <f>Binary!A769</f>
        <v>Kenotyphlus sp. n.</v>
      </c>
      <c r="B769" s="137">
        <f>IF(Binary!B769&gt;=1,"X",0)</f>
        <v>0</v>
      </c>
      <c r="C769" s="137">
        <f>IF(Binary!C769&gt;=1,"X",0)</f>
        <v>0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 t="str">
        <f>IF(Binary!K769&gt;=1,"X",0)</f>
        <v>X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Scydmaeninae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Cephennium granulum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>
        <f>IF(Binary!G771&gt;=1,"X",0)</f>
        <v>0</v>
      </c>
      <c r="H771" s="137">
        <f>IF(Binary!H771&gt;=1,"X",0)</f>
        <v>0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 t="str">
        <f>'Actual species'!V771</f>
        <v>------------</v>
      </c>
    </row>
    <row r="772" spans="1:13" x14ac:dyDescent="0.3">
      <c r="A772" t="str">
        <f>Binary!A772</f>
        <v xml:space="preserve">**Cephennium jonicum jonicum (E) </v>
      </c>
      <c r="B772" s="137">
        <f>IF(Binary!B772&gt;=1,"X",0)</f>
        <v>0</v>
      </c>
      <c r="C772" s="137">
        <f>IF(Binary!C772&gt;=1,"X",0)</f>
        <v>0</v>
      </c>
      <c r="D772" s="137">
        <f>IF(Binary!D772&gt;=1,"X",0)</f>
        <v>0</v>
      </c>
      <c r="E772" s="137">
        <f>IF(Binary!E772&gt;=1,"X",0)</f>
        <v>0</v>
      </c>
      <c r="F772" s="137">
        <f>IF(Binary!F772&gt;=1,"X",0)</f>
        <v>0</v>
      </c>
      <c r="G772" s="137">
        <f>IF(Binary!G772&gt;=1,"X",0)</f>
        <v>0</v>
      </c>
      <c r="H772" s="137">
        <f>IF(Binary!H772&gt;=1,"X",0)</f>
        <v>0</v>
      </c>
      <c r="I772" s="137">
        <f>IF(Binary!I772&gt;=1,"X",0)</f>
        <v>0</v>
      </c>
      <c r="J772" s="137" t="str">
        <f>IF(Binary!J772&gt;=1,"X",0)</f>
        <v>X</v>
      </c>
      <c r="K772" s="137">
        <f>IF(Binary!K772&gt;=1,"X",0)</f>
        <v>0</v>
      </c>
      <c r="L772" s="137">
        <f>IF(Binary!L772&gt;=1,"X",0)</f>
        <v>0</v>
      </c>
      <c r="M772" t="str">
        <f>'Actual species'!V772</f>
        <v>X</v>
      </c>
    </row>
    <row r="773" spans="1:13" x14ac:dyDescent="0.3">
      <c r="A773" t="str">
        <f>Binary!A773</f>
        <v xml:space="preserve">Cephennium kerpense (E) 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>
        <f>IF(Binary!E773&gt;=1,"X",0)</f>
        <v>0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 t="str">
        <f>IF(Binary!L773&gt;=1,"X",0)</f>
        <v>X</v>
      </c>
      <c r="M773" t="str">
        <f>'Actual species'!V773</f>
        <v>X</v>
      </c>
    </row>
    <row r="774" spans="1:13" x14ac:dyDescent="0.3">
      <c r="A774" t="str">
        <f>Binary!A774</f>
        <v xml:space="preserve">Cephennium nov.sp. 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 t="str">
        <f>IF(Binary!H774&gt;=1,"X",0)</f>
        <v>X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Cephennium (Phennecium) sp.n.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 t="str">
        <f>IF(Binary!F775&gt;=1,"X",0)</f>
        <v>X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Cephennium (Phennecium) sp.n. 1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>Cephennium (Phennecium) sp.n. 2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>Cephennium (Phennecium) sp.n. 3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>Cephennodes sp.n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 t="str">
        <f>IF(Binary!F779&gt;=1,"X",0)</f>
        <v>X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>Chevrolatia egregia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 t="str">
        <f>IF(Binary!J780&gt;=1,"X",0)</f>
        <v>X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>Chevrolatia franzi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Chevrolatia sp. (female)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>Euconnus brachati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 xml:space="preserve">Euconnus dodecanicus (E) 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 t="str">
        <f>IF(Binary!H784&gt;=1,"X",0)</f>
        <v>X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X</v>
      </c>
    </row>
    <row r="785" spans="1:13" x14ac:dyDescent="0.3">
      <c r="A785" t="str">
        <f>Binary!A785</f>
        <v>Euconnus hirticollis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>
        <f>IF(Binary!H785&gt;=1,"X",0)</f>
        <v>0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Euconnus (Psomophus) intrusus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>
        <f>IF(Binary!K786&gt;=1,"X",0)</f>
        <v>0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Euconnus intrusus intrusus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 t="str">
        <f>IF(Binary!J787&gt;=1,"X",0)</f>
        <v>X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 xml:space="preserve">Euconnus kerpensis (E) 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 t="str">
        <f>IF(Binary!L788&gt;=1,"X",0)</f>
        <v>X</v>
      </c>
      <c r="M788" t="str">
        <f>'Actual species'!V788</f>
        <v>X</v>
      </c>
    </row>
    <row r="789" spans="1:13" x14ac:dyDescent="0.3">
      <c r="A789" t="str">
        <f>Binary!A789</f>
        <v>Euconnus leonhardi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>Euconnus marthae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>
        <f>IF(Binary!J790&gt;=1,"X",0)</f>
        <v>0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>Euconnus moczarskii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 t="str">
        <f>IF(Binary!J791&gt;=1,"X",0)</f>
        <v>X</v>
      </c>
      <c r="K791" s="137">
        <f>IF(Binary!K791&gt;=1,"X",0)</f>
        <v>0</v>
      </c>
      <c r="L791" s="137">
        <f>IF(Binary!L791&gt;=1,"X",0)</f>
        <v>0</v>
      </c>
      <c r="M791" t="str">
        <f>'Actual species'!V791</f>
        <v>------------</v>
      </c>
    </row>
    <row r="792" spans="1:13" x14ac:dyDescent="0.3">
      <c r="A792" t="str">
        <f>Binary!A792</f>
        <v xml:space="preserve">Euconnus oblitus (E)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X</v>
      </c>
    </row>
    <row r="793" spans="1:13" x14ac:dyDescent="0.3">
      <c r="A793" t="str">
        <f>Binary!A793</f>
        <v>Euconnus pulcher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 xml:space="preserve">Euconnus rhodensis (E) 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>
        <f>IF(Binary!F794&gt;=1,"X",0)</f>
        <v>0</v>
      </c>
      <c r="G794" s="137">
        <f>IF(Binary!G794&gt;=1,"X",0)</f>
        <v>0</v>
      </c>
      <c r="H794" s="137" t="str">
        <f>IF(Binary!H794&gt;=1,"X",0)</f>
        <v>X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X</v>
      </c>
    </row>
    <row r="795" spans="1:13" x14ac:dyDescent="0.3">
      <c r="A795" t="str">
        <f>Binary!A795</f>
        <v>Euconnus (Euconnus) sp.n.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 t="str">
        <f>IF(Binary!E795&gt;=1,"X",0)</f>
        <v>X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 t="str">
        <f>IF(Binary!L795&gt;=1,"X",0)</f>
        <v>X</v>
      </c>
      <c r="M795" t="str">
        <f>'Actual species'!V795</f>
        <v>------------</v>
      </c>
    </row>
    <row r="796" spans="1:13" x14ac:dyDescent="0.3">
      <c r="A796" t="str">
        <f>Binary!A796</f>
        <v>Euconnus (Napochus) sp. (female)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 t="str">
        <f>IF(Binary!F796&gt;=1,"X",0)</f>
        <v>X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Euconnus nov.sp.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 t="str">
        <f>IF(Binary!H797&gt;=1,"X",0)</f>
        <v>X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Euconnus (Tetramelus) sp.n. 1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 t="str">
        <f>IF(Binary!E798&gt;=1,"X",0)</f>
        <v>X</v>
      </c>
      <c r="F798" s="137">
        <f>IF(Binary!F798&gt;=1,"X",0)</f>
        <v>0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Euconnus (Tetramelus) sp.n. 2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 t="str">
        <f>IF(Binary!E799&gt;=1,"X",0)</f>
        <v>X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>
        <f>IF(Binary!J799&gt;=1,"X",0)</f>
        <v>0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Euconnus (Tetramelus) sp.n. 3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Euconnus (Tetramelus) sp.n. 4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 t="str">
        <f>IF(Binary!E801&gt;=1,"X",0)</f>
        <v>X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wetterhallii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>Eutheia formicetorum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>
        <f>IF(Binary!H803&gt;=1,"X",0)</f>
        <v>0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Eutheia paganettii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X</v>
      </c>
    </row>
    <row r="805" spans="1:13" x14ac:dyDescent="0.3">
      <c r="A805" t="str">
        <f>Binary!A805</f>
        <v>Eutheia sp.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 xml:space="preserve">Eutheia spec. nov. 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>Leptomastax bipunctata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 t="str">
        <f>IF(Binary!J807&gt;=1,"X",0)</f>
        <v>X</v>
      </c>
      <c r="K807" s="137">
        <f>IF(Binary!K807&gt;=1,"X",0)</f>
        <v>0</v>
      </c>
      <c r="L807" s="137">
        <f>IF(Binary!L807&gt;=1,"X",0)</f>
        <v>0</v>
      </c>
      <c r="M807" t="str">
        <f>'Actual species'!V807</f>
        <v>------------</v>
      </c>
    </row>
    <row r="808" spans="1:13" x14ac:dyDescent="0.3">
      <c r="A808" t="str">
        <f>Binary!A808</f>
        <v>Leptomastax bisetosa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 t="str">
        <f>IF(Binary!J808&gt;=1,"X",0)</f>
        <v>X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Leptomastax coquereli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 t="str">
        <f>IF(Binary!F809&gt;=1,"X",0)</f>
        <v>X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Leptomastax insularis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>Leptomastax orousseti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>
        <f>IF(Binary!H811&gt;=1,"X",0)</f>
        <v>0</v>
      </c>
      <c r="I811" s="137">
        <f>IF(Binary!I811&gt;=1,"X",0)</f>
        <v>0</v>
      </c>
      <c r="J811" s="137">
        <f>IF(Binary!J811&gt;=1,"X",0)</f>
        <v>0</v>
      </c>
      <c r="K811" s="137" t="str">
        <f>IF(Binary!K811&gt;=1,"X",0)</f>
        <v>X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Leptomastax simonis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 t="str">
        <f>IF(Binary!E812&gt;=1,"X",0)</f>
        <v>X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>Leptomastax sp.</v>
      </c>
      <c r="B813" s="137">
        <f>IF(Binary!B813&gt;=1,"X",0)</f>
        <v>0</v>
      </c>
      <c r="C813" s="137" t="str">
        <f>IF(Binary!C813&gt;=1,"X",0)</f>
        <v>X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>
        <f>IF(Binary!H813&gt;=1,"X",0)</f>
        <v>0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Leptomastax sp. aff. bisetosa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>
        <f>IF(Binary!E814&gt;=1,"X",0)</f>
        <v>0</v>
      </c>
      <c r="F814" s="137">
        <f>IF(Binary!F814&gt;=1,"X",0)</f>
        <v>0</v>
      </c>
      <c r="G814" s="137" t="str">
        <f>IF(Binary!G814&gt;=1,"X",0)</f>
        <v>X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>
        <f>IF(Binary!L814&gt;=1,"X",0)</f>
        <v>0</v>
      </c>
      <c r="M814" t="str">
        <f>'Actual species'!V814</f>
        <v>------------</v>
      </c>
    </row>
    <row r="815" spans="1:13" x14ac:dyDescent="0.3">
      <c r="A815" t="str">
        <f>Binary!A815</f>
        <v>Scydmaenus menozzii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>
        <f>IF(Binary!F815&gt;=1,"X",0)</f>
        <v>0</v>
      </c>
      <c r="G815" s="137" t="str">
        <f>IF(Binary!G815&gt;=1,"X",0)</f>
        <v>X</v>
      </c>
      <c r="H815" s="137" t="str">
        <f>IF(Binary!H815&gt;=1,"X",0)</f>
        <v>X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Scydmoraphes sp.n 1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 t="str">
        <f>IF(Binary!E816&gt;=1,"X",0)</f>
        <v>X</v>
      </c>
      <c r="F816" s="137">
        <f>IF(Binary!F816&gt;=1,"X",0)</f>
        <v>0</v>
      </c>
      <c r="G816" s="137">
        <f>IF(Binary!G816&gt;=1,"X",0)</f>
        <v>0</v>
      </c>
      <c r="H816" s="137">
        <f>IF(Binary!H816&gt;=1,"X",0)</f>
        <v>0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Scydmoraphes sp.n 2</v>
      </c>
      <c r="B817" s="137">
        <f>IF(Binary!B817&gt;=1,"X",0)</f>
        <v>0</v>
      </c>
      <c r="C817" s="137">
        <f>IF(Binary!C817&gt;=1,"X",0)</f>
        <v>0</v>
      </c>
      <c r="D817" s="137" t="str">
        <f>IF(Binary!D817&gt;=1,"X",0)</f>
        <v>X</v>
      </c>
      <c r="E817" s="137">
        <f>IF(Binary!E817&gt;=1,"X",0)</f>
        <v>0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 xml:space="preserve">Scydmoraphes fuelscheri (E) 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>
        <f>IF(Binary!E818&gt;=1,"X",0)</f>
        <v>0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X</v>
      </c>
    </row>
    <row r="819" spans="1:13" x14ac:dyDescent="0.3">
      <c r="A819" t="str">
        <f>Binary!A819</f>
        <v xml:space="preserve">Scydmoraphes kerpensis (E) 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 t="str">
        <f>IF(Binary!L819&gt;=1,"X",0)</f>
        <v>X</v>
      </c>
      <c r="M819" t="str">
        <f>'Actual species'!V819</f>
        <v>X</v>
      </c>
    </row>
    <row r="820" spans="1:13" x14ac:dyDescent="0.3">
      <c r="A820" t="str">
        <f>Binary!A820</f>
        <v xml:space="preserve">Scydmoraphes minotauri (E) 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>
        <f>IF(Binary!E820&gt;=1,"X",0)</f>
        <v>0</v>
      </c>
      <c r="F820" s="137">
        <f>IF(Binary!F820&gt;=1,"X",0)</f>
        <v>0</v>
      </c>
      <c r="G820" s="137" t="str">
        <f>IF(Binary!G820&gt;=1,"X",0)</f>
        <v>X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X</v>
      </c>
    </row>
    <row r="821" spans="1:13" x14ac:dyDescent="0.3">
      <c r="A821" t="str">
        <f>Binary!A821</f>
        <v>Scydmoraphes profanus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 t="str">
        <f>IF(Binary!J821&gt;=1,"X",0)</f>
        <v>X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 xml:space="preserve">Scydmoraphes rhodensis (E) 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 t="str">
        <f>IF(Binary!H822&gt;=1,"X",0)</f>
        <v>X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X</v>
      </c>
    </row>
    <row r="823" spans="1:13" x14ac:dyDescent="0.3">
      <c r="A823" t="str">
        <f>Binary!A823</f>
        <v>Scydmoraphes subtetratomus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 xml:space="preserve">Scydmoraphes ziegleri (E) 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X</v>
      </c>
    </row>
    <row r="825" spans="1:13" x14ac:dyDescent="0.3">
      <c r="A825" t="str">
        <f>Binary!A825</f>
        <v>Stenichnus angulimanus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>
        <f>IF(Binary!J825&gt;=1,"X",0)</f>
        <v>0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 xml:space="preserve">Stenichus basimpressus (E) 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>
        <f>IF(Binary!J826&gt;=1,"X",0)</f>
        <v>0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X</v>
      </c>
    </row>
    <row r="827" spans="1:13" x14ac:dyDescent="0.3">
      <c r="A827" t="str">
        <f>Binary!A827</f>
        <v>Stenichnus corcyreus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 xml:space="preserve">Stenichnus creticus (E) 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>
        <f>IF(Binary!F828&gt;=1,"X",0)</f>
        <v>0</v>
      </c>
      <c r="G828" s="137" t="str">
        <f>IF(Binary!G828&gt;=1,"X",0)</f>
        <v>X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X</v>
      </c>
    </row>
    <row r="829" spans="1:13" x14ac:dyDescent="0.3">
      <c r="A829" t="str">
        <f>Binary!A829</f>
        <v>Stenichnus helferi helferi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>
        <f>IF(Binary!J829&gt;=1,"X",0)</f>
        <v>0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 xml:space="preserve">Stenichus hummleri (E) 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>
        <f>IF(Binary!K830&gt;=1,"X",0)</f>
        <v>0</v>
      </c>
      <c r="L830" s="137">
        <f>IF(Binary!L830&gt;=1,"X",0)</f>
        <v>0</v>
      </c>
      <c r="M830" t="str">
        <f>'Actual species'!V830</f>
        <v>X</v>
      </c>
    </row>
    <row r="831" spans="1:13" x14ac:dyDescent="0.3">
      <c r="A831" t="str">
        <f>Binary!A831</f>
        <v xml:space="preserve">Stenichus kerpensis (E) 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>
        <f>IF(Binary!E831&gt;=1,"X",0)</f>
        <v>0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 t="str">
        <f>IF(Binary!L831&gt;=1,"X",0)</f>
        <v>X</v>
      </c>
      <c r="M831" t="str">
        <f>'Actual species'!V831</f>
        <v>X</v>
      </c>
    </row>
    <row r="832" spans="1:13" x14ac:dyDescent="0.3">
      <c r="A832" t="str">
        <f>Binary!A832</f>
        <v xml:space="preserve">*Stenichus lesbius (E) </v>
      </c>
      <c r="B832" s="137">
        <f>IF(Binary!B832&gt;=1,"X",0)</f>
        <v>0</v>
      </c>
      <c r="C832" s="137">
        <f>IF(Binary!C832&gt;=1,"X",0)</f>
        <v>0</v>
      </c>
      <c r="D832" s="137">
        <f>IF(Binary!D832&gt;=1,"X",0)</f>
        <v>0</v>
      </c>
      <c r="E832" s="137">
        <f>IF(Binary!E832&gt;=1,"X",0)</f>
        <v>0</v>
      </c>
      <c r="F832" s="137" t="str">
        <f>IF(Binary!F832&gt;=1,"X",0)</f>
        <v>X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X</v>
      </c>
    </row>
    <row r="833" spans="1:13" x14ac:dyDescent="0.3">
      <c r="A833" t="str">
        <f>Binary!A833</f>
        <v>Stenichnus nov.sp.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 t="str">
        <f>IF(Binary!I833&gt;=1,"X",0)</f>
        <v>X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Stenichnus pelliceus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 t="str">
        <f>IF(Binary!F834&gt;=1,"X",0)</f>
        <v>X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 t="str">
        <f>IF(Binary!J834&gt;=1,"X",0)</f>
        <v>X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 xml:space="preserve">**Stenichnus pusillus joicus (E) 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>
        <f>IF(Binary!G835&gt;=1,"X",0)</f>
        <v>0</v>
      </c>
      <c r="H835" s="137">
        <f>IF(Binary!H835&gt;=1,"X",0)</f>
        <v>0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X</v>
      </c>
    </row>
    <row r="836" spans="1:13" x14ac:dyDescent="0.3">
      <c r="A836" t="str">
        <f>Binary!A836</f>
        <v>Stenichnus sp 1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 t="str">
        <f>IF(Binary!F836&gt;=1,"X",0)</f>
        <v>X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Stenichnus sp 2 (female)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>
        <f>IF(Binary!E837&gt;=1,"X",0)</f>
        <v>0</v>
      </c>
      <c r="F837" s="137" t="str">
        <f>IF(Binary!F837&gt;=1,"X",0)</f>
        <v>X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Stenichnus sp.n 1</v>
      </c>
      <c r="B838" s="137">
        <f>IF(Binary!B838&gt;=1,"X",0)</f>
        <v>0</v>
      </c>
      <c r="C838" s="137">
        <f>IF(Binary!C838&gt;=1,"X",0)</f>
        <v>0</v>
      </c>
      <c r="D838" s="137">
        <f>IF(Binary!D838&gt;=1,"X",0)</f>
        <v>0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>Stenichnus sp.n 2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>Stenichnus sp. 3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 t="str">
        <f>IF(Binary!E840&gt;=1,"X",0)</f>
        <v>X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>
        <f>IF(Binary!L840&gt;=1,"X",0)</f>
        <v>0</v>
      </c>
      <c r="M840" t="str">
        <f>'Actual species'!V840</f>
        <v>------------</v>
      </c>
    </row>
    <row r="841" spans="1:13" x14ac:dyDescent="0.3">
      <c r="A841" s="63" t="str">
        <f>Binary!A841</f>
        <v>Pseudopsinae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 xml:space="preserve">*Pseudopsis cypria (E) </v>
      </c>
      <c r="B842" s="137" t="str">
        <f>IF(Binary!B842&gt;=1,"X",0)</f>
        <v>X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>
        <f>IF(Binary!J842&gt;=1,"X",0)</f>
        <v>0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X</v>
      </c>
    </row>
    <row r="843" spans="1:13" x14ac:dyDescent="0.3">
      <c r="A843" t="str">
        <f>Binary!A843</f>
        <v>Pseudopsis sulcata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 t="str">
        <f>IF(Binary!E843&gt;=1,"X",0)</f>
        <v>X</v>
      </c>
      <c r="F843" s="137">
        <f>IF(Binary!F843&gt;=1,"X",0)</f>
        <v>0</v>
      </c>
      <c r="G843" s="137">
        <f>IF(Binary!G843&gt;=1,"X",0)</f>
        <v>0</v>
      </c>
      <c r="H843" s="137">
        <f>IF(Binary!H843&gt;=1,"X",0)</f>
        <v>0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Paedrinae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>Achenium debile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 t="str">
        <f>IF(Binary!H845&gt;=1,"X",0)</f>
        <v>X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Achenium depressum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 t="str">
        <f>IF(Binary!F846&gt;=1,"X",0)</f>
        <v>X</v>
      </c>
      <c r="G846" s="137" t="str">
        <f>IF(Binary!G846&gt;=1,"X",0)</f>
        <v>X</v>
      </c>
      <c r="H846" s="137">
        <f>IF(Binary!H846&gt;=1,"X",0)</f>
        <v>0</v>
      </c>
      <c r="I846" s="137">
        <f>IF(Binary!I846&gt;=1,"X",0)</f>
        <v>0</v>
      </c>
      <c r="J846" s="137" t="str">
        <f>IF(Binary!J846&gt;=1,"X",0)</f>
        <v>X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Achenium humile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 t="str">
        <f>IF(Binary!J847&gt;=1,"X",0)</f>
        <v>X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>Achenium picinum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 t="str">
        <f>IF(Binary!H848&gt;=1,"X",0)</f>
        <v>X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Achenium scimbalioides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 t="str">
        <f>IF(Binary!I849&gt;=1,"X",0)</f>
        <v>X</v>
      </c>
      <c r="J849" s="137">
        <f>IF(Binary!J849&gt;=1,"X",0)</f>
        <v>0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>Astenus bimaculatus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 t="str">
        <f>IF(Binary!E850&gt;=1,"X",0)</f>
        <v>X</v>
      </c>
      <c r="F850" s="137">
        <f>IF(Binary!F850&gt;=1,"X",0)</f>
        <v>0</v>
      </c>
      <c r="G850" s="137">
        <f>IF(Binary!G850&gt;=1,"X",0)</f>
        <v>0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Astenus bimaculatus bimaculatus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 t="str">
        <f>IF(Binary!J851&gt;=1,"X",0)</f>
        <v>X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>Astenus cf. procerus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 t="str">
        <f>IF(Binary!H852&gt;=1,"X",0)</f>
        <v>X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>Astenus gracilis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>
        <f>IF(Binary!L853&gt;=1,"X",0)</f>
        <v>0</v>
      </c>
      <c r="M853" t="str">
        <f>'Actual species'!V853</f>
        <v>------------</v>
      </c>
    </row>
    <row r="854" spans="1:13" x14ac:dyDescent="0.3">
      <c r="A854" t="str">
        <f>Binary!A854</f>
        <v>Astenus immaculatus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>
        <f>IF(Binary!F854&gt;=1,"X",0)</f>
        <v>0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 t="str">
        <f>IF(Binary!J854&gt;=1,"X",0)</f>
        <v>X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Astenus lyonessius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 t="str">
        <f>IF(Binary!F855&gt;=1,"X",0)</f>
        <v>X</v>
      </c>
      <c r="G855" s="137" t="str">
        <f>IF(Binary!G855&gt;=1,"X",0)</f>
        <v>X</v>
      </c>
      <c r="H855" s="137">
        <f>IF(Binary!H855&gt;=1,"X",0)</f>
        <v>0</v>
      </c>
      <c r="I855" s="137">
        <f>IF(Binary!I855&gt;=1,"X",0)</f>
        <v>0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Astenus melanurus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>
        <f>IF(Binary!J856&gt;=1,"X",0)</f>
        <v>0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Astenus minos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 t="str">
        <f>IF(Binary!G857&gt;=1,"X",0)</f>
        <v>X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X</v>
      </c>
    </row>
    <row r="858" spans="1:13" x14ac:dyDescent="0.3">
      <c r="A858" t="str">
        <f>Binary!A858</f>
        <v>Astenus pallidulus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>
        <f>IF(Binary!F858&gt;=1,"X",0)</f>
        <v>0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Astenus procerus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 t="str">
        <f>IF(Binary!E859&gt;=1,"X",0)</f>
        <v>X</v>
      </c>
      <c r="F859" s="137" t="str">
        <f>IF(Binary!F859&gt;=1,"X",0)</f>
        <v>X</v>
      </c>
      <c r="G859" s="137" t="str">
        <f>IF(Binary!G859&gt;=1,"X",0)</f>
        <v>X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 xml:space="preserve">Astenus rhodicus (E) 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 t="str">
        <f>IF(Binary!H860&gt;=1,"X",0)</f>
        <v>X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 t="str">
        <f>IF(Binary!L860&gt;=1,"X",0)</f>
        <v>X</v>
      </c>
      <c r="M860" t="str">
        <f>'Actual species'!V860</f>
        <v>X</v>
      </c>
    </row>
    <row r="861" spans="1:13" x14ac:dyDescent="0.3">
      <c r="A861" t="str">
        <f>Binary!A861</f>
        <v xml:space="preserve">Astenus sp. </v>
      </c>
      <c r="B861" s="137">
        <f>IF(Binary!B861&gt;=1,"X",0)</f>
        <v>0</v>
      </c>
      <c r="C861" s="137" t="str">
        <f>IF(Binary!C861&gt;=1,"X",0)</f>
        <v>X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Astenus thoracicus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 t="str">
        <f>IF(Binary!F862&gt;=1,"X",0)</f>
        <v>X</v>
      </c>
      <c r="G862" s="137" t="str">
        <f>IF(Binary!G862&gt;=1,"X",0)</f>
        <v>X</v>
      </c>
      <c r="H862" s="137" t="str">
        <f>IF(Binary!H862&gt;=1,"X",0)</f>
        <v>X</v>
      </c>
      <c r="I862" s="137">
        <f>IF(Binary!I862&gt;=1,"X",0)</f>
        <v>0</v>
      </c>
      <c r="J862" s="137" t="str">
        <f>IF(Binary!J862&gt;=1,"X",0)</f>
        <v>X</v>
      </c>
      <c r="K862" s="137" t="str">
        <f>IF(Binary!K862&gt;=1,"X",0)</f>
        <v>X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 xml:space="preserve">Astenus thripticus (E) 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 t="str">
        <f>IF(Binary!G863&gt;=1,"X",0)</f>
        <v>X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 t="str">
        <f>'Actual species'!V863</f>
        <v>X</v>
      </c>
    </row>
    <row r="864" spans="1:13" x14ac:dyDescent="0.3">
      <c r="A864" t="str">
        <f>Binary!A864</f>
        <v>Cryptobium collare</v>
      </c>
      <c r="B864" s="137">
        <f>IF(Binary!B864&gt;=1,"X",0)</f>
        <v>0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Cryptobium turkestanicum</v>
      </c>
      <c r="B865" s="137" t="str">
        <f>IF(Binary!B865&gt;=1,"X",0)</f>
        <v>X</v>
      </c>
      <c r="C865" s="137">
        <f>IF(Binary!C865&gt;=1,"X",0)</f>
        <v>0</v>
      </c>
      <c r="D865" s="137">
        <f>IF(Binary!D865&gt;=1,"X",0)</f>
        <v>0</v>
      </c>
      <c r="E865" s="137">
        <f>IF(Binary!E865&gt;=1,"X",0)</f>
        <v>0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 xml:space="preserve">**Domene behnei (E) 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 t="str">
        <f>'Actual species'!V866</f>
        <v>X</v>
      </c>
    </row>
    <row r="867" spans="1:13" x14ac:dyDescent="0.3">
      <c r="A867" t="str">
        <f>Binary!A867</f>
        <v>Domene stilicina</v>
      </c>
      <c r="B867" s="137" t="str">
        <f>IF(Binary!B867&gt;=1,"X",0)</f>
        <v>X</v>
      </c>
      <c r="C867" s="137">
        <f>IF(Binary!C867&gt;=1,"X",0)</f>
        <v>0</v>
      </c>
      <c r="D867" s="137">
        <f>IF(Binary!D867&gt;=1,"X",0)</f>
        <v>0</v>
      </c>
      <c r="E867" s="137" t="str">
        <f>IF(Binary!E867&gt;=1,"X",0)</f>
        <v>X</v>
      </c>
      <c r="F867" s="137">
        <f>IF(Binary!F867&gt;=1,"X",0)</f>
        <v>0</v>
      </c>
      <c r="G867" s="137" t="str">
        <f>IF(Binary!G867&gt;=1,"X",0)</f>
        <v>X</v>
      </c>
      <c r="H867" s="137" t="str">
        <f>IF(Binary!H867&gt;=1,"X",0)</f>
        <v>X</v>
      </c>
      <c r="I867" s="137">
        <f>IF(Binary!I867&gt;=1,"X",0)</f>
        <v>0</v>
      </c>
      <c r="J867" s="137" t="str">
        <f>IF(Binary!J867&gt;=1,"X",0)</f>
        <v>X</v>
      </c>
      <c r="K867" s="137" t="str">
        <f>IF(Binary!K867&gt;=1,"X",0)</f>
        <v>X</v>
      </c>
      <c r="L867" s="137" t="str">
        <f>IF(Binary!L867&gt;=1,"X",0)</f>
        <v>X</v>
      </c>
      <c r="M867" t="str">
        <f>'Actual species'!V867</f>
        <v>------------</v>
      </c>
    </row>
    <row r="868" spans="1:13" x14ac:dyDescent="0.3">
      <c r="A868" t="str">
        <f>Binary!A868</f>
        <v>Homaeotarsus chaudoirii</v>
      </c>
      <c r="B868" s="137" t="str">
        <f>IF(Binary!B868&gt;=1,"X",0)</f>
        <v>X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>
        <f>IF(Binary!F868&gt;=1,"X",0)</f>
        <v>0</v>
      </c>
      <c r="G868" s="137">
        <f>IF(Binary!G868&gt;=1,"X",0)</f>
        <v>0</v>
      </c>
      <c r="H868" s="137">
        <f>IF(Binary!H868&gt;=1,"X",0)</f>
        <v>0</v>
      </c>
      <c r="I868" s="137">
        <f>IF(Binary!I868&gt;=1,"X",0)</f>
        <v>0</v>
      </c>
      <c r="J868" s="137">
        <f>IF(Binary!J868&gt;=1,"X",0)</f>
        <v>0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Lathrobium elegantulum</v>
      </c>
      <c r="B869" s="137">
        <f>IF(Binary!B869&gt;=1,"X",0)</f>
        <v>0</v>
      </c>
      <c r="C869" s="137">
        <f>IF(Binary!C869&gt;=1,"X",0)</f>
        <v>0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>
        <f>IF(Binary!J869&gt;=1,"X",0)</f>
        <v>0</v>
      </c>
      <c r="K869" s="137">
        <f>IF(Binary!K869&gt;=1,"X",0)</f>
        <v>0</v>
      </c>
      <c r="L869" s="137">
        <f>IF(Binary!L869&gt;=1,"X",0)</f>
        <v>0</v>
      </c>
      <c r="M869" t="str">
        <f>'Actual species'!V869</f>
        <v>------------</v>
      </c>
    </row>
    <row r="870" spans="1:13" x14ac:dyDescent="0.3">
      <c r="A870" t="str">
        <f>Binary!A870</f>
        <v>Lathrobium elongatum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>
        <f>IF(Binary!H870&gt;=1,"X",0)</f>
        <v>0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species'!V870</f>
        <v>------------</v>
      </c>
    </row>
    <row r="871" spans="1:13" x14ac:dyDescent="0.3">
      <c r="A871" t="str">
        <f>Binary!A871</f>
        <v>Lathrobium spec. (female)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>
        <f>IF(Binary!I871&gt;=1,"X",0)</f>
        <v>0</v>
      </c>
      <c r="J871" s="137" t="str">
        <f>IF(Binary!J871&gt;=1,"X",0)</f>
        <v>X</v>
      </c>
      <c r="K871" s="137">
        <f>IF(Binary!K871&gt;=1,"X",0)</f>
        <v>0</v>
      </c>
      <c r="L871" s="137">
        <f>IF(Binary!L871&gt;=1,"X",0)</f>
        <v>0</v>
      </c>
      <c r="M871" t="str">
        <f>'Actual species'!V871</f>
        <v>------------</v>
      </c>
    </row>
    <row r="872" spans="1:13" x14ac:dyDescent="0.3">
      <c r="A872" t="str">
        <f>Binary!A872</f>
        <v>Lathrobium sp. n.?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>
        <f>IF(Binary!E872&gt;=1,"X",0)</f>
        <v>0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>
        <f>IF(Binary!J872&gt;=1,"X",0)</f>
        <v>0</v>
      </c>
      <c r="K872" s="137">
        <f>IF(Binary!K872&gt;=1,"X",0)</f>
        <v>0</v>
      </c>
      <c r="L872" s="137">
        <f>IF(Binary!L872&gt;=1,"X",0)</f>
        <v>0</v>
      </c>
      <c r="M872" t="str">
        <f>'Actual species'!V872</f>
        <v>------------</v>
      </c>
    </row>
    <row r="873" spans="1:13" x14ac:dyDescent="0.3">
      <c r="A873" t="str">
        <f>Binary!A873</f>
        <v>Lathrobium vitsiense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>
        <f>IF(Binary!J873&gt;=1,"X",0)</f>
        <v>0</v>
      </c>
      <c r="K873" s="137">
        <f>IF(Binary!K873&gt;=1,"X",0)</f>
        <v>0</v>
      </c>
      <c r="L873" s="137">
        <f>IF(Binary!L873&gt;=1,"X",0)</f>
        <v>0</v>
      </c>
      <c r="M873" t="str">
        <f>'Actual species'!V873</f>
        <v>------------</v>
      </c>
    </row>
    <row r="874" spans="1:13" x14ac:dyDescent="0.3">
      <c r="A874" t="str">
        <f>Binary!A874</f>
        <v>Lathrobium voraensis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>
        <f>IF(Binary!H874&gt;=1,"X",0)</f>
        <v>0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str">
        <f>'Actual species'!V874</f>
        <v>------------</v>
      </c>
    </row>
    <row r="875" spans="1:13" x14ac:dyDescent="0.3">
      <c r="A875" t="str">
        <f>Binary!A875</f>
        <v xml:space="preserve">Leptobium creticum (E) </v>
      </c>
      <c r="B875" s="137">
        <f>IF(Binary!B875&gt;=1,"X",0)</f>
        <v>0</v>
      </c>
      <c r="C875" s="137">
        <f>IF(Binary!C875&gt;=1,"X",0)</f>
        <v>0</v>
      </c>
      <c r="D875" s="137">
        <f>IF(Binary!D875&gt;=1,"X",0)</f>
        <v>0</v>
      </c>
      <c r="E875" s="137">
        <f>IF(Binary!E875&gt;=1,"X",0)</f>
        <v>0</v>
      </c>
      <c r="F875" s="137">
        <f>IF(Binary!F875&gt;=1,"X",0)</f>
        <v>0</v>
      </c>
      <c r="G875" s="137" t="str">
        <f>IF(Binary!G875&gt;=1,"X",0)</f>
        <v>X</v>
      </c>
      <c r="H875" s="137">
        <f>IF(Binary!H875&gt;=1,"X",0)</f>
        <v>0</v>
      </c>
      <c r="I875" s="137">
        <f>IF(Binary!I875&gt;=1,"X",0)</f>
        <v>0</v>
      </c>
      <c r="J875" s="137">
        <f>IF(Binary!J875&gt;=1,"X",0)</f>
        <v>0</v>
      </c>
      <c r="K875" s="137">
        <f>IF(Binary!K875&gt;=1,"X",0)</f>
        <v>0</v>
      </c>
      <c r="L875" s="137">
        <f>IF(Binary!L875&gt;=1,"X",0)</f>
        <v>0</v>
      </c>
      <c r="M875" t="str">
        <f>'Actual species'!V875</f>
        <v>X</v>
      </c>
    </row>
    <row r="876" spans="1:13" x14ac:dyDescent="0.3">
      <c r="A876" t="str">
        <f>Binary!A876</f>
        <v xml:space="preserve">*Leptobium fageli (E) </v>
      </c>
      <c r="B876" s="137" t="str">
        <f>IF(Binary!B876&gt;=1,"X",0)</f>
        <v>X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>
        <f>IF(Binary!G876&gt;=1,"X",0)</f>
        <v>0</v>
      </c>
      <c r="H876" s="137">
        <f>IF(Binary!H876&gt;=1,"X",0)</f>
        <v>0</v>
      </c>
      <c r="I876" s="137">
        <f>IF(Binary!I876&gt;=1,"X",0)</f>
        <v>0</v>
      </c>
      <c r="J876" s="137">
        <f>IF(Binary!J876&gt;=1,"X",0)</f>
        <v>0</v>
      </c>
      <c r="K876" s="137">
        <f>IF(Binary!K876&gt;=1,"X",0)</f>
        <v>0</v>
      </c>
      <c r="L876" s="137">
        <f>IF(Binary!L876&gt;=1,"X",0)</f>
        <v>0</v>
      </c>
      <c r="M876" t="str">
        <f>'Actual species'!V876</f>
        <v>X</v>
      </c>
    </row>
    <row r="877" spans="1:13" x14ac:dyDescent="0.3">
      <c r="A877" t="str">
        <f>Binary!A877</f>
        <v>Leptobium gracile</v>
      </c>
      <c r="B877" s="137">
        <f>IF(Binary!B877&gt;=1,"X",0)</f>
        <v>0</v>
      </c>
      <c r="C877" s="137">
        <f>IF(Binary!C877&gt;=1,"X",0)</f>
        <v>0</v>
      </c>
      <c r="D877" s="137">
        <f>IF(Binary!D877&gt;=1,"X",0)</f>
        <v>0</v>
      </c>
      <c r="E877" s="137" t="str">
        <f>IF(Binary!E877&gt;=1,"X",0)</f>
        <v>X</v>
      </c>
      <c r="F877" s="137" t="str">
        <f>IF(Binary!F877&gt;=1,"X",0)</f>
        <v>X</v>
      </c>
      <c r="G877" s="137" t="str">
        <f>IF(Binary!G877&gt;=1,"X",0)</f>
        <v>X</v>
      </c>
      <c r="H877" s="137" t="str">
        <f>IF(Binary!H877&gt;=1,"X",0)</f>
        <v>X</v>
      </c>
      <c r="I877" s="137">
        <f>IF(Binary!I877&gt;=1,"X",0)</f>
        <v>0</v>
      </c>
      <c r="J877" s="137" t="str">
        <f>IF(Binary!J877&gt;=1,"X",0)</f>
        <v>X</v>
      </c>
      <c r="K877" s="137">
        <f>IF(Binary!K877&gt;=1,"X",0)</f>
        <v>0</v>
      </c>
      <c r="L877" s="137">
        <f>IF(Binary!L877&gt;=1,"X",0)</f>
        <v>0</v>
      </c>
      <c r="M877" t="str">
        <f>'Actual species'!V877</f>
        <v>------------</v>
      </c>
    </row>
    <row r="878" spans="1:13" x14ac:dyDescent="0.3">
      <c r="A878" t="str">
        <f>Binary!A878</f>
        <v>Leptobium illyricum</v>
      </c>
      <c r="B878" s="137">
        <f>IF(Binary!B878&gt;=1,"X",0)</f>
        <v>0</v>
      </c>
      <c r="C878" s="137" t="str">
        <f>IF(Binary!C878&gt;=1,"X",0)</f>
        <v>X</v>
      </c>
      <c r="D878" s="137">
        <f>IF(Binary!D878&gt;=1,"X",0)</f>
        <v>0</v>
      </c>
      <c r="E878" s="137">
        <f>IF(Binary!E878&gt;=1,"X",0)</f>
        <v>0</v>
      </c>
      <c r="F878" s="137" t="str">
        <f>IF(Binary!F878&gt;=1,"X",0)</f>
        <v>X</v>
      </c>
      <c r="G878" s="137">
        <f>IF(Binary!G878&gt;=1,"X",0)</f>
        <v>0</v>
      </c>
      <c r="H878" s="137">
        <f>IF(Binary!H878&gt;=1,"X",0)</f>
        <v>0</v>
      </c>
      <c r="I878" s="137">
        <f>IF(Binary!I878&gt;=1,"X",0)</f>
        <v>0</v>
      </c>
      <c r="J878" s="137" t="str">
        <f>IF(Binary!J878&gt;=1,"X",0)</f>
        <v>X</v>
      </c>
      <c r="K878" s="137">
        <f>IF(Binary!K878&gt;=1,"X",0)</f>
        <v>0</v>
      </c>
      <c r="L878" s="137">
        <f>IF(Binary!L878&gt;=1,"X",0)</f>
        <v>0</v>
      </c>
      <c r="M878" t="str">
        <f>'Actual species'!V878</f>
        <v>------------</v>
      </c>
    </row>
    <row r="879" spans="1:13" x14ac:dyDescent="0.3">
      <c r="A879" t="str">
        <f>Binary!A879</f>
        <v xml:space="preserve">*Leptobium longitibiale (E) </v>
      </c>
      <c r="B879" s="137" t="str">
        <f>IF(Binary!B879&gt;=1,"X",0)</f>
        <v>X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>
        <f>IF(Binary!F879&gt;=1,"X",0)</f>
        <v>0</v>
      </c>
      <c r="G879" s="137">
        <f>IF(Binary!G879&gt;=1,"X",0)</f>
        <v>0</v>
      </c>
      <c r="H879" s="137">
        <f>IF(Binary!H879&gt;=1,"X",0)</f>
        <v>0</v>
      </c>
      <c r="I879" s="137">
        <f>IF(Binary!I879&gt;=1,"X",0)</f>
        <v>0</v>
      </c>
      <c r="J879" s="137">
        <f>IF(Binary!J879&gt;=1,"X",0)</f>
        <v>0</v>
      </c>
      <c r="K879" s="137">
        <f>IF(Binary!K879&gt;=1,"X",0)</f>
        <v>0</v>
      </c>
      <c r="L879" s="137">
        <f>IF(Binary!L879&gt;=1,"X",0)</f>
        <v>0</v>
      </c>
      <c r="M879" t="str">
        <f>'Actual species'!V879</f>
        <v>X</v>
      </c>
    </row>
    <row r="880" spans="1:13" x14ac:dyDescent="0.3">
      <c r="A880" t="str">
        <f>Binary!A880</f>
        <v xml:space="preserve">*Leptobium samium (E) </v>
      </c>
      <c r="B880" s="137">
        <f>IF(Binary!B880&gt;=1,"X",0)</f>
        <v>0</v>
      </c>
      <c r="C880" s="137">
        <f>IF(Binary!C880&gt;=1,"X",0)</f>
        <v>0</v>
      </c>
      <c r="D880" s="137">
        <f>IF(Binary!D880&gt;=1,"X",0)</f>
        <v>0</v>
      </c>
      <c r="E880" s="137" t="str">
        <f>IF(Binary!E880&gt;=1,"X",0)</f>
        <v>X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species'!V880</f>
        <v>X</v>
      </c>
    </row>
    <row r="881" spans="1:13" x14ac:dyDescent="0.3">
      <c r="A881" t="str">
        <f>Binary!A881</f>
        <v>Leptobium sp. Cf. graecum/creticum</v>
      </c>
      <c r="B881" s="137">
        <f>IF(Binary!B881&gt;=1,"X",0)</f>
        <v>0</v>
      </c>
      <c r="C881" s="137" t="str">
        <f>IF(Binary!C881&gt;=1,"X",0)</f>
        <v>X</v>
      </c>
      <c r="D881" s="137">
        <f>IF(Binary!D881&gt;=1,"X",0)</f>
        <v>0</v>
      </c>
      <c r="E881" s="137">
        <f>IF(Binary!E881&gt;=1,"X",0)</f>
        <v>0</v>
      </c>
      <c r="F881" s="137">
        <f>IF(Binary!F881&gt;=1,"X",0)</f>
        <v>0</v>
      </c>
      <c r="G881" s="137">
        <f>IF(Binary!G881&gt;=1,"X",0)</f>
        <v>0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species'!V881</f>
        <v>------------</v>
      </c>
    </row>
    <row r="882" spans="1:13" x14ac:dyDescent="0.3">
      <c r="A882" t="str">
        <f>Binary!A882</f>
        <v xml:space="preserve">Leptobium thryptisense (E) </v>
      </c>
      <c r="B882" s="137">
        <f>IF(Binary!B882&gt;=1,"X",0)</f>
        <v>0</v>
      </c>
      <c r="C882" s="137">
        <f>IF(Binary!C882&gt;=1,"X",0)</f>
        <v>0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 t="str">
        <f>IF(Binary!G882&gt;=1,"X",0)</f>
        <v>X</v>
      </c>
      <c r="H882" s="137">
        <f>IF(Binary!H882&gt;=1,"X",0)</f>
        <v>0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>
        <f>IF(Binary!L882&gt;=1,"X",0)</f>
        <v>0</v>
      </c>
      <c r="M882" t="str">
        <f>'Actual species'!V882</f>
        <v>X</v>
      </c>
    </row>
    <row r="883" spans="1:13" x14ac:dyDescent="0.3">
      <c r="A883" t="str">
        <f>Binary!A883</f>
        <v>Lithocharis nigriceps</v>
      </c>
      <c r="B883" s="137">
        <f>IF(Binary!B883&gt;=1,"X",0)</f>
        <v>0</v>
      </c>
      <c r="C883" s="137">
        <f>IF(Binary!C883&gt;=1,"X",0)</f>
        <v>0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>
        <f>IF(Binary!G883&gt;=1,"X",0)</f>
        <v>0</v>
      </c>
      <c r="H883" s="137">
        <f>IF(Binary!H883&gt;=1,"X",0)</f>
        <v>0</v>
      </c>
      <c r="I883" s="137">
        <f>IF(Binary!I883&gt;=1,"X",0)</f>
        <v>0</v>
      </c>
      <c r="J883" s="137" t="str">
        <f>IF(Binary!J883&gt;=1,"X",0)</f>
        <v>X</v>
      </c>
      <c r="K883" s="137">
        <f>IF(Binary!K883&gt;=1,"X",0)</f>
        <v>0</v>
      </c>
      <c r="L883" s="137">
        <f>IF(Binary!L883&gt;=1,"X",0)</f>
        <v>0</v>
      </c>
      <c r="M883" t="str">
        <f>'Actual species'!V883</f>
        <v>------------</v>
      </c>
    </row>
    <row r="884" spans="1:13" x14ac:dyDescent="0.3">
      <c r="A884" t="str">
        <f>Binary!A884</f>
        <v>Lithocharis ochracea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>
        <f>IF(Binary!E884&gt;=1,"X",0)</f>
        <v>0</v>
      </c>
      <c r="F884" s="137">
        <f>IF(Binary!F884&gt;=1,"X",0)</f>
        <v>0</v>
      </c>
      <c r="G884" s="137">
        <f>IF(Binary!G884&gt;=1,"X",0)</f>
        <v>0</v>
      </c>
      <c r="H884" s="137">
        <f>IF(Binary!H884&gt;=1,"X",0)</f>
        <v>0</v>
      </c>
      <c r="I884" s="137">
        <f>IF(Binary!I884&gt;=1,"X",0)</f>
        <v>0</v>
      </c>
      <c r="J884" s="137" t="str">
        <f>IF(Binary!J884&gt;=1,"X",0)</f>
        <v>X</v>
      </c>
      <c r="K884" s="137">
        <f>IF(Binary!K884&gt;=1,"X",0)</f>
        <v>0</v>
      </c>
      <c r="L884" s="137">
        <f>IF(Binary!L884&gt;=1,"X",0)</f>
        <v>0</v>
      </c>
      <c r="M884" t="str">
        <f>'Actual species'!V884</f>
        <v>------------</v>
      </c>
    </row>
    <row r="885" spans="1:13" x14ac:dyDescent="0.3">
      <c r="A885" t="str">
        <f>Binary!A885</f>
        <v xml:space="preserve">*Lobrathium apicale (E) </v>
      </c>
      <c r="B885" s="137" t="str">
        <f>IF(Binary!B885&gt;=1,"X",0)</f>
        <v>X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>
        <f>IF(Binary!G885&gt;=1,"X",0)</f>
        <v>0</v>
      </c>
      <c r="H885" s="137">
        <f>IF(Binary!H885&gt;=1,"X",0)</f>
        <v>0</v>
      </c>
      <c r="I885" s="137">
        <f>IF(Binary!I885&gt;=1,"X",0)</f>
        <v>0</v>
      </c>
      <c r="J885" s="137">
        <f>IF(Binary!J885&gt;=1,"X",0)</f>
        <v>0</v>
      </c>
      <c r="K885" s="137">
        <f>IF(Binary!K885&gt;=1,"X",0)</f>
        <v>0</v>
      </c>
      <c r="L885" s="137">
        <f>IF(Binary!L885&gt;=1,"X",0)</f>
        <v>0</v>
      </c>
      <c r="M885" t="str">
        <f>'Actual species'!V885</f>
        <v>X</v>
      </c>
    </row>
    <row r="886" spans="1:13" x14ac:dyDescent="0.3">
      <c r="A886" t="str">
        <f>Binary!A886</f>
        <v xml:space="preserve">Lobrathium candicum (E) </v>
      </c>
      <c r="B886" s="137">
        <f>IF(Binary!B886&gt;=1,"X",0)</f>
        <v>0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 t="str">
        <f>IF(Binary!G886&gt;=1,"X",0)</f>
        <v>X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species'!V886</f>
        <v>X</v>
      </c>
    </row>
    <row r="887" spans="1:13" x14ac:dyDescent="0.3">
      <c r="A887" t="str">
        <f>Binary!A887</f>
        <v>Lobrathium multipunctum</v>
      </c>
      <c r="B887" s="137">
        <f>IF(Binary!B887&gt;=1,"X",0)</f>
        <v>0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>
        <f>IF(Binary!G887&gt;=1,"X",0)</f>
        <v>0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species'!V887</f>
        <v>------------</v>
      </c>
    </row>
    <row r="888" spans="1:13" x14ac:dyDescent="0.3">
      <c r="A888" t="str">
        <f>Binary!A888</f>
        <v>Lobrathium rugipenne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 t="str">
        <f>IF(Binary!E888&gt;=1,"X",0)</f>
        <v>X</v>
      </c>
      <c r="F888" s="137" t="str">
        <f>IF(Binary!F888&gt;=1,"X",0)</f>
        <v>X</v>
      </c>
      <c r="G888" s="137">
        <f>IF(Binary!G888&gt;=1,"X",0)</f>
        <v>0</v>
      </c>
      <c r="H888" s="137" t="str">
        <f>IF(Binary!H888&gt;=1,"X",0)</f>
        <v>X</v>
      </c>
      <c r="I888" s="137">
        <f>IF(Binary!I888&gt;=1,"X",0)</f>
        <v>0</v>
      </c>
      <c r="J888" s="137" t="str">
        <f>IF(Binary!J888&gt;=1,"X",0)</f>
        <v>X</v>
      </c>
      <c r="K888" s="137">
        <f>IF(Binary!K888&gt;=1,"X",0)</f>
        <v>0</v>
      </c>
      <c r="L888" s="137">
        <f>IF(Binary!L888&gt;=1,"X",0)</f>
        <v>0</v>
      </c>
      <c r="M888" t="str">
        <f>'Actual species'!V888</f>
        <v>------------</v>
      </c>
    </row>
    <row r="889" spans="1:13" x14ac:dyDescent="0.3">
      <c r="A889" t="str">
        <f>Binary!A889</f>
        <v>Luzea graeca</v>
      </c>
      <c r="B889" s="137">
        <f>IF(Binary!B889&gt;=1,"X",0)</f>
        <v>0</v>
      </c>
      <c r="C889" s="137">
        <f>IF(Binary!C889&gt;=1,"X",0)</f>
        <v>0</v>
      </c>
      <c r="D889" s="137">
        <f>IF(Binary!D889&gt;=1,"X",0)</f>
        <v>0</v>
      </c>
      <c r="E889" s="137">
        <f>IF(Binary!E889&gt;=1,"X",0)</f>
        <v>0</v>
      </c>
      <c r="F889" s="137">
        <f>IF(Binary!F889&gt;=1,"X",0)</f>
        <v>0</v>
      </c>
      <c r="G889" s="137">
        <f>IF(Binary!G889&gt;=1,"X",0)</f>
        <v>0</v>
      </c>
      <c r="H889" s="137">
        <f>IF(Binary!H889&gt;=1,"X",0)</f>
        <v>0</v>
      </c>
      <c r="I889" s="137">
        <f>IF(Binary!I889&gt;=1,"X",0)</f>
        <v>0</v>
      </c>
      <c r="J889" s="137" t="str">
        <f>IF(Binary!J889&gt;=1,"X",0)</f>
        <v>X</v>
      </c>
      <c r="K889" s="137">
        <f>IF(Binary!K889&gt;=1,"X",0)</f>
        <v>0</v>
      </c>
      <c r="L889" s="137">
        <f>IF(Binary!L889&gt;=1,"X",0)</f>
        <v>0</v>
      </c>
      <c r="M889" t="str">
        <f>'Actual species'!V889</f>
        <v>------------</v>
      </c>
    </row>
    <row r="890" spans="1:13" x14ac:dyDescent="0.3">
      <c r="A890" t="str">
        <f>Binary!A890</f>
        <v>Medon apicalis</v>
      </c>
      <c r="B890" s="137">
        <f>IF(Binary!B890&gt;=1,"X",0)</f>
        <v>0</v>
      </c>
      <c r="C890" s="137" t="str">
        <f>IF(Binary!C890&gt;=1,"X",0)</f>
        <v>X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 t="str">
        <f>IF(Binary!J890&gt;=1,"X",0)</f>
        <v>X</v>
      </c>
      <c r="K890" s="137">
        <f>IF(Binary!K890&gt;=1,"X",0)</f>
        <v>0</v>
      </c>
      <c r="L890" s="137">
        <f>IF(Binary!L890&gt;=1,"X",0)</f>
        <v>0</v>
      </c>
      <c r="M890" t="str">
        <f>'Actual species'!V890</f>
        <v>------------</v>
      </c>
    </row>
    <row r="891" spans="1:13" x14ac:dyDescent="0.3">
      <c r="A891" t="str">
        <f>Binary!A891</f>
        <v xml:space="preserve">Medon beroni (E) </v>
      </c>
      <c r="B891" s="137">
        <f>IF(Binary!B891&gt;=1,"X",0)</f>
        <v>0</v>
      </c>
      <c r="C891" s="137">
        <f>IF(Binary!C891&gt;=1,"X",0)</f>
        <v>0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>
        <f>IF(Binary!J891&gt;=1,"X",0)</f>
        <v>0</v>
      </c>
      <c r="K891" s="137">
        <f>IF(Binary!K891&gt;=1,"X",0)</f>
        <v>0</v>
      </c>
      <c r="L891" s="137">
        <f>IF(Binary!L891&gt;=1,"X",0)</f>
        <v>0</v>
      </c>
      <c r="M891" t="str">
        <f>'Actual species'!V891</f>
        <v>X</v>
      </c>
    </row>
    <row r="892" spans="1:13" x14ac:dyDescent="0.3">
      <c r="A892" t="str">
        <f>Binary!A892</f>
        <v>Medon brunneus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 t="str">
        <f>IF(Binary!J892&gt;=1,"X",0)</f>
        <v>X</v>
      </c>
      <c r="K892" s="137">
        <f>IF(Binary!K892&gt;=1,"X",0)</f>
        <v>0</v>
      </c>
      <c r="L892" s="137">
        <f>IF(Binary!L892&gt;=1,"X",0)</f>
        <v>0</v>
      </c>
      <c r="M892" t="str">
        <f>'Actual species'!V892</f>
        <v>------------</v>
      </c>
    </row>
    <row r="893" spans="1:13" x14ac:dyDescent="0.3">
      <c r="A893" t="str">
        <f>Binary!A893</f>
        <v>Medon caricus</v>
      </c>
      <c r="B893" s="137">
        <f>IF(Binary!B893&gt;=1,"X",0)</f>
        <v>0</v>
      </c>
      <c r="C893" s="137">
        <f>IF(Binary!C893&gt;=1,"X",0)</f>
        <v>0</v>
      </c>
      <c r="D893" s="137" t="str">
        <f>IF(Binary!D893&gt;=1,"X",0)</f>
        <v>X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>
        <f>IF(Binary!J893&gt;=1,"X",0)</f>
        <v>0</v>
      </c>
      <c r="K893" s="137">
        <f>IF(Binary!K893&gt;=1,"X",0)</f>
        <v>0</v>
      </c>
      <c r="L893" s="137">
        <f>IF(Binary!L893&gt;=1,"X",0)</f>
        <v>0</v>
      </c>
      <c r="M893" t="str">
        <f>'Actual species'!V893</f>
        <v>------------</v>
      </c>
    </row>
    <row r="894" spans="1:13" x14ac:dyDescent="0.3">
      <c r="A894" t="str">
        <f>Binary!A894</f>
        <v xml:space="preserve">Medon carpathius (E) </v>
      </c>
      <c r="B894" s="137">
        <f>IF(Binary!B894&gt;=1,"X",0)</f>
        <v>0</v>
      </c>
      <c r="C894" s="137">
        <f>IF(Binary!C894&gt;=1,"X",0)</f>
        <v>0</v>
      </c>
      <c r="D894" s="137">
        <f>IF(Binary!D894&gt;=1,"X",0)</f>
        <v>0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>
        <f>IF(Binary!J894&gt;=1,"X",0)</f>
        <v>0</v>
      </c>
      <c r="K894" s="137">
        <f>IF(Binary!K894&gt;=1,"X",0)</f>
        <v>0</v>
      </c>
      <c r="L894" s="137" t="str">
        <f>IF(Binary!L894&gt;=1,"X",0)</f>
        <v>X</v>
      </c>
      <c r="M894" t="str">
        <f>'Actual species'!V894</f>
        <v>X</v>
      </c>
    </row>
    <row r="895" spans="1:13" x14ac:dyDescent="0.3">
      <c r="A895" t="str">
        <f>Binary!A895</f>
        <v xml:space="preserve">Medon cerrutii (E) 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>
        <f>IF(Binary!L895&gt;=1,"X",0)</f>
        <v>0</v>
      </c>
      <c r="M895" t="str">
        <f>'Actual species'!V895</f>
        <v>X</v>
      </c>
    </row>
    <row r="896" spans="1:13" x14ac:dyDescent="0.3">
      <c r="A896" t="str">
        <f>Binary!A896</f>
        <v xml:space="preserve">*Medon cyprensis (E) </v>
      </c>
      <c r="B896" s="137" t="str">
        <f>IF(Binary!B896&gt;=1,"X",0)</f>
        <v>X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species'!V896</f>
        <v>X</v>
      </c>
    </row>
    <row r="897" spans="1:13" x14ac:dyDescent="0.3">
      <c r="A897" t="str">
        <f>Binary!A897</f>
        <v>Medon dilutus pythonissa</v>
      </c>
      <c r="B897" s="137">
        <f>IF(Binary!B897&gt;=1,"X",0)</f>
        <v>0</v>
      </c>
      <c r="C897" s="137" t="str">
        <f>IF(Binary!C897&gt;=1,"X",0)</f>
        <v>X</v>
      </c>
      <c r="D897" s="137" t="str">
        <f>IF(Binary!D897&gt;=1,"X",0)</f>
        <v>X</v>
      </c>
      <c r="E897" s="137" t="str">
        <f>IF(Binary!E897&gt;=1,"X",0)</f>
        <v>X</v>
      </c>
      <c r="F897" s="137" t="str">
        <f>IF(Binary!F897&gt;=1,"X",0)</f>
        <v>X</v>
      </c>
      <c r="G897" s="137" t="str">
        <f>IF(Binary!G897&gt;=1,"X",0)</f>
        <v>X</v>
      </c>
      <c r="H897" s="137" t="str">
        <f>IF(Binary!H897&gt;=1,"X",0)</f>
        <v>X</v>
      </c>
      <c r="I897" s="137" t="str">
        <f>IF(Binary!I897&gt;=1,"X",0)</f>
        <v>X</v>
      </c>
      <c r="J897" s="137">
        <f>IF(Binary!J897&gt;=1,"X",0)</f>
        <v>0</v>
      </c>
      <c r="K897" s="137" t="str">
        <f>IF(Binary!K897&gt;=1,"X",0)</f>
        <v>X</v>
      </c>
      <c r="L897" s="137" t="str">
        <f>IF(Binary!L897&gt;=1,"X",0)</f>
        <v>X</v>
      </c>
      <c r="M897" t="str">
        <f>'Actual species'!V897</f>
        <v>------------</v>
      </c>
    </row>
    <row r="898" spans="1:13" x14ac:dyDescent="0.3">
      <c r="A898" t="str">
        <f>Binary!A898</f>
        <v>Medon ferrugineus</v>
      </c>
      <c r="B898" s="137">
        <f>IF(Binary!B898&gt;=1,"X",0)</f>
        <v>0</v>
      </c>
      <c r="C898" s="137">
        <f>IF(Binary!C898&gt;=1,"X",0)</f>
        <v>0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>
        <f>IF(Binary!G898&gt;=1,"X",0)</f>
        <v>0</v>
      </c>
      <c r="H898" s="137">
        <f>IF(Binary!H898&gt;=1,"X",0)</f>
        <v>0</v>
      </c>
      <c r="I898" s="137">
        <f>IF(Binary!I898&gt;=1,"X",0)</f>
        <v>0</v>
      </c>
      <c r="J898" s="137" t="str">
        <f>IF(Binary!J898&gt;=1,"X",0)</f>
        <v>X</v>
      </c>
      <c r="K898" s="137">
        <f>IF(Binary!K898&gt;=1,"X",0)</f>
        <v>0</v>
      </c>
      <c r="L898" s="137">
        <f>IF(Binary!L898&gt;=1,"X",0)</f>
        <v>0</v>
      </c>
      <c r="M898" t="str">
        <f>'Actual species'!V898</f>
        <v>------------</v>
      </c>
    </row>
    <row r="899" spans="1:13" x14ac:dyDescent="0.3">
      <c r="A899" t="str">
        <f>Binary!A899</f>
        <v>Medon fusculus</v>
      </c>
      <c r="B899" s="137">
        <f>IF(Binary!B899&gt;=1,"X",0)</f>
        <v>0</v>
      </c>
      <c r="C899" s="137" t="str">
        <f>IF(Binary!C899&gt;=1,"X",0)</f>
        <v>X</v>
      </c>
      <c r="D899" s="137">
        <f>IF(Binary!D899&gt;=1,"X",0)</f>
        <v>0</v>
      </c>
      <c r="E899" s="137" t="str">
        <f>IF(Binary!E899&gt;=1,"X",0)</f>
        <v>X</v>
      </c>
      <c r="F899" s="137" t="str">
        <f>IF(Binary!F899&gt;=1,"X",0)</f>
        <v>X</v>
      </c>
      <c r="G899" s="137">
        <f>IF(Binary!G899&gt;=1,"X",0)</f>
        <v>0</v>
      </c>
      <c r="H899" s="137">
        <f>IF(Binary!H899&gt;=1,"X",0)</f>
        <v>0</v>
      </c>
      <c r="I899" s="137">
        <f>IF(Binary!I899&gt;=1,"X",0)</f>
        <v>0</v>
      </c>
      <c r="J899" s="137" t="str">
        <f>IF(Binary!J899&gt;=1,"X",0)</f>
        <v>X</v>
      </c>
      <c r="K899" s="137">
        <f>IF(Binary!K899&gt;=1,"X",0)</f>
        <v>0</v>
      </c>
      <c r="L899" s="137">
        <f>IF(Binary!L899&gt;=1,"X",0)</f>
        <v>0</v>
      </c>
      <c r="M899" t="str">
        <f>'Actual species'!V899</f>
        <v>------------</v>
      </c>
    </row>
    <row r="900" spans="1:13" x14ac:dyDescent="0.3">
      <c r="A900" t="str">
        <f>Binary!A900</f>
        <v>Medon haafi</v>
      </c>
      <c r="B900" s="137" t="str">
        <f>IF(Binary!B900&gt;=1,"X",0)</f>
        <v>X</v>
      </c>
      <c r="C900" s="137">
        <f>IF(Binary!C900&gt;=1,"X",0)</f>
        <v>0</v>
      </c>
      <c r="D900" s="137">
        <f>IF(Binary!D900&gt;=1,"X",0)</f>
        <v>0</v>
      </c>
      <c r="E900" s="137">
        <f>IF(Binary!E900&gt;=1,"X",0)</f>
        <v>0</v>
      </c>
      <c r="F900" s="137">
        <f>IF(Binary!F900&gt;=1,"X",0)</f>
        <v>0</v>
      </c>
      <c r="G900" s="137">
        <f>IF(Binary!G900&gt;=1,"X",0)</f>
        <v>0</v>
      </c>
      <c r="H900" s="137">
        <f>IF(Binary!H900&gt;=1,"X",0)</f>
        <v>0</v>
      </c>
      <c r="I900" s="137">
        <f>IF(Binary!I900&gt;=1,"X",0)</f>
        <v>0</v>
      </c>
      <c r="J900" s="137">
        <f>IF(Binary!J900&gt;=1,"X",0)</f>
        <v>0</v>
      </c>
      <c r="K900" s="137">
        <f>IF(Binary!K900&gt;=1,"X",0)</f>
        <v>0</v>
      </c>
      <c r="L900" s="137">
        <f>IF(Binary!L900&gt;=1,"X",0)</f>
        <v>0</v>
      </c>
      <c r="M900" t="str">
        <f>'Actual species'!V900</f>
        <v>------------</v>
      </c>
    </row>
    <row r="901" spans="1:13" x14ac:dyDescent="0.3">
      <c r="A901" t="str">
        <f>Binary!A901</f>
        <v>Medon impar</v>
      </c>
      <c r="B901" s="137">
        <f>IF(Binary!B901&gt;=1,"X",0)</f>
        <v>0</v>
      </c>
      <c r="C901" s="137">
        <f>IF(Binary!C901&gt;=1,"X",0)</f>
        <v>0</v>
      </c>
      <c r="D901" s="137">
        <f>IF(Binary!D901&gt;=1,"X",0)</f>
        <v>0</v>
      </c>
      <c r="E901" s="137">
        <f>IF(Binary!E901&gt;=1,"X",0)</f>
        <v>0</v>
      </c>
      <c r="F901" s="137">
        <f>IF(Binary!F901&gt;=1,"X",0)</f>
        <v>0</v>
      </c>
      <c r="G901" s="137">
        <f>IF(Binary!G901&gt;=1,"X",0)</f>
        <v>0</v>
      </c>
      <c r="H901" s="137" t="str">
        <f>IF(Binary!H901&gt;=1,"X",0)</f>
        <v>X</v>
      </c>
      <c r="I901" s="137">
        <f>IF(Binary!I901&gt;=1,"X",0)</f>
        <v>0</v>
      </c>
      <c r="J901" s="137">
        <f>IF(Binary!J901&gt;=1,"X",0)</f>
        <v>0</v>
      </c>
      <c r="K901" s="137">
        <f>IF(Binary!K901&gt;=1,"X",0)</f>
        <v>0</v>
      </c>
      <c r="L901" s="137">
        <f>IF(Binary!L901&gt;=1,"X",0)</f>
        <v>0</v>
      </c>
      <c r="M901" t="str">
        <f>'Actual species'!V901</f>
        <v>------------</v>
      </c>
    </row>
    <row r="902" spans="1:13" x14ac:dyDescent="0.3">
      <c r="A902" t="str">
        <f>Binary!A902</f>
        <v>Medon lydicus</v>
      </c>
      <c r="B902" s="137">
        <f>IF(Binary!B902&gt;=1,"X",0)</f>
        <v>0</v>
      </c>
      <c r="C902" s="137">
        <f>IF(Binary!C902&gt;=1,"X",0)</f>
        <v>0</v>
      </c>
      <c r="D902" s="137" t="str">
        <f>IF(Binary!D902&gt;=1,"X",0)</f>
        <v>X</v>
      </c>
      <c r="E902" s="137" t="str">
        <f>IF(Binary!E902&gt;=1,"X",0)</f>
        <v>X</v>
      </c>
      <c r="F902" s="137" t="str">
        <f>IF(Binary!F902&gt;=1,"X",0)</f>
        <v>X</v>
      </c>
      <c r="G902" s="137">
        <f>IF(Binary!G902&gt;=1,"X",0)</f>
        <v>0</v>
      </c>
      <c r="H902" s="137" t="str">
        <f>IF(Binary!H902&gt;=1,"X",0)</f>
        <v>X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species'!V902</f>
        <v>------------</v>
      </c>
    </row>
    <row r="903" spans="1:13" x14ac:dyDescent="0.3">
      <c r="A903" t="str">
        <f>Binary!A903</f>
        <v>Medon marmarisensis</v>
      </c>
      <c r="B903" s="137" t="str">
        <f>IF(Binary!B903&gt;=1,"X",0)</f>
        <v>X</v>
      </c>
      <c r="C903" s="137">
        <f>IF(Binary!C903&gt;=1,"X",0)</f>
        <v>0</v>
      </c>
      <c r="D903" s="137">
        <f>IF(Binary!D903&gt;=1,"X",0)</f>
        <v>0</v>
      </c>
      <c r="E903" s="137">
        <f>IF(Binary!E903&gt;=1,"X",0)</f>
        <v>0</v>
      </c>
      <c r="F903" s="137">
        <f>IF(Binary!F903&gt;=1,"X",0)</f>
        <v>0</v>
      </c>
      <c r="G903" s="137">
        <f>IF(Binary!G903&gt;=1,"X",0)</f>
        <v>0</v>
      </c>
      <c r="H903" s="137">
        <f>IF(Binary!H903&gt;=1,"X",0)</f>
        <v>0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species'!V903</f>
        <v>------------</v>
      </c>
    </row>
    <row r="904" spans="1:13" x14ac:dyDescent="0.3">
      <c r="A904" t="str">
        <f>Binary!A904</f>
        <v>Medon maronitus</v>
      </c>
      <c r="B904" s="137">
        <f>IF(Binary!B904&gt;=1,"X",0)</f>
        <v>0</v>
      </c>
      <c r="C904" s="137">
        <f>IF(Binary!C904&gt;=1,"X",0)</f>
        <v>0</v>
      </c>
      <c r="D904" s="137">
        <f>IF(Binary!D904&gt;=1,"X",0)</f>
        <v>0</v>
      </c>
      <c r="E904" s="137" t="str">
        <f>IF(Binary!E904&gt;=1,"X",0)</f>
        <v>X</v>
      </c>
      <c r="F904" s="137" t="str">
        <f>IF(Binary!F904&gt;=1,"X",0)</f>
        <v>X</v>
      </c>
      <c r="G904" s="137">
        <f>IF(Binary!G904&gt;=1,"X",0)</f>
        <v>0</v>
      </c>
      <c r="H904" s="137" t="str">
        <f>IF(Binary!H904&gt;=1,"X",0)</f>
        <v>X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species'!V904</f>
        <v>------------</v>
      </c>
    </row>
    <row r="905" spans="1:13" x14ac:dyDescent="0.3">
      <c r="A905" t="str">
        <f>Binary!A905</f>
        <v>Medon rufiventris</v>
      </c>
      <c r="B905" s="137">
        <f>IF(Binary!B905&gt;=1,"X",0)</f>
        <v>0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 t="str">
        <f>IF(Binary!F905&gt;=1,"X",0)</f>
        <v>X</v>
      </c>
      <c r="G905" s="137">
        <f>IF(Binary!G905&gt;=1,"X",0)</f>
        <v>0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species'!V905</f>
        <v>------------</v>
      </c>
    </row>
    <row r="906" spans="1:13" x14ac:dyDescent="0.3">
      <c r="A906" t="str">
        <f>Binary!A906</f>
        <v>Medon semiobscurus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 t="str">
        <f>IF(Binary!E906&gt;=1,"X",0)</f>
        <v>X</v>
      </c>
      <c r="F906" s="137" t="str">
        <f>IF(Binary!F906&gt;=1,"X",0)</f>
        <v>X</v>
      </c>
      <c r="G906" s="137">
        <f>IF(Binary!G906&gt;=1,"X",0)</f>
        <v>0</v>
      </c>
      <c r="H906" s="137" t="str">
        <f>IF(Binary!H906&gt;=1,"X",0)</f>
        <v>X</v>
      </c>
      <c r="I906" s="137" t="str">
        <f>IF(Binary!I906&gt;=1,"X",0)</f>
        <v>X</v>
      </c>
      <c r="J906" s="137">
        <f>IF(Binary!J906&gt;=1,"X",0)</f>
        <v>0</v>
      </c>
      <c r="K906" s="137" t="str">
        <f>IF(Binary!K906&gt;=1,"X",0)</f>
        <v>X</v>
      </c>
      <c r="L906" s="137">
        <f>IF(Binary!L906&gt;=1,"X",0)</f>
        <v>0</v>
      </c>
      <c r="M906" t="str">
        <f>'Actual species'!V906</f>
        <v>------------</v>
      </c>
    </row>
    <row r="907" spans="1:13" x14ac:dyDescent="0.3">
      <c r="A907" t="str">
        <f>Binary!A907</f>
        <v>Medon sp.</v>
      </c>
      <c r="B907" s="137">
        <f>IF(Binary!B907&gt;=1,"X",0)</f>
        <v>0</v>
      </c>
      <c r="C907" s="137" t="str">
        <f>IF(Binary!C907&gt;=1,"X",0)</f>
        <v>X</v>
      </c>
      <c r="D907" s="137">
        <f>IF(Binary!D907&gt;=1,"X",0)</f>
        <v>0</v>
      </c>
      <c r="E907" s="137">
        <f>IF(Binary!E907&gt;=1,"X",0)</f>
        <v>0</v>
      </c>
      <c r="F907" s="137">
        <f>IF(Binary!F907&gt;=1,"X",0)</f>
        <v>0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>
        <f>IF(Binary!J907&gt;=1,"X",0)</f>
        <v>0</v>
      </c>
      <c r="K907" s="137">
        <f>IF(Binary!K907&gt;=1,"X",0)</f>
        <v>0</v>
      </c>
      <c r="L907" s="137">
        <f>IF(Binary!L907&gt;=1,"X",0)</f>
        <v>0</v>
      </c>
      <c r="M907" t="str">
        <f>'Actual species'!V907</f>
        <v>------------</v>
      </c>
    </row>
    <row r="908" spans="1:13" x14ac:dyDescent="0.3">
      <c r="A908" t="str">
        <f>Binary!A908</f>
        <v>Medon subfusculus</v>
      </c>
      <c r="B908" s="137">
        <f>IF(Binary!B908&gt;=1,"X",0)</f>
        <v>0</v>
      </c>
      <c r="C908" s="137">
        <f>IF(Binary!C908&gt;=1,"X",0)</f>
        <v>0</v>
      </c>
      <c r="D908" s="137">
        <f>IF(Binary!D908&gt;=1,"X",0)</f>
        <v>0</v>
      </c>
      <c r="E908" s="137" t="str">
        <f>IF(Binary!E908&gt;=1,"X",0)</f>
        <v>X</v>
      </c>
      <c r="F908" s="137">
        <f>IF(Binary!F908&gt;=1,"X",0)</f>
        <v>0</v>
      </c>
      <c r="G908" s="137">
        <f>IF(Binary!G908&gt;=1,"X",0)</f>
        <v>0</v>
      </c>
      <c r="H908" s="137">
        <f>IF(Binary!H908&gt;=1,"X",0)</f>
        <v>0</v>
      </c>
      <c r="I908" s="137">
        <f>IF(Binary!I908&gt;=1,"X",0)</f>
        <v>0</v>
      </c>
      <c r="J908" s="137">
        <f>IF(Binary!J908&gt;=1,"X",0)</f>
        <v>0</v>
      </c>
      <c r="K908" s="137" t="str">
        <f>IF(Binary!K908&gt;=1,"X",0)</f>
        <v>X</v>
      </c>
      <c r="L908" s="137">
        <f>IF(Binary!L908&gt;=1,"X",0)</f>
        <v>0</v>
      </c>
      <c r="M908" t="str">
        <f>'Actual species'!V908</f>
        <v>------------</v>
      </c>
    </row>
    <row r="909" spans="1:13" x14ac:dyDescent="0.3">
      <c r="A909" t="str">
        <f>Binary!A909</f>
        <v>Mircanops pilicornis</v>
      </c>
      <c r="B909" s="137">
        <f>IF(Binary!B909&gt;=1,"X",0)</f>
        <v>0</v>
      </c>
      <c r="C909" s="137">
        <f>IF(Binary!C909&gt;=1,"X",0)</f>
        <v>0</v>
      </c>
      <c r="D909" s="137">
        <f>IF(Binary!D909&gt;=1,"X",0)</f>
        <v>0</v>
      </c>
      <c r="E909" s="137">
        <f>IF(Binary!E909&gt;=1,"X",0)</f>
        <v>0</v>
      </c>
      <c r="F909" s="137" t="str">
        <f>IF(Binary!F909&gt;=1,"X",0)</f>
        <v>X</v>
      </c>
      <c r="G909" s="137">
        <f>IF(Binary!G909&gt;=1,"X",0)</f>
        <v>0</v>
      </c>
      <c r="H909" s="137" t="str">
        <f>IF(Binary!H909&gt;=1,"X",0)</f>
        <v>X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species'!V909</f>
        <v>------------</v>
      </c>
    </row>
    <row r="910" spans="1:13" x14ac:dyDescent="0.3">
      <c r="A910" t="str">
        <f>Binary!A910</f>
        <v>Micrillus testaceus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>
        <f>IF(Binary!E910&gt;=1,"X",0)</f>
        <v>0</v>
      </c>
      <c r="F910" s="137" t="str">
        <f>IF(Binary!F910&gt;=1,"X",0)</f>
        <v>X</v>
      </c>
      <c r="G910" s="137">
        <f>IF(Binary!G910&gt;=1,"X",0)</f>
        <v>0</v>
      </c>
      <c r="H910" s="137" t="str">
        <f>IF(Binary!H910&gt;=1,"X",0)</f>
        <v>X</v>
      </c>
      <c r="I910" s="137" t="str">
        <f>IF(Binary!I910&gt;=1,"X",0)</f>
        <v>X</v>
      </c>
      <c r="J910" s="137">
        <f>IF(Binary!J910&gt;=1,"X",0)</f>
        <v>0</v>
      </c>
      <c r="K910" s="137">
        <f>IF(Binary!K910&gt;=1,"X",0)</f>
        <v>0</v>
      </c>
      <c r="L910" s="137">
        <f>IF(Binary!L910&gt;=1,"X",0)</f>
        <v>0</v>
      </c>
      <c r="M910" t="str">
        <f>'Actual species'!V910</f>
        <v>------------</v>
      </c>
    </row>
    <row r="911" spans="1:13" x14ac:dyDescent="0.3">
      <c r="A911" t="str">
        <f>Binary!A911</f>
        <v>Ochthephilum brevipenne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 t="str">
        <f>IF(Binary!E911&gt;=1,"X",0)</f>
        <v>X</v>
      </c>
      <c r="F911" s="137" t="str">
        <f>IF(Binary!F911&gt;=1,"X",0)</f>
        <v>X</v>
      </c>
      <c r="G911" s="137">
        <f>IF(Binary!G911&gt;=1,"X",0)</f>
        <v>0</v>
      </c>
      <c r="H911" s="137">
        <f>IF(Binary!H911&gt;=1,"X",0)</f>
        <v>0</v>
      </c>
      <c r="I911" s="137">
        <f>IF(Binary!I911&gt;=1,"X",0)</f>
        <v>0</v>
      </c>
      <c r="J911" s="137">
        <f>IF(Binary!J911&gt;=1,"X",0)</f>
        <v>0</v>
      </c>
      <c r="K911" s="137" t="str">
        <f>IF(Binary!K911&gt;=1,"X",0)</f>
        <v>X</v>
      </c>
      <c r="L911" s="137">
        <f>IF(Binary!L911&gt;=1,"X",0)</f>
        <v>0</v>
      </c>
      <c r="M911" t="str">
        <f>'Actual species'!V911</f>
        <v>------------</v>
      </c>
    </row>
    <row r="912" spans="1:13" x14ac:dyDescent="0.3">
      <c r="A912" t="str">
        <f>Binary!A912</f>
        <v>Ochthephilum cf. Collare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>
        <f>IF(Binary!F912&gt;=1,"X",0)</f>
        <v>0</v>
      </c>
      <c r="G912" s="137" t="str">
        <f>IF(Binary!G912&gt;=1,"X",0)</f>
        <v>X</v>
      </c>
      <c r="H912" s="137">
        <f>IF(Binary!H912&gt;=1,"X",0)</f>
        <v>0</v>
      </c>
      <c r="I912" s="137">
        <f>IF(Binary!I912&gt;=1,"X",0)</f>
        <v>0</v>
      </c>
      <c r="J912" s="137">
        <f>IF(Binary!J912&gt;=1,"X",0)</f>
        <v>0</v>
      </c>
      <c r="K912" s="137">
        <f>IF(Binary!K912&gt;=1,"X",0)</f>
        <v>0</v>
      </c>
      <c r="L912" s="137">
        <f>IF(Binary!L912&gt;=1,"X",0)</f>
        <v>0</v>
      </c>
      <c r="M912" t="str">
        <f>'Actual species'!V912</f>
        <v>------------</v>
      </c>
    </row>
    <row r="913" spans="1:13" x14ac:dyDescent="0.3">
      <c r="A913" t="str">
        <f>Binary!A913</f>
        <v>Ochthephilum collare</v>
      </c>
      <c r="B913" s="137">
        <f>IF(Binary!B913&gt;=1,"X",0)</f>
        <v>0</v>
      </c>
      <c r="C913" s="137">
        <f>IF(Binary!C913&gt;=1,"X",0)</f>
        <v>0</v>
      </c>
      <c r="D913" s="137">
        <f>IF(Binary!D913&gt;=1,"X",0)</f>
        <v>0</v>
      </c>
      <c r="E913" s="137">
        <f>IF(Binary!E913&gt;=1,"X",0)</f>
        <v>0</v>
      </c>
      <c r="F913" s="137">
        <f>IF(Binary!F913&gt;=1,"X",0)</f>
        <v>0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 t="str">
        <f>IF(Binary!J913&gt;=1,"X",0)</f>
        <v>X</v>
      </c>
      <c r="K913" s="137">
        <f>IF(Binary!K913&gt;=1,"X",0)</f>
        <v>0</v>
      </c>
      <c r="L913" s="137">
        <f>IF(Binary!L913&gt;=1,"X",0)</f>
        <v>0</v>
      </c>
      <c r="M913" t="str">
        <f>'Actual species'!V913</f>
        <v>------------</v>
      </c>
    </row>
    <row r="914" spans="1:13" x14ac:dyDescent="0.3">
      <c r="A914" t="str">
        <f>Binary!A914</f>
        <v>Ochthephilum turkestanicum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>
        <f>IF(Binary!G914&gt;=1,"X",0)</f>
        <v>0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 t="str">
        <f>IF(Binary!L914&gt;=1,"X",0)</f>
        <v>X</v>
      </c>
      <c r="M914" t="str">
        <f>'Actual species'!V914</f>
        <v>------------</v>
      </c>
    </row>
    <row r="915" spans="1:13" x14ac:dyDescent="0.3">
      <c r="A915" t="str">
        <f>Binary!A915</f>
        <v>Paederidus rubrothoracicus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>
        <f>IF(Binary!J915&gt;=1,"X",0)</f>
        <v>0</v>
      </c>
      <c r="K915" s="137">
        <f>IF(Binary!K915&gt;=1,"X",0)</f>
        <v>0</v>
      </c>
      <c r="L915" s="137">
        <f>IF(Binary!L915&gt;=1,"X",0)</f>
        <v>0</v>
      </c>
      <c r="M915" t="str">
        <f>'Actual species'!V915</f>
        <v>------------</v>
      </c>
    </row>
    <row r="916" spans="1:13" x14ac:dyDescent="0.3">
      <c r="A916" t="str">
        <f>Binary!A916</f>
        <v>Paederus fuscipes</v>
      </c>
      <c r="B916" s="137">
        <f>IF(Binary!B916&gt;=1,"X",0)</f>
        <v>0</v>
      </c>
      <c r="C916" s="137">
        <f>IF(Binary!C916&gt;=1,"X",0)</f>
        <v>0</v>
      </c>
      <c r="D916" s="137">
        <f>IF(Binary!D916&gt;=1,"X",0)</f>
        <v>0</v>
      </c>
      <c r="E916" s="137">
        <f>IF(Binary!E916&gt;=1,"X",0)</f>
        <v>0</v>
      </c>
      <c r="F916" s="137">
        <f>IF(Binary!F916&gt;=1,"X",0)</f>
        <v>0</v>
      </c>
      <c r="G916" s="137" t="str">
        <f>IF(Binary!G916&gt;=1,"X",0)</f>
        <v>X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>
        <f>IF(Binary!L916&gt;=1,"X",0)</f>
        <v>0</v>
      </c>
      <c r="M916" t="str">
        <f>'Actual species'!V916</f>
        <v>------------</v>
      </c>
    </row>
    <row r="917" spans="1:13" x14ac:dyDescent="0.3">
      <c r="A917" t="str">
        <f>Binary!A917</f>
        <v>Paederus fuscipes fuscipes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 t="str">
        <f>IF(Binary!J917&gt;=1,"X",0)</f>
        <v>X</v>
      </c>
      <c r="K917" s="137">
        <f>IF(Binary!K917&gt;=1,"X",0)</f>
        <v>0</v>
      </c>
      <c r="L917" s="137">
        <f>IF(Binary!L917&gt;=1,"X",0)</f>
        <v>0</v>
      </c>
      <c r="M917" t="str">
        <f>'Actual species'!V917</f>
        <v>------------</v>
      </c>
    </row>
    <row r="918" spans="1:13" x14ac:dyDescent="0.3">
      <c r="A918" t="str">
        <f>Binary!A918</f>
        <v>Paederus littoralis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 t="str">
        <f>IF(Binary!E918&gt;=1,"X",0)</f>
        <v>X</v>
      </c>
      <c r="F918" s="137" t="str">
        <f>IF(Binary!F918&gt;=1,"X",0)</f>
        <v>X</v>
      </c>
      <c r="G918" s="137">
        <f>IF(Binary!G918&gt;=1,"X",0)</f>
        <v>0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species'!V918</f>
        <v>------------</v>
      </c>
    </row>
    <row r="919" spans="1:13" x14ac:dyDescent="0.3">
      <c r="A919" t="str">
        <f>Binary!A919</f>
        <v>Paederus schoenherri</v>
      </c>
      <c r="B919" s="137">
        <f>IF(Binary!B919&gt;=1,"X",0)</f>
        <v>0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>
        <f>IF(Binary!J919&gt;=1,"X",0)</f>
        <v>0</v>
      </c>
      <c r="K919" s="137">
        <f>IF(Binary!K919&gt;=1,"X",0)</f>
        <v>0</v>
      </c>
      <c r="L919" s="137">
        <f>IF(Binary!L919&gt;=1,"X",0)</f>
        <v>0</v>
      </c>
      <c r="M919" t="str">
        <f>'Actual species'!V919</f>
        <v>------------</v>
      </c>
    </row>
    <row r="920" spans="1:13" x14ac:dyDescent="0.3">
      <c r="A920" t="str">
        <f>Binary!A920</f>
        <v>Platydomene picipes picipes</v>
      </c>
      <c r="B920" s="137">
        <f>IF(Binary!B920&gt;=1,"X",0)</f>
        <v>0</v>
      </c>
      <c r="C920" s="137">
        <f>IF(Binary!C920&gt;=1,"X",0)</f>
        <v>0</v>
      </c>
      <c r="D920" s="137">
        <f>IF(Binary!D920&gt;=1,"X",0)</f>
        <v>0</v>
      </c>
      <c r="E920" s="137">
        <f>IF(Binary!E920&gt;=1,"X",0)</f>
        <v>0</v>
      </c>
      <c r="F920" s="137">
        <f>IF(Binary!F920&gt;=1,"X",0)</f>
        <v>0</v>
      </c>
      <c r="G920" s="137" t="str">
        <f>IF(Binary!G920&gt;=1,"X",0)</f>
        <v>X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species'!V920</f>
        <v>------------</v>
      </c>
    </row>
    <row r="921" spans="1:13" x14ac:dyDescent="0.3">
      <c r="A921" t="str">
        <f>Binary!A921</f>
        <v xml:space="preserve">Platydomene sp. </v>
      </c>
      <c r="B921" s="137">
        <f>IF(Binary!B921&gt;=1,"X",0)</f>
        <v>0</v>
      </c>
      <c r="C921" s="137" t="str">
        <f>IF(Binary!C921&gt;=1,"X",0)</f>
        <v>X</v>
      </c>
      <c r="D921" s="137">
        <f>IF(Binary!D921&gt;=1,"X",0)</f>
        <v>0</v>
      </c>
      <c r="E921" s="137">
        <f>IF(Binary!E921&gt;=1,"X",0)</f>
        <v>0</v>
      </c>
      <c r="F921" s="137">
        <f>IF(Binary!F921&gt;=1,"X",0)</f>
        <v>0</v>
      </c>
      <c r="G921" s="137">
        <f>IF(Binary!G921&gt;=1,"X",0)</f>
        <v>0</v>
      </c>
      <c r="H921" s="137">
        <f>IF(Binary!H921&gt;=1,"X",0)</f>
        <v>0</v>
      </c>
      <c r="I921" s="137">
        <f>IF(Binary!I921&gt;=1,"X",0)</f>
        <v>0</v>
      </c>
      <c r="J921" s="137">
        <f>IF(Binary!J921&gt;=1,"X",0)</f>
        <v>0</v>
      </c>
      <c r="K921" s="137">
        <f>IF(Binary!K921&gt;=1,"X",0)</f>
        <v>0</v>
      </c>
      <c r="L921" s="137">
        <f>IF(Binary!L921&gt;=1,"X",0)</f>
        <v>0</v>
      </c>
      <c r="M921" t="str">
        <f>'Actual species'!V921</f>
        <v>------------</v>
      </c>
    </row>
    <row r="922" spans="1:13" x14ac:dyDescent="0.3">
      <c r="A922" t="str">
        <f>Binary!A922</f>
        <v>Pseudobium hellenicum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 t="str">
        <f>IF(Binary!G922&gt;=1,"X",0)</f>
        <v>X</v>
      </c>
      <c r="H922" s="137">
        <f>IF(Binary!H922&gt;=1,"X",0)</f>
        <v>0</v>
      </c>
      <c r="I922" s="137">
        <f>IF(Binary!I922&gt;=1,"X",0)</f>
        <v>0</v>
      </c>
      <c r="J922" s="137">
        <f>IF(Binary!J922&gt;=1,"X",0)</f>
        <v>0</v>
      </c>
      <c r="K922" s="137">
        <f>IF(Binary!K922&gt;=1,"X",0)</f>
        <v>0</v>
      </c>
      <c r="L922" s="137">
        <f>IF(Binary!L922&gt;=1,"X",0)</f>
        <v>0</v>
      </c>
      <c r="M922" t="str">
        <f>'Actual species'!V922</f>
        <v>------------</v>
      </c>
    </row>
    <row r="923" spans="1:13" x14ac:dyDescent="0.3">
      <c r="A923" t="str">
        <f>Binary!A923</f>
        <v xml:space="preserve">Pseudolathra cretensis (E) </v>
      </c>
      <c r="B923" s="137">
        <f>IF(Binary!B923&gt;=1,"X",0)</f>
        <v>0</v>
      </c>
      <c r="C923" s="137">
        <f>IF(Binary!C923&gt;=1,"X",0)</f>
        <v>0</v>
      </c>
      <c r="D923" s="137">
        <f>IF(Binary!D923&gt;=1,"X",0)</f>
        <v>0</v>
      </c>
      <c r="E923" s="137">
        <f>IF(Binary!E923&gt;=1,"X",0)</f>
        <v>0</v>
      </c>
      <c r="F923" s="137">
        <f>IF(Binary!F923&gt;=1,"X",0)</f>
        <v>0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>
        <f>IF(Binary!J923&gt;=1,"X",0)</f>
        <v>0</v>
      </c>
      <c r="K923" s="137">
        <f>IF(Binary!K923&gt;=1,"X",0)</f>
        <v>0</v>
      </c>
      <c r="L923" s="137">
        <f>IF(Binary!L923&gt;=1,"X",0)</f>
        <v>0</v>
      </c>
      <c r="M923" t="str">
        <f>'Actual species'!V923</f>
        <v>X</v>
      </c>
    </row>
    <row r="924" spans="1:13" x14ac:dyDescent="0.3">
      <c r="A924" t="str">
        <f>Binary!A924</f>
        <v>Pseudomedon dido</v>
      </c>
      <c r="B924" s="137">
        <f>IF(Binary!B924&gt;=1,"X",0)</f>
        <v>0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 t="str">
        <f>IF(Binary!F924&gt;=1,"X",0)</f>
        <v>X</v>
      </c>
      <c r="G924" s="137">
        <f>IF(Binary!G924&gt;=1,"X",0)</f>
        <v>0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species'!V924</f>
        <v>------------</v>
      </c>
    </row>
    <row r="925" spans="1:13" x14ac:dyDescent="0.3">
      <c r="A925" t="str">
        <f>Binary!A925</f>
        <v>Pseudomedon obscurellus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 t="str">
        <f>IF(Binary!F925&gt;=1,"X",0)</f>
        <v>X</v>
      </c>
      <c r="G925" s="137">
        <f>IF(Binary!G925&gt;=1,"X",0)</f>
        <v>0</v>
      </c>
      <c r="H925" s="137">
        <f>IF(Binary!H925&gt;=1,"X",0)</f>
        <v>0</v>
      </c>
      <c r="I925" s="137">
        <f>IF(Binary!I925&gt;=1,"X",0)</f>
        <v>0</v>
      </c>
      <c r="J925" s="137" t="str">
        <f>IF(Binary!J925&gt;=1,"X",0)</f>
        <v>X</v>
      </c>
      <c r="K925" s="137">
        <f>IF(Binary!K925&gt;=1,"X",0)</f>
        <v>0</v>
      </c>
      <c r="L925" s="137">
        <f>IF(Binary!L925&gt;=1,"X",0)</f>
        <v>0</v>
      </c>
      <c r="M925" t="str">
        <f>'Actual species'!V925</f>
        <v>------------</v>
      </c>
    </row>
    <row r="926" spans="1:13" x14ac:dyDescent="0.3">
      <c r="A926" t="str">
        <f>Binary!A926</f>
        <v>Pseudomedon obsoletus</v>
      </c>
      <c r="B926" s="137">
        <f>IF(Binary!B926&gt;=1,"X",0)</f>
        <v>0</v>
      </c>
      <c r="C926" s="137">
        <f>IF(Binary!C926&gt;=1,"X",0)</f>
        <v>0</v>
      </c>
      <c r="D926" s="137">
        <f>IF(Binary!D926&gt;=1,"X",0)</f>
        <v>0</v>
      </c>
      <c r="E926" s="137">
        <f>IF(Binary!E926&gt;=1,"X",0)</f>
        <v>0</v>
      </c>
      <c r="F926" s="137">
        <f>IF(Binary!F926&gt;=1,"X",0)</f>
        <v>0</v>
      </c>
      <c r="G926" s="137">
        <f>IF(Binary!G926&gt;=1,"X",0)</f>
        <v>0</v>
      </c>
      <c r="H926" s="137">
        <f>IF(Binary!H926&gt;=1,"X",0)</f>
        <v>0</v>
      </c>
      <c r="I926" s="137">
        <f>IF(Binary!I926&gt;=1,"X",0)</f>
        <v>0</v>
      </c>
      <c r="J926" s="137" t="str">
        <f>IF(Binary!J926&gt;=1,"X",0)</f>
        <v>X</v>
      </c>
      <c r="K926" s="137">
        <f>IF(Binary!K926&gt;=1,"X",0)</f>
        <v>0</v>
      </c>
      <c r="L926" s="137">
        <f>IF(Binary!L926&gt;=1,"X",0)</f>
        <v>0</v>
      </c>
      <c r="M926" t="str">
        <f>'Actual species'!V926</f>
        <v>------------</v>
      </c>
    </row>
    <row r="927" spans="1:13" x14ac:dyDescent="0.3">
      <c r="A927" t="str">
        <f>Binary!A927</f>
        <v>Rugilus angustatus</v>
      </c>
      <c r="B927" s="137" t="str">
        <f>IF(Binary!B927&gt;=1,"X",0)</f>
        <v>X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 t="str">
        <f>IF(Binary!F927&gt;=1,"X",0)</f>
        <v>X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>
        <f>IF(Binary!J927&gt;=1,"X",0)</f>
        <v>0</v>
      </c>
      <c r="K927" s="137">
        <f>IF(Binary!K927&gt;=1,"X",0)</f>
        <v>0</v>
      </c>
      <c r="L927" s="137">
        <f>IF(Binary!L927&gt;=1,"X",0)</f>
        <v>0</v>
      </c>
      <c r="M927" t="str">
        <f>'Actual species'!V927</f>
        <v>------------</v>
      </c>
    </row>
    <row r="928" spans="1:13" x14ac:dyDescent="0.3">
      <c r="A928" t="str">
        <f>Binary!A928</f>
        <v>Rugilus dilutipes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>
        <f>IF(Binary!E928&gt;=1,"X",0)</f>
        <v>0</v>
      </c>
      <c r="F928" s="137">
        <f>IF(Binary!F928&gt;=1,"X",0)</f>
        <v>0</v>
      </c>
      <c r="G928" s="137">
        <f>IF(Binary!G928&gt;=1,"X",0)</f>
        <v>0</v>
      </c>
      <c r="H928" s="137">
        <f>IF(Binary!H928&gt;=1,"X",0)</f>
        <v>0</v>
      </c>
      <c r="I928" s="137">
        <f>IF(Binary!I928&gt;=1,"X",0)</f>
        <v>0</v>
      </c>
      <c r="J928" s="137" t="str">
        <f>IF(Binary!J928&gt;=1,"X",0)</f>
        <v>X</v>
      </c>
      <c r="K928" s="137">
        <f>IF(Binary!K928&gt;=1,"X",0)</f>
        <v>0</v>
      </c>
      <c r="L928" s="137">
        <f>IF(Binary!L928&gt;=1,"X",0)</f>
        <v>0</v>
      </c>
      <c r="M928" t="str">
        <f>'Actual species'!V928</f>
        <v>------------</v>
      </c>
    </row>
    <row r="929" spans="1:13" x14ac:dyDescent="0.3">
      <c r="A929" t="str">
        <f>Binary!A929</f>
        <v>Rugilus lesbius</v>
      </c>
      <c r="B929" s="137">
        <f>IF(Binary!B929&gt;=1,"X",0)</f>
        <v>0</v>
      </c>
      <c r="C929" s="137">
        <f>IF(Binary!C929&gt;=1,"X",0)</f>
        <v>0</v>
      </c>
      <c r="D929" s="137">
        <f>IF(Binary!D929&gt;=1,"X",0)</f>
        <v>0</v>
      </c>
      <c r="E929" s="137" t="str">
        <f>IF(Binary!E929&gt;=1,"X",0)</f>
        <v>X</v>
      </c>
      <c r="F929" s="137" t="str">
        <f>IF(Binary!F929&gt;=1,"X",0)</f>
        <v>X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species'!V929</f>
        <v>------------</v>
      </c>
    </row>
    <row r="930" spans="1:13" x14ac:dyDescent="0.3">
      <c r="A930" t="str">
        <f>Binary!A930</f>
        <v>Rugilus orbiculatus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>
        <f>IF(Binary!F930&gt;=1,"X",0)</f>
        <v>0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 t="str">
        <f>IF(Binary!J930&gt;=1,"X",0)</f>
        <v>X</v>
      </c>
      <c r="K930" s="137">
        <f>IF(Binary!K930&gt;=1,"X",0)</f>
        <v>0</v>
      </c>
      <c r="L930" s="137">
        <f>IF(Binary!L930&gt;=1,"X",0)</f>
        <v>0</v>
      </c>
      <c r="M930" t="str">
        <f>'Actual species'!V930</f>
        <v>------------</v>
      </c>
    </row>
    <row r="931" spans="1:13" x14ac:dyDescent="0.3">
      <c r="A931" t="str">
        <f>Binary!A931</f>
        <v>Rugilus similis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>
        <f>IF(Binary!E931&gt;=1,"X",0)</f>
        <v>0</v>
      </c>
      <c r="F931" s="137" t="str">
        <f>IF(Binary!F931&gt;=1,"X",0)</f>
        <v>X</v>
      </c>
      <c r="G931" s="137">
        <f>IF(Binary!G931&gt;=1,"X",0)</f>
        <v>0</v>
      </c>
      <c r="H931" s="137">
        <f>IF(Binary!H931&gt;=1,"X",0)</f>
        <v>0</v>
      </c>
      <c r="I931" s="137">
        <f>IF(Binary!I931&gt;=1,"X",0)</f>
        <v>0</v>
      </c>
      <c r="J931" s="137">
        <f>IF(Binary!J931&gt;=1,"X",0)</f>
        <v>0</v>
      </c>
      <c r="K931" s="137">
        <f>IF(Binary!K931&gt;=1,"X",0)</f>
        <v>0</v>
      </c>
      <c r="L931" s="137">
        <f>IF(Binary!L931&gt;=1,"X",0)</f>
        <v>0</v>
      </c>
      <c r="M931" t="str">
        <f>'Actual species'!V931</f>
        <v>------------</v>
      </c>
    </row>
    <row r="932" spans="1:13" x14ac:dyDescent="0.3">
      <c r="A932" t="str">
        <f>Binary!A932</f>
        <v>Scopaeus cameroni</v>
      </c>
      <c r="B932" s="137">
        <f>IF(Binary!B932&gt;=1,"X",0)</f>
        <v>0</v>
      </c>
      <c r="C932" s="137">
        <f>IF(Binary!C932&gt;=1,"X",0)</f>
        <v>0</v>
      </c>
      <c r="D932" s="137">
        <f>IF(Binary!D932&gt;=1,"X",0)</f>
        <v>0</v>
      </c>
      <c r="E932" s="137">
        <f>IF(Binary!E932&gt;=1,"X",0)</f>
        <v>0</v>
      </c>
      <c r="F932" s="137" t="str">
        <f>IF(Binary!F932&gt;=1,"X",0)</f>
        <v>X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 t="str">
        <f>IF(Binary!J932&gt;=1,"X",0)</f>
        <v>X</v>
      </c>
      <c r="K932" s="137">
        <f>IF(Binary!K932&gt;=1,"X",0)</f>
        <v>0</v>
      </c>
      <c r="L932" s="137">
        <f>IF(Binary!L932&gt;=1,"X",0)</f>
        <v>0</v>
      </c>
      <c r="M932" t="str">
        <f>'Actual species'!V932</f>
        <v>------------</v>
      </c>
    </row>
    <row r="933" spans="1:13" x14ac:dyDescent="0.3">
      <c r="A933" t="str">
        <f>Binary!A933</f>
        <v>Scopaeus cf. Pusillus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>
        <f>IF(Binary!E933&gt;=1,"X",0)</f>
        <v>0</v>
      </c>
      <c r="F933" s="137" t="str">
        <f>IF(Binary!F933&gt;=1,"X",0)</f>
        <v>X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>
        <f>IF(Binary!K933&gt;=1,"X",0)</f>
        <v>0</v>
      </c>
      <c r="L933" s="137">
        <f>IF(Binary!L933&gt;=1,"X",0)</f>
        <v>0</v>
      </c>
      <c r="M933" t="str">
        <f>'Actual species'!V933</f>
        <v>------------</v>
      </c>
    </row>
    <row r="934" spans="1:13" x14ac:dyDescent="0.3">
      <c r="A934" t="str">
        <f>Binary!A934</f>
        <v>Scopaeus creticus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>
        <f>IF(Binary!F934&gt;=1,"X",0)</f>
        <v>0</v>
      </c>
      <c r="G934" s="137">
        <f>IF(Binary!G934&gt;=1,"X",0)</f>
        <v>0</v>
      </c>
      <c r="H934" s="137">
        <f>IF(Binary!H934&gt;=1,"X",0)</f>
        <v>0</v>
      </c>
      <c r="I934" s="137">
        <f>IF(Binary!I934&gt;=1,"X",0)</f>
        <v>0</v>
      </c>
      <c r="J934" s="137">
        <f>IF(Binary!J934&gt;=1,"X",0)</f>
        <v>0</v>
      </c>
      <c r="K934" s="137">
        <f>IF(Binary!K934&gt;=1,"X",0)</f>
        <v>0</v>
      </c>
      <c r="L934" s="137" t="str">
        <f>IF(Binary!L934&gt;=1,"X",0)</f>
        <v>X</v>
      </c>
      <c r="M934" t="str">
        <f>'Actual species'!V934</f>
        <v>------------</v>
      </c>
    </row>
    <row r="935" spans="1:13" x14ac:dyDescent="0.3">
      <c r="A935" t="str">
        <f>Binary!A935</f>
        <v>Scopaeus debilis</v>
      </c>
      <c r="B935" s="137" t="str">
        <f>IF(Binary!B935&gt;=1,"X",0)</f>
        <v>X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>
        <f>IF(Binary!H935&gt;=1,"X",0)</f>
        <v>0</v>
      </c>
      <c r="I935" s="137">
        <f>IF(Binary!I935&gt;=1,"X",0)</f>
        <v>0</v>
      </c>
      <c r="J935" s="137" t="str">
        <f>IF(Binary!J935&gt;=1,"X",0)</f>
        <v>X</v>
      </c>
      <c r="K935" s="137">
        <f>IF(Binary!K935&gt;=1,"X",0)</f>
        <v>0</v>
      </c>
      <c r="L935" s="137">
        <f>IF(Binary!L935&gt;=1,"X",0)</f>
        <v>0</v>
      </c>
      <c r="M935" t="str">
        <f>'Actual species'!V935</f>
        <v>------------</v>
      </c>
    </row>
    <row r="936" spans="1:13" x14ac:dyDescent="0.3">
      <c r="A936" t="str">
        <f>Binary!A936</f>
        <v xml:space="preserve">*Scopaeus flavofasciatus (E) </v>
      </c>
      <c r="B936" s="137" t="str">
        <f>IF(Binary!B936&gt;=1,"X",0)</f>
        <v>X</v>
      </c>
      <c r="C936" s="137">
        <f>IF(Binary!C936&gt;=1,"X",0)</f>
        <v>0</v>
      </c>
      <c r="D936" s="137">
        <f>IF(Binary!D936&gt;=1,"X",0)</f>
        <v>0</v>
      </c>
      <c r="E936" s="137">
        <f>IF(Binary!E936&gt;=1,"X",0)</f>
        <v>0</v>
      </c>
      <c r="F936" s="137">
        <f>IF(Binary!F936&gt;=1,"X",0)</f>
        <v>0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>
        <f>IF(Binary!K936&gt;=1,"X",0)</f>
        <v>0</v>
      </c>
      <c r="L936" s="137">
        <f>IF(Binary!L936&gt;=1,"X",0)</f>
        <v>0</v>
      </c>
      <c r="M936" t="str">
        <f>'Actual species'!V936</f>
        <v>X</v>
      </c>
    </row>
    <row r="937" spans="1:13" x14ac:dyDescent="0.3">
      <c r="A937" t="str">
        <f>Binary!A937</f>
        <v>Scopaeus gracilis</v>
      </c>
      <c r="B937" s="137">
        <f>IF(Binary!B937&gt;=1,"X",0)</f>
        <v>0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 t="str">
        <f>IF(Binary!F937&gt;=1,"X",0)</f>
        <v>X</v>
      </c>
      <c r="G937" s="137">
        <f>IF(Binary!G937&gt;=1,"X",0)</f>
        <v>0</v>
      </c>
      <c r="H937" s="137">
        <f>IF(Binary!H937&gt;=1,"X",0)</f>
        <v>0</v>
      </c>
      <c r="I937" s="137">
        <f>IF(Binary!I937&gt;=1,"X",0)</f>
        <v>0</v>
      </c>
      <c r="J937" s="137">
        <f>IF(Binary!J937&gt;=1,"X",0)</f>
        <v>0</v>
      </c>
      <c r="K937" s="137">
        <f>IF(Binary!K937&gt;=1,"X",0)</f>
        <v>0</v>
      </c>
      <c r="L937" s="137">
        <f>IF(Binary!L937&gt;=1,"X",0)</f>
        <v>0</v>
      </c>
      <c r="M937" t="str">
        <f>'Actual species'!V937</f>
        <v>------------</v>
      </c>
    </row>
    <row r="938" spans="1:13" x14ac:dyDescent="0.3">
      <c r="A938" t="str">
        <f>Binary!A938</f>
        <v>Scopaeus haemusensis</v>
      </c>
      <c r="B938" s="137">
        <f>IF(Binary!B938&gt;=1,"X",0)</f>
        <v>0</v>
      </c>
      <c r="C938" s="137">
        <f>IF(Binary!C938&gt;=1,"X",0)</f>
        <v>0</v>
      </c>
      <c r="D938" s="137">
        <f>IF(Binary!D938&gt;=1,"X",0)</f>
        <v>0</v>
      </c>
      <c r="E938" s="137" t="str">
        <f>IF(Binary!E938&gt;=1,"X",0)</f>
        <v>X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>
        <f>IF(Binary!J938&gt;=1,"X",0)</f>
        <v>0</v>
      </c>
      <c r="K938" s="137">
        <f>IF(Binary!K938&gt;=1,"X",0)</f>
        <v>0</v>
      </c>
      <c r="L938" s="137">
        <f>IF(Binary!L938&gt;=1,"X",0)</f>
        <v>0</v>
      </c>
      <c r="M938" t="str">
        <f>'Actual species'!V938</f>
        <v>------------</v>
      </c>
    </row>
    <row r="939" spans="1:13" x14ac:dyDescent="0.3">
      <c r="A939" t="str">
        <f>Binary!A939</f>
        <v>Scopaeus illyricus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>
        <f>IF(Binary!F939&gt;=1,"X",0)</f>
        <v>0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>
        <f>IF(Binary!L939&gt;=1,"X",0)</f>
        <v>0</v>
      </c>
      <c r="M939" t="str">
        <f>'Actual species'!V939</f>
        <v>------------</v>
      </c>
    </row>
    <row r="940" spans="1:13" x14ac:dyDescent="0.3">
      <c r="A940" t="str">
        <f>Binary!A940</f>
        <v>Scopaeus laevigatus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>
        <f>IF(Binary!E940&gt;=1,"X",0)</f>
        <v>0</v>
      </c>
      <c r="F940" s="137" t="str">
        <f>IF(Binary!F940&gt;=1,"X",0)</f>
        <v>X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 t="str">
        <f>IF(Binary!J940&gt;=1,"X",0)</f>
        <v>X</v>
      </c>
      <c r="K940" s="137">
        <f>IF(Binary!K940&gt;=1,"X",0)</f>
        <v>0</v>
      </c>
      <c r="L940" s="137">
        <f>IF(Binary!L940&gt;=1,"X",0)</f>
        <v>0</v>
      </c>
      <c r="M940" t="str">
        <f>'Actual species'!V940</f>
        <v>------------</v>
      </c>
    </row>
    <row r="941" spans="1:13" x14ac:dyDescent="0.3">
      <c r="A941" t="str">
        <f>Binary!A941</f>
        <v>Scopaeus mitratus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>
        <f>IF(Binary!G941&gt;=1,"X",0)</f>
        <v>0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species'!V941</f>
        <v>------------</v>
      </c>
    </row>
    <row r="942" spans="1:13" x14ac:dyDescent="0.3">
      <c r="A942" t="str">
        <f>Binary!A942</f>
        <v xml:space="preserve">Scopaeus muehlei (E) 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>
        <f>IF(Binary!F942&gt;=1,"X",0)</f>
        <v>0</v>
      </c>
      <c r="G942" s="137" t="str">
        <f>IF(Binary!G942&gt;=1,"X",0)</f>
        <v>X</v>
      </c>
      <c r="H942" s="137">
        <f>IF(Binary!H942&gt;=1,"X",0)</f>
        <v>0</v>
      </c>
      <c r="I942" s="137">
        <f>IF(Binary!I942&gt;=1,"X",0)</f>
        <v>0</v>
      </c>
      <c r="J942" s="137">
        <f>IF(Binary!J942&gt;=1,"X",0)</f>
        <v>0</v>
      </c>
      <c r="K942" s="137">
        <f>IF(Binary!K942&gt;=1,"X",0)</f>
        <v>0</v>
      </c>
      <c r="L942" s="137">
        <f>IF(Binary!L942&gt;=1,"X",0)</f>
        <v>0</v>
      </c>
      <c r="M942" t="str">
        <f>'Actual species'!V942</f>
        <v>X</v>
      </c>
    </row>
    <row r="943" spans="1:13" x14ac:dyDescent="0.3">
      <c r="A943" t="str">
        <f>Binary!A943</f>
        <v>Scopaeus portai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>
        <f>IF(Binary!E943&gt;=1,"X",0)</f>
        <v>0</v>
      </c>
      <c r="F943" s="137">
        <f>IF(Binary!F943&gt;=1,"X",0)</f>
        <v>0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 t="str">
        <f>'Actual species'!V943</f>
        <v>------------</v>
      </c>
    </row>
    <row r="944" spans="1:13" x14ac:dyDescent="0.3">
      <c r="A944" t="str">
        <f>Binary!A944</f>
        <v>Scopaeus pusillus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>
        <f>IF(Binary!G944&gt;=1,"X",0)</f>
        <v>0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species'!V944</f>
        <v>------------</v>
      </c>
    </row>
    <row r="945" spans="1:13" x14ac:dyDescent="0.3">
      <c r="A945" t="str">
        <f>Binary!A945</f>
        <v xml:space="preserve">Scopaeus schusteri (E) 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>
        <f>IF(Binary!G945&gt;=1,"X",0)</f>
        <v>0</v>
      </c>
      <c r="H945" s="137" t="str">
        <f>IF(Binary!H945&gt;=1,"X",0)</f>
        <v>X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species'!V945</f>
        <v>X</v>
      </c>
    </row>
    <row r="946" spans="1:13" x14ac:dyDescent="0.3">
      <c r="A946" t="str">
        <f>Binary!A946</f>
        <v>Scopaeus sp.</v>
      </c>
      <c r="B946" s="137">
        <f>IF(Binary!B946&gt;=1,"X",0)</f>
        <v>0</v>
      </c>
      <c r="C946" s="137">
        <f>IF(Binary!C946&gt;=1,"X",0)</f>
        <v>0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species'!V946</f>
        <v>------------</v>
      </c>
    </row>
    <row r="947" spans="1:13" x14ac:dyDescent="0.3">
      <c r="A947" t="str">
        <f>Binary!A947</f>
        <v>Scymbalium anale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 t="str">
        <f>IF(Binary!F947&gt;=1,"X",0)</f>
        <v>X</v>
      </c>
      <c r="G947" s="137">
        <f>IF(Binary!G947&gt;=1,"X",0)</f>
        <v>0</v>
      </c>
      <c r="H947" s="137">
        <f>IF(Binary!H947&gt;=1,"X",0)</f>
        <v>0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species'!V947</f>
        <v>------------</v>
      </c>
    </row>
    <row r="948" spans="1:13" x14ac:dyDescent="0.3">
      <c r="A948" t="str">
        <f>Binary!A948</f>
        <v xml:space="preserve">*Sunius ambelosicus (E) 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 t="str">
        <f>IF(Binary!E948&gt;=1,"X",0)</f>
        <v>X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species'!V948</f>
        <v>X</v>
      </c>
    </row>
    <row r="949" spans="1:13" x14ac:dyDescent="0.3">
      <c r="A949" t="str">
        <f>Binary!A949</f>
        <v>Sunius anatolicus (melanocephalus)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species'!V949</f>
        <v>------------</v>
      </c>
    </row>
    <row r="950" spans="1:13" x14ac:dyDescent="0.3">
      <c r="A950" t="str">
        <f>Binary!A950</f>
        <v xml:space="preserve">Sunius diktianus (E) 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>
        <f>IF(Binary!E950&gt;=1,"X",0)</f>
        <v>0</v>
      </c>
      <c r="F950" s="137">
        <f>IF(Binary!F950&gt;=1,"X",0)</f>
        <v>0</v>
      </c>
      <c r="G950" s="137" t="str">
        <f>IF(Binary!G950&gt;=1,"X",0)</f>
        <v>X</v>
      </c>
      <c r="H950" s="137">
        <f>IF(Binary!H950&gt;=1,"X",0)</f>
        <v>0</v>
      </c>
      <c r="I950" s="137">
        <f>IF(Binary!I950&gt;=1,"X",0)</f>
        <v>0</v>
      </c>
      <c r="J950" s="137">
        <f>IF(Binary!J950&gt;=1,"X",0)</f>
        <v>0</v>
      </c>
      <c r="K950" s="137">
        <f>IF(Binary!K950&gt;=1,"X",0)</f>
        <v>0</v>
      </c>
      <c r="L950" s="137">
        <f>IF(Binary!L950&gt;=1,"X",0)</f>
        <v>0</v>
      </c>
      <c r="M950" t="str">
        <f>'Actual species'!V950</f>
        <v>X</v>
      </c>
    </row>
    <row r="951" spans="1:13" x14ac:dyDescent="0.3">
      <c r="A951" t="str">
        <f>Binary!A951</f>
        <v>Sunius fallax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>
        <f>IF(Binary!F951&gt;=1,"X",0)</f>
        <v>0</v>
      </c>
      <c r="G951" s="137" t="str">
        <f>IF(Binary!G951&gt;=1,"X",0)</f>
        <v>X</v>
      </c>
      <c r="H951" s="137">
        <f>IF(Binary!H951&gt;=1,"X",0)</f>
        <v>0</v>
      </c>
      <c r="I951" s="137">
        <f>IF(Binary!I951&gt;=1,"X",0)</f>
        <v>0</v>
      </c>
      <c r="J951" s="137">
        <f>IF(Binary!J951&gt;=1,"X",0)</f>
        <v>0</v>
      </c>
      <c r="K951" s="137">
        <f>IF(Binary!K951&gt;=1,"X",0)</f>
        <v>0</v>
      </c>
      <c r="L951" s="137">
        <f>IF(Binary!L951&gt;=1,"X",0)</f>
        <v>0</v>
      </c>
      <c r="M951" t="str">
        <f>'Actual species'!V951</f>
        <v>------------</v>
      </c>
    </row>
    <row r="952" spans="1:13" x14ac:dyDescent="0.3">
      <c r="A952" t="str">
        <f>Binary!A952</f>
        <v>Sunius fokisensis</v>
      </c>
      <c r="B952" s="137">
        <f>IF(Binary!B952&gt;=1,"X",0)</f>
        <v>0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>
        <f>IF(Binary!F952&gt;=1,"X",0)</f>
        <v>0</v>
      </c>
      <c r="G952" s="137">
        <f>IF(Binary!G952&gt;=1,"X",0)</f>
        <v>0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species'!V952</f>
        <v>------------</v>
      </c>
    </row>
    <row r="953" spans="1:13" x14ac:dyDescent="0.3">
      <c r="A953" t="str">
        <f>Binary!A953</f>
        <v xml:space="preserve">*Sunius geiseri (E) 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 t="str">
        <f>IF(Binary!E953&gt;=1,"X",0)</f>
        <v>X</v>
      </c>
      <c r="F953" s="137">
        <f>IF(Binary!F953&gt;=1,"X",0)</f>
        <v>0</v>
      </c>
      <c r="G953" s="137">
        <f>IF(Binary!G953&gt;=1,"X",0)</f>
        <v>0</v>
      </c>
      <c r="H953" s="137">
        <f>IF(Binary!H953&gt;=1,"X",0)</f>
        <v>0</v>
      </c>
      <c r="I953" s="137">
        <f>IF(Binary!I953&gt;=1,"X",0)</f>
        <v>0</v>
      </c>
      <c r="J953" s="137">
        <f>IF(Binary!J953&gt;=1,"X",0)</f>
        <v>0</v>
      </c>
      <c r="K953" s="137">
        <f>IF(Binary!K953&gt;=1,"X",0)</f>
        <v>0</v>
      </c>
      <c r="L953" s="137">
        <f>IF(Binary!L953&gt;=1,"X",0)</f>
        <v>0</v>
      </c>
      <c r="M953" t="str">
        <f>'Actual species'!V953</f>
        <v>X</v>
      </c>
    </row>
    <row r="954" spans="1:13" x14ac:dyDescent="0.3">
      <c r="A954" t="str">
        <f>Binary!A954</f>
        <v>Sunius hellenicus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>
        <f>IF(Binary!E954&gt;=1,"X",0)</f>
        <v>0</v>
      </c>
      <c r="F954" s="137">
        <f>IF(Binary!F954&gt;=1,"X",0)</f>
        <v>0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 t="str">
        <f>IF(Binary!J954&gt;=1,"X",0)</f>
        <v>X</v>
      </c>
      <c r="K954" s="137">
        <f>IF(Binary!K954&gt;=1,"X",0)</f>
        <v>0</v>
      </c>
      <c r="L954" s="137">
        <f>IF(Binary!L954&gt;=1,"X",0)</f>
        <v>0</v>
      </c>
      <c r="M954" t="str">
        <f>'Actual species'!V954</f>
        <v>------------</v>
      </c>
    </row>
    <row r="955" spans="1:13" x14ac:dyDescent="0.3">
      <c r="A955" t="str">
        <f>Binary!A955</f>
        <v xml:space="preserve">*Sunius potti (E) 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>
        <f>IF(Binary!E955&gt;=1,"X",0)</f>
        <v>0</v>
      </c>
      <c r="F955" s="137" t="str">
        <f>IF(Binary!F955&gt;=1,"X",0)</f>
        <v>X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>
        <f>IF(Binary!J955&gt;=1,"X",0)</f>
        <v>0</v>
      </c>
      <c r="K955" s="137">
        <f>IF(Binary!K955&gt;=1,"X",0)</f>
        <v>0</v>
      </c>
      <c r="L955" s="137">
        <f>IF(Binary!L955&gt;=1,"X",0)</f>
        <v>0</v>
      </c>
      <c r="M955" t="str">
        <f>'Actual species'!V955</f>
        <v>X</v>
      </c>
    </row>
    <row r="956" spans="1:13" x14ac:dyDescent="0.3">
      <c r="A956" t="str">
        <f>Binary!A956</f>
        <v xml:space="preserve">Sunius rhodicus (E) 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>
        <f>IF(Binary!F956&gt;=1,"X",0)</f>
        <v>0</v>
      </c>
      <c r="G956" s="137">
        <f>IF(Binary!G956&gt;=1,"X",0)</f>
        <v>0</v>
      </c>
      <c r="H956" s="137" t="str">
        <f>IF(Binary!H956&gt;=1,"X",0)</f>
        <v>X</v>
      </c>
      <c r="I956" s="137">
        <f>IF(Binary!I956&gt;=1,"X",0)</f>
        <v>0</v>
      </c>
      <c r="J956" s="137">
        <f>IF(Binary!J956&gt;=1,"X",0)</f>
        <v>0</v>
      </c>
      <c r="K956" s="137">
        <f>IF(Binary!K956&gt;=1,"X",0)</f>
        <v>0</v>
      </c>
      <c r="L956" s="137">
        <f>IF(Binary!L956&gt;=1,"X",0)</f>
        <v>0</v>
      </c>
      <c r="M956" t="str">
        <f>'Actual species'!V956</f>
        <v>X</v>
      </c>
    </row>
    <row r="957" spans="1:13" x14ac:dyDescent="0.3">
      <c r="A957" t="str">
        <f>Binary!A957</f>
        <v>Sunius sp. (seminiger group) female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>
        <f>IF(Binary!F957&gt;=1,"X",0)</f>
        <v>0</v>
      </c>
      <c r="G957" s="137" t="str">
        <f>IF(Binary!G957&gt;=1,"X",0)</f>
        <v>X</v>
      </c>
      <c r="H957" s="137">
        <f>IF(Binary!H957&gt;=1,"X",0)</f>
        <v>0</v>
      </c>
      <c r="I957" s="137">
        <f>IF(Binary!I957&gt;=1,"X",0)</f>
        <v>0</v>
      </c>
      <c r="J957" s="137">
        <f>IF(Binary!J957&gt;=1,"X",0)</f>
        <v>0</v>
      </c>
      <c r="K957" s="137">
        <f>IF(Binary!K957&gt;=1,"X",0)</f>
        <v>0</v>
      </c>
      <c r="L957" s="137">
        <f>IF(Binary!L957&gt;=1,"X",0)</f>
        <v>0</v>
      </c>
      <c r="M957" t="str">
        <f>'Actual species'!V957</f>
        <v>------------</v>
      </c>
    </row>
    <row r="958" spans="1:13" x14ac:dyDescent="0.3">
      <c r="A958" t="str">
        <f>Binary!A958</f>
        <v xml:space="preserve">Sunius thripticus (E) 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>
        <f>IF(Binary!F958&gt;=1,"X",0)</f>
        <v>0</v>
      </c>
      <c r="G958" s="137" t="str">
        <f>IF(Binary!G958&gt;=1,"X",0)</f>
        <v>X</v>
      </c>
      <c r="H958" s="137">
        <f>IF(Binary!H958&gt;=1,"X",0)</f>
        <v>0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species'!V958</f>
        <v>X</v>
      </c>
    </row>
    <row r="959" spans="1:13" x14ac:dyDescent="0.3">
      <c r="A959" t="str">
        <f>Binary!A959</f>
        <v>Tetartopeus quadratus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>
        <f>IF(Binary!G959&gt;=1,"X",0)</f>
        <v>0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>
        <f>IF(Binary!L959&gt;=1,"X",0)</f>
        <v>0</v>
      </c>
      <c r="M959" t="str">
        <f>'Actual species'!V959</f>
        <v>------------</v>
      </c>
    </row>
    <row r="960" spans="1:13" x14ac:dyDescent="0.3">
      <c r="A960" t="str">
        <f>Binary!A960</f>
        <v>Throbalium dividuum dividuum</v>
      </c>
      <c r="B960" s="137">
        <f>IF(Binary!B960&gt;=1,"X",0)</f>
        <v>0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>
        <f>IF(Binary!F960&gt;=1,"X",0)</f>
        <v>0</v>
      </c>
      <c r="G960" s="137">
        <f>IF(Binary!G960&gt;=1,"X",0)</f>
        <v>0</v>
      </c>
      <c r="H960" s="137">
        <f>IF(Binary!H960&gt;=1,"X",0)</f>
        <v>0</v>
      </c>
      <c r="I960" s="137">
        <f>IF(Binary!I960&gt;=1,"X",0)</f>
        <v>0</v>
      </c>
      <c r="J960" s="137">
        <f>IF(Binary!J960&gt;=1,"X",0)</f>
        <v>0</v>
      </c>
      <c r="K960" s="137">
        <f>IF(Binary!K960&gt;=1,"X",0)</f>
        <v>0</v>
      </c>
      <c r="L960" s="137">
        <f>IF(Binary!L960&gt;=1,"X",0)</f>
        <v>0</v>
      </c>
      <c r="M960" t="str">
        <f>'Actual species'!V960</f>
        <v>------------</v>
      </c>
    </row>
    <row r="961" spans="1:13" x14ac:dyDescent="0.3">
      <c r="A961" t="str">
        <f>Binary!A961</f>
        <v>Throbalium obenbergerianum</v>
      </c>
      <c r="B961" s="137">
        <f>IF(Binary!B961&gt;=1,"X",0)</f>
        <v>0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species'!V961</f>
        <v>------------</v>
      </c>
    </row>
    <row r="962" spans="1:13" x14ac:dyDescent="0.3">
      <c r="A962" s="63" t="str">
        <f>Binary!A962</f>
        <v>Staphylininae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Acylophorus glaberrimus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>
        <f>IF(Binary!E963&gt;=1,"X",0)</f>
        <v>0</v>
      </c>
      <c r="F963" s="137" t="str">
        <f>IF(Binary!F963&gt;=1,"X",0)</f>
        <v>X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species'!V963</f>
        <v>------------</v>
      </c>
    </row>
    <row r="964" spans="1:13" x14ac:dyDescent="0.3">
      <c r="A964" t="str">
        <f>Binary!A964</f>
        <v>Astrapaeus ulmi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 t="str">
        <f>IF(Binary!E964&gt;=1,"X",0)</f>
        <v>X</v>
      </c>
      <c r="F964" s="137" t="str">
        <f>IF(Binary!F964&gt;=1,"X",0)</f>
        <v>X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 t="str">
        <f>IF(Binary!J964&gt;=1,"X",0)</f>
        <v>X</v>
      </c>
      <c r="K964" s="137">
        <f>IF(Binary!K964&gt;=1,"X",0)</f>
        <v>0</v>
      </c>
      <c r="L964" s="137">
        <f>IF(Binary!L964&gt;=1,"X",0)</f>
        <v>0</v>
      </c>
      <c r="M964" t="str">
        <f>'Actual species'!V964</f>
        <v>------------</v>
      </c>
    </row>
    <row r="965" spans="1:13" x14ac:dyDescent="0.3">
      <c r="A965" t="str">
        <f>Binary!A965</f>
        <v>Atrecus affinis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>
        <f>IF(Binary!F965&gt;=1,"X",0)</f>
        <v>0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>
        <f>IF(Binary!J965&gt;=1,"X",0)</f>
        <v>0</v>
      </c>
      <c r="K965" s="137">
        <f>IF(Binary!K965&gt;=1,"X",0)</f>
        <v>0</v>
      </c>
      <c r="L965" s="137">
        <f>IF(Binary!L965&gt;=1,"X",0)</f>
        <v>0</v>
      </c>
      <c r="M965" t="str">
        <f>'Actual species'!V965</f>
        <v>------------</v>
      </c>
    </row>
    <row r="966" spans="1:13" x14ac:dyDescent="0.3">
      <c r="A966" t="str">
        <f>Binary!A966</f>
        <v>Bisnius fimetarius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>
        <f>IF(Binary!E966&gt;=1,"X",0)</f>
        <v>0</v>
      </c>
      <c r="F966" s="137">
        <f>IF(Binary!F966&gt;=1,"X",0)</f>
        <v>0</v>
      </c>
      <c r="G966" s="137">
        <f>IF(Binary!G966&gt;=1,"X",0)</f>
        <v>0</v>
      </c>
      <c r="H966" s="137" t="str">
        <f>IF(Binary!H966&gt;=1,"X",0)</f>
        <v>X</v>
      </c>
      <c r="I966" s="137">
        <f>IF(Binary!I966&gt;=1,"X",0)</f>
        <v>0</v>
      </c>
      <c r="J966" s="137">
        <f>IF(Binary!J966&gt;=1,"X",0)</f>
        <v>0</v>
      </c>
      <c r="K966" s="137">
        <f>IF(Binary!K966&gt;=1,"X",0)</f>
        <v>0</v>
      </c>
      <c r="L966" s="137">
        <f>IF(Binary!L966&gt;=1,"X",0)</f>
        <v>0</v>
      </c>
      <c r="M966" t="str">
        <f>'Actual species'!V966</f>
        <v>------------</v>
      </c>
    </row>
    <row r="967" spans="1:13" x14ac:dyDescent="0.3">
      <c r="A967" t="str">
        <f>Binary!A967</f>
        <v>Bisnius sordidus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>
        <f>IF(Binary!G967&gt;=1,"X",0)</f>
        <v>0</v>
      </c>
      <c r="H967" s="137" t="str">
        <f>IF(Binary!H967&gt;=1,"X",0)</f>
        <v>X</v>
      </c>
      <c r="I967" s="137">
        <f>IF(Binary!I967&gt;=1,"X",0)</f>
        <v>0</v>
      </c>
      <c r="J967" s="137" t="str">
        <f>IF(Binary!J967&gt;=1,"X",0)</f>
        <v>X</v>
      </c>
      <c r="K967" s="137">
        <f>IF(Binary!K967&gt;=1,"X",0)</f>
        <v>0</v>
      </c>
      <c r="L967" s="137">
        <f>IF(Binary!L967&gt;=1,"X",0)</f>
        <v>0</v>
      </c>
      <c r="M967" t="str">
        <f>'Actual species'!V967</f>
        <v>------------</v>
      </c>
    </row>
    <row r="968" spans="1:13" x14ac:dyDescent="0.3">
      <c r="A968" t="str">
        <f>Binary!A968</f>
        <v>Cafius cicatricosus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>
        <f>IF(Binary!H968&gt;=1,"X",0)</f>
        <v>0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species'!V968</f>
        <v>------------</v>
      </c>
    </row>
    <row r="969" spans="1:13" x14ac:dyDescent="0.3">
      <c r="A969" t="str">
        <f>Binary!A969</f>
        <v>Cafius xantholoma</v>
      </c>
      <c r="B969" s="137" t="str">
        <f>IF(Binary!B969&gt;=1,"X",0)</f>
        <v>X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>
        <f>IF(Binary!H969&gt;=1,"X",0)</f>
        <v>0</v>
      </c>
      <c r="I969" s="137">
        <f>IF(Binary!I969&gt;=1,"X",0)</f>
        <v>0</v>
      </c>
      <c r="J969" s="137">
        <f>IF(Binary!J969&gt;=1,"X",0)</f>
        <v>0</v>
      </c>
      <c r="K969" s="137">
        <f>IF(Binary!K969&gt;=1,"X",0)</f>
        <v>0</v>
      </c>
      <c r="L969" s="137">
        <f>IF(Binary!L969&gt;=1,"X",0)</f>
        <v>0</v>
      </c>
      <c r="M969" t="str">
        <f>'Actual species'!V969</f>
        <v>------------</v>
      </c>
    </row>
    <row r="970" spans="1:13" x14ac:dyDescent="0.3">
      <c r="A970" t="str">
        <f>Binary!A970</f>
        <v>Creophilus maxillosus</v>
      </c>
      <c r="B970" s="137" t="str">
        <f>IF(Binary!B970&gt;=1,"X",0)</f>
        <v>X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 t="str">
        <f>IF(Binary!F970&gt;=1,"X",0)</f>
        <v>X</v>
      </c>
      <c r="G970" s="137">
        <f>IF(Binary!G970&gt;=1,"X",0)</f>
        <v>0</v>
      </c>
      <c r="H970" s="137">
        <f>IF(Binary!H970&gt;=1,"X",0)</f>
        <v>0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species'!V970</f>
        <v>------------</v>
      </c>
    </row>
    <row r="971" spans="1:13" x14ac:dyDescent="0.3">
      <c r="A971" t="str">
        <f>Binary!A971</f>
        <v>Dinothenarus flavocephalus</v>
      </c>
      <c r="B971" s="137">
        <f>IF(Binary!B971&gt;=1,"X",0)</f>
        <v>0</v>
      </c>
      <c r="C971" s="137" t="str">
        <f>IF(Binary!C971&gt;=1,"X",0)</f>
        <v>X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 t="str">
        <f>IF(Binary!H971&gt;=1,"X",0)</f>
        <v>X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species'!V971</f>
        <v>------------</v>
      </c>
    </row>
    <row r="972" spans="1:13" x14ac:dyDescent="0.3">
      <c r="A972" t="str">
        <f>Binary!A972</f>
        <v>Erichsonius rivularis</v>
      </c>
      <c r="B972" s="137">
        <f>IF(Binary!B972&gt;=1,"X",0)</f>
        <v>0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>
        <f>IF(Binary!F972&gt;=1,"X",0)</f>
        <v>0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species'!V972</f>
        <v>------------</v>
      </c>
    </row>
    <row r="973" spans="1:13" x14ac:dyDescent="0.3">
      <c r="A973" t="str">
        <f>Binary!A973</f>
        <v>Erichsonius subopacus</v>
      </c>
      <c r="B973" s="137" t="str">
        <f>IF(Binary!B973&gt;=1,"X",0)</f>
        <v>X</v>
      </c>
      <c r="C973" s="137">
        <f>IF(Binary!C973&gt;=1,"X",0)</f>
        <v>0</v>
      </c>
      <c r="D973" s="137" t="str">
        <f>IF(Binary!D973&gt;=1,"X",0)</f>
        <v>X</v>
      </c>
      <c r="E973" s="137" t="str">
        <f>IF(Binary!E973&gt;=1,"X",0)</f>
        <v>X</v>
      </c>
      <c r="F973" s="137" t="str">
        <f>IF(Binary!F973&gt;=1,"X",0)</f>
        <v>X</v>
      </c>
      <c r="G973" s="137">
        <f>IF(Binary!G973&gt;=1,"X",0)</f>
        <v>0</v>
      </c>
      <c r="H973" s="137">
        <f>IF(Binary!H973&gt;=1,"X",0)</f>
        <v>0</v>
      </c>
      <c r="I973" s="137">
        <f>IF(Binary!I973&gt;=1,"X",0)</f>
        <v>0</v>
      </c>
      <c r="J973" s="137" t="str">
        <f>IF(Binary!J973&gt;=1,"X",0)</f>
        <v>X</v>
      </c>
      <c r="K973" s="137">
        <f>IF(Binary!K973&gt;=1,"X",0)</f>
        <v>0</v>
      </c>
      <c r="L973" s="137">
        <f>IF(Binary!L973&gt;=1,"X",0)</f>
        <v>0</v>
      </c>
      <c r="M973" t="str">
        <f>'Actual species'!V973</f>
        <v>------------</v>
      </c>
    </row>
    <row r="974" spans="1:13" x14ac:dyDescent="0.3">
      <c r="A974" t="str">
        <f>Binary!A974</f>
        <v>Gabrius astutoides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 t="str">
        <f>IF(Binary!E974&gt;=1,"X",0)</f>
        <v>X</v>
      </c>
      <c r="F974" s="137">
        <f>IF(Binary!F974&gt;=1,"X",0)</f>
        <v>0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species'!V974</f>
        <v>------------</v>
      </c>
    </row>
    <row r="975" spans="1:13" x14ac:dyDescent="0.3">
      <c r="A975" t="str">
        <f>Binary!A975</f>
        <v xml:space="preserve">Gabrius cf. nigritulus </v>
      </c>
      <c r="B975" s="137">
        <f>IF(Binary!B975&gt;=1,"X",0)</f>
        <v>0</v>
      </c>
      <c r="C975" s="137">
        <f>IF(Binary!C975&gt;=1,"X",0)</f>
        <v>0</v>
      </c>
      <c r="D975" s="137">
        <f>IF(Binary!D975&gt;=1,"X",0)</f>
        <v>0</v>
      </c>
      <c r="E975" s="137">
        <f>IF(Binary!E975&gt;=1,"X",0)</f>
        <v>0</v>
      </c>
      <c r="F975" s="137">
        <f>IF(Binary!F975&gt;=1,"X",0)</f>
        <v>0</v>
      </c>
      <c r="G975" s="137" t="str">
        <f>IF(Binary!G975&gt;=1,"X",0)</f>
        <v>X</v>
      </c>
      <c r="H975" s="137">
        <f>IF(Binary!H975&gt;=1,"X",0)</f>
        <v>0</v>
      </c>
      <c r="I975" s="137">
        <f>IF(Binary!I975&gt;=1,"X",0)</f>
        <v>0</v>
      </c>
      <c r="J975" s="137">
        <f>IF(Binary!J975&gt;=1,"X",0)</f>
        <v>0</v>
      </c>
      <c r="K975" s="137">
        <f>IF(Binary!K975&gt;=1,"X",0)</f>
        <v>0</v>
      </c>
      <c r="L975" s="137">
        <f>IF(Binary!L975&gt;=1,"X",0)</f>
        <v>0</v>
      </c>
      <c r="M975" t="str">
        <f>'Actual species'!V975</f>
        <v>------------</v>
      </c>
    </row>
    <row r="976" spans="1:13" x14ac:dyDescent="0.3">
      <c r="A976" t="str">
        <f>Binary!A976</f>
        <v>Gabrius exspectatus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>
        <f>IF(Binary!E976&gt;=1,"X",0)</f>
        <v>0</v>
      </c>
      <c r="F976" s="137">
        <f>IF(Binary!F976&gt;=1,"X",0)</f>
        <v>0</v>
      </c>
      <c r="G976" s="137">
        <f>IF(Binary!G976&gt;=1,"X",0)</f>
        <v>0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species'!V976</f>
        <v>------------</v>
      </c>
    </row>
    <row r="977" spans="1:13" x14ac:dyDescent="0.3">
      <c r="A977" t="str">
        <f>Binary!A977</f>
        <v>Gabrius graecus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>
        <f>IF(Binary!G977&gt;=1,"X",0)</f>
        <v>0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species'!V977</f>
        <v>------------</v>
      </c>
    </row>
    <row r="978" spans="1:13" x14ac:dyDescent="0.3">
      <c r="A978" t="str">
        <f>Binary!A978</f>
        <v>Gabrius latro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>
        <f>IF(Binary!E978&gt;=1,"X",0)</f>
        <v>0</v>
      </c>
      <c r="F978" s="137" t="str">
        <f>IF(Binary!F978&gt;=1,"X",0)</f>
        <v>X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species'!V978</f>
        <v>------------</v>
      </c>
    </row>
    <row r="979" spans="1:13" x14ac:dyDescent="0.3">
      <c r="A979" t="str">
        <f>Binary!A979</f>
        <v>Gabrius nigritulus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 t="str">
        <f>IF(Binary!E979&gt;=1,"X",0)</f>
        <v>X</v>
      </c>
      <c r="F979" s="137" t="str">
        <f>IF(Binary!F979&gt;=1,"X",0)</f>
        <v>X</v>
      </c>
      <c r="G979" s="137" t="str">
        <f>IF(Binary!G979&gt;=1,"X",0)</f>
        <v>X</v>
      </c>
      <c r="H979" s="137">
        <f>IF(Binary!H979&gt;=1,"X",0)</f>
        <v>0</v>
      </c>
      <c r="I979" s="137">
        <f>IF(Binary!I979&gt;=1,"X",0)</f>
        <v>0</v>
      </c>
      <c r="J979" s="137">
        <f>IF(Binary!J979&gt;=1,"X",0)</f>
        <v>0</v>
      </c>
      <c r="K979" s="137">
        <f>IF(Binary!K979&gt;=1,"X",0)</f>
        <v>0</v>
      </c>
      <c r="L979" s="137" t="str">
        <f>IF(Binary!L979&gt;=1,"X",0)</f>
        <v>X</v>
      </c>
      <c r="M979" t="str">
        <f>'Actual species'!V979</f>
        <v>------------</v>
      </c>
    </row>
    <row r="980" spans="1:13" x14ac:dyDescent="0.3">
      <c r="A980" t="str">
        <f>Binary!A980</f>
        <v>Gabrius obenbergeri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>
        <f>IF(Binary!F980&gt;=1,"X",0)</f>
        <v>0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species'!V980</f>
        <v>------------</v>
      </c>
    </row>
    <row r="981" spans="1:13" x14ac:dyDescent="0.3">
      <c r="A981" t="str">
        <f>Binary!A981</f>
        <v>Gabrius ravasinii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>
        <f>IF(Binary!E981&gt;=1,"X",0)</f>
        <v>0</v>
      </c>
      <c r="F981" s="137">
        <f>IF(Binary!F981&gt;=1,"X",0)</f>
        <v>0</v>
      </c>
      <c r="G981" s="137">
        <f>IF(Binary!G981&gt;=1,"X",0)</f>
        <v>0</v>
      </c>
      <c r="H981" s="137">
        <f>IF(Binary!H981&gt;=1,"X",0)</f>
        <v>0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>
        <f>IF(Binary!L981&gt;=1,"X",0)</f>
        <v>0</v>
      </c>
      <c r="M981" t="str">
        <f>'Actual species'!V981</f>
        <v>------------</v>
      </c>
    </row>
    <row r="982" spans="1:13" x14ac:dyDescent="0.3">
      <c r="A982" t="str">
        <f>Binary!A982</f>
        <v>Gabrius sp.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>
        <f>IF(Binary!G982&gt;=1,"X",0)</f>
        <v>0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species'!V982</f>
        <v>------------</v>
      </c>
    </row>
    <row r="983" spans="1:13" x14ac:dyDescent="0.3">
      <c r="A983" t="str">
        <f>Binary!A983</f>
        <v>Gabrius sp. (Female)</v>
      </c>
      <c r="B983" s="137" t="str">
        <f>IF(Binary!B983&gt;=1,"X",0)</f>
        <v>X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>
        <f>IF(Binary!G983&gt;=1,"X",0)</f>
        <v>0</v>
      </c>
      <c r="H983" s="137">
        <f>IF(Binary!H983&gt;=1,"X",0)</f>
        <v>0</v>
      </c>
      <c r="I983" s="137">
        <f>IF(Binary!I983&gt;=1,"X",0)</f>
        <v>0</v>
      </c>
      <c r="J983" s="137" t="str">
        <f>IF(Binary!J983&gt;=1,"X",0)</f>
        <v>X</v>
      </c>
      <c r="K983" s="137">
        <f>IF(Binary!K983&gt;=1,"X",0)</f>
        <v>0</v>
      </c>
      <c r="L983" s="137">
        <f>IF(Binary!L983&gt;=1,"X",0)</f>
        <v>0</v>
      </c>
      <c r="M983" t="str">
        <f>'Actual species'!V983</f>
        <v>------------</v>
      </c>
    </row>
    <row r="984" spans="1:13" x14ac:dyDescent="0.3">
      <c r="A984" t="str">
        <f>Binary!A984</f>
        <v>Gabrius splendidulus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species'!V984</f>
        <v>------------</v>
      </c>
    </row>
    <row r="985" spans="1:13" x14ac:dyDescent="0.3">
      <c r="A985" t="str">
        <f>Binary!A985</f>
        <v xml:space="preserve">Gabrius subnigritulus </v>
      </c>
      <c r="B985" s="137">
        <f>IF(Binary!B985&gt;=1,"X",0)</f>
        <v>0</v>
      </c>
      <c r="C985" s="137">
        <f>IF(Binary!C985&gt;=1,"X",0)</f>
        <v>0</v>
      </c>
      <c r="D985" s="137" t="str">
        <f>IF(Binary!D985&gt;=1,"X",0)</f>
        <v>X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>
        <f>IF(Binary!J985&gt;=1,"X",0)</f>
        <v>0</v>
      </c>
      <c r="K985" s="137">
        <f>IF(Binary!K985&gt;=1,"X",0)</f>
        <v>0</v>
      </c>
      <c r="L985" s="137">
        <f>IF(Binary!L985&gt;=1,"X",0)</f>
        <v>0</v>
      </c>
      <c r="M985" t="str">
        <f>'Actual species'!V985</f>
        <v>------------</v>
      </c>
    </row>
    <row r="986" spans="1:13" x14ac:dyDescent="0.3">
      <c r="A986" t="str">
        <f>Binary!A986</f>
        <v>Gabrius toxotes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species'!V986</f>
        <v>------------</v>
      </c>
    </row>
    <row r="987" spans="1:13" x14ac:dyDescent="0.3">
      <c r="A987" t="str">
        <f>Binary!A987</f>
        <v>Gabronthus maritimus</v>
      </c>
      <c r="B987" s="137">
        <f>IF(Binary!B987&gt;=1,"X",0)</f>
        <v>0</v>
      </c>
      <c r="C987" s="137">
        <f>IF(Binary!C987&gt;=1,"X",0)</f>
        <v>0</v>
      </c>
      <c r="D987" s="137">
        <f>IF(Binary!D987&gt;=1,"X",0)</f>
        <v>0</v>
      </c>
      <c r="E987" s="137">
        <f>IF(Binary!E987&gt;=1,"X",0)</f>
        <v>0</v>
      </c>
      <c r="F987" s="137" t="str">
        <f>IF(Binary!F987&gt;=1,"X",0)</f>
        <v>X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 t="str">
        <f>IF(Binary!J987&gt;=1,"X",0)</f>
        <v>X</v>
      </c>
      <c r="K987" s="137">
        <f>IF(Binary!K987&gt;=1,"X",0)</f>
        <v>0</v>
      </c>
      <c r="L987" s="137">
        <f>IF(Binary!L987&gt;=1,"X",0)</f>
        <v>0</v>
      </c>
      <c r="M987" t="str">
        <f>'Actual species'!V987</f>
        <v>------------</v>
      </c>
    </row>
    <row r="988" spans="1:13" x14ac:dyDescent="0.3">
      <c r="A988" t="str">
        <f>Binary!A988</f>
        <v>Gauropterus fulgidus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>
        <f>IF(Binary!F988&gt;=1,"X",0)</f>
        <v>0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species'!V988</f>
        <v>------------</v>
      </c>
    </row>
    <row r="989" spans="1:13" x14ac:dyDescent="0.3">
      <c r="A989" t="str">
        <f>Binary!A989</f>
        <v>Gauropterus sanguinipennis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>
        <f>IF(Binary!E989&gt;=1,"X",0)</f>
        <v>0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>
        <f>IF(Binary!J989&gt;=1,"X",0)</f>
        <v>0</v>
      </c>
      <c r="K989" s="137">
        <f>IF(Binary!K989&gt;=1,"X",0)</f>
        <v>0</v>
      </c>
      <c r="L989" s="137">
        <f>IF(Binary!L989&gt;=1,"X",0)</f>
        <v>0</v>
      </c>
      <c r="M989" t="str">
        <f>'Actual species'!V989</f>
        <v>------------</v>
      </c>
    </row>
    <row r="990" spans="1:13" x14ac:dyDescent="0.3">
      <c r="A990" t="str">
        <f>Binary!A990</f>
        <v>Gyrohypnus angustatus</v>
      </c>
      <c r="B990" s="137">
        <f>IF(Binary!B990&gt;=1,"X",0)</f>
        <v>0</v>
      </c>
      <c r="C990" s="137">
        <f>IF(Binary!C990&gt;=1,"X",0)</f>
        <v>0</v>
      </c>
      <c r="D990" s="137" t="str">
        <f>IF(Binary!D990&gt;=1,"X",0)</f>
        <v>X</v>
      </c>
      <c r="E990" s="137">
        <f>IF(Binary!E990&gt;=1,"X",0)</f>
        <v>0</v>
      </c>
      <c r="F990" s="137" t="str">
        <f>IF(Binary!F990&gt;=1,"X",0)</f>
        <v>X</v>
      </c>
      <c r="G990" s="137" t="str">
        <f>IF(Binary!G990&gt;=1,"X",0)</f>
        <v>X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species'!V990</f>
        <v>------------</v>
      </c>
    </row>
    <row r="991" spans="1:13" x14ac:dyDescent="0.3">
      <c r="A991" t="str">
        <f>Binary!A991</f>
        <v>Gyrohypnus fracticornis</v>
      </c>
      <c r="B991" s="137">
        <f>IF(Binary!B991&gt;=1,"X",0)</f>
        <v>0</v>
      </c>
      <c r="C991" s="137">
        <f>IF(Binary!C991&gt;=1,"X",0)</f>
        <v>0</v>
      </c>
      <c r="D991" s="137" t="str">
        <f>IF(Binary!D991&gt;=1,"X",0)</f>
        <v>X</v>
      </c>
      <c r="E991" s="137">
        <f>IF(Binary!E991&gt;=1,"X",0)</f>
        <v>0</v>
      </c>
      <c r="F991" s="137">
        <f>IF(Binary!F991&gt;=1,"X",0)</f>
        <v>0</v>
      </c>
      <c r="G991" s="137">
        <f>IF(Binary!G991&gt;=1,"X",0)</f>
        <v>0</v>
      </c>
      <c r="H991" s="137">
        <f>IF(Binary!H991&gt;=1,"X",0)</f>
        <v>0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species'!V991</f>
        <v>------------</v>
      </c>
    </row>
    <row r="992" spans="1:13" x14ac:dyDescent="0.3">
      <c r="A992" t="str">
        <f>Binary!A992</f>
        <v>Gyrohypnus liber</v>
      </c>
      <c r="B992" s="137">
        <f>IF(Binary!B992&gt;=1,"X",0)</f>
        <v>0</v>
      </c>
      <c r="C992" s="137">
        <f>IF(Binary!C992&gt;=1,"X",0)</f>
        <v>0</v>
      </c>
      <c r="D992" s="137">
        <f>IF(Binary!D992&gt;=1,"X",0)</f>
        <v>0</v>
      </c>
      <c r="E992" s="137">
        <f>IF(Binary!E992&gt;=1,"X",0)</f>
        <v>0</v>
      </c>
      <c r="F992" s="137">
        <f>IF(Binary!F992&gt;=1,"X",0)</f>
        <v>0</v>
      </c>
      <c r="G992" s="137">
        <f>IF(Binary!G992&gt;=1,"X",0)</f>
        <v>0</v>
      </c>
      <c r="H992" s="137">
        <f>IF(Binary!H992&gt;=1,"X",0)</f>
        <v>0</v>
      </c>
      <c r="I992" s="137">
        <f>IF(Binary!I992&gt;=1,"X",0)</f>
        <v>0</v>
      </c>
      <c r="J992" s="137">
        <f>IF(Binary!J992&gt;=1,"X",0)</f>
        <v>0</v>
      </c>
      <c r="K992" s="137">
        <f>IF(Binary!K992&gt;=1,"X",0)</f>
        <v>0</v>
      </c>
      <c r="L992" s="137">
        <f>IF(Binary!L992&gt;=1,"X",0)</f>
        <v>0</v>
      </c>
      <c r="M992" t="str">
        <f>'Actual species'!V992</f>
        <v>------------</v>
      </c>
    </row>
    <row r="993" spans="1:13" x14ac:dyDescent="0.3">
      <c r="A993" t="str">
        <f>Binary!A993</f>
        <v>Heterothops binotatus</v>
      </c>
      <c r="B993" s="137">
        <f>IF(Binary!B993&gt;=1,"X",0)</f>
        <v>0</v>
      </c>
      <c r="C993" s="137">
        <f>IF(Binary!C993&gt;=1,"X",0)</f>
        <v>0</v>
      </c>
      <c r="D993" s="137">
        <f>IF(Binary!D993&gt;=1,"X",0)</f>
        <v>0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species'!V993</f>
        <v>------------</v>
      </c>
    </row>
    <row r="994" spans="1:13" x14ac:dyDescent="0.3">
      <c r="A994" t="str">
        <f>Binary!A994</f>
        <v>Heterothops cf. Minutus</v>
      </c>
      <c r="B994" s="137">
        <f>IF(Binary!B994&gt;=1,"X",0)</f>
        <v>0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 t="str">
        <f>IF(Binary!G994&gt;=1,"X",0)</f>
        <v>X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species'!V994</f>
        <v>------------</v>
      </c>
    </row>
    <row r="995" spans="1:13" x14ac:dyDescent="0.3">
      <c r="A995" t="str">
        <f>Binary!A995</f>
        <v>Heterothops dissimilis</v>
      </c>
      <c r="B995" s="137">
        <f>IF(Binary!B995&gt;=1,"X",0)</f>
        <v>0</v>
      </c>
      <c r="C995" s="137" t="str">
        <f>IF(Binary!C995&gt;=1,"X",0)</f>
        <v>X</v>
      </c>
      <c r="D995" s="137">
        <f>IF(Binary!D995&gt;=1,"X",0)</f>
        <v>0</v>
      </c>
      <c r="E995" s="137">
        <f>IF(Binary!E995&gt;=1,"X",0)</f>
        <v>0</v>
      </c>
      <c r="F995" s="137">
        <f>IF(Binary!F995&gt;=1,"X",0)</f>
        <v>0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species'!V995</f>
        <v>------------</v>
      </c>
    </row>
    <row r="996" spans="1:13" x14ac:dyDescent="0.3">
      <c r="A996" t="str">
        <f>Binary!A996</f>
        <v>Heterothops minutus</v>
      </c>
      <c r="B996" s="137">
        <f>IF(Binary!B996&gt;=1,"X",0)</f>
        <v>0</v>
      </c>
      <c r="C996" s="137">
        <f>IF(Binary!C996&gt;=1,"X",0)</f>
        <v>0</v>
      </c>
      <c r="D996" s="137">
        <f>IF(Binary!D996&gt;=1,"X",0)</f>
        <v>0</v>
      </c>
      <c r="E996" s="137" t="str">
        <f>IF(Binary!E996&gt;=1,"X",0)</f>
        <v>X</v>
      </c>
      <c r="F996" s="137">
        <f>IF(Binary!F996&gt;=1,"X",0)</f>
        <v>0</v>
      </c>
      <c r="G996" s="137">
        <f>IF(Binary!G996&gt;=1,"X",0)</f>
        <v>0</v>
      </c>
      <c r="H996" s="137">
        <f>IF(Binary!H996&gt;=1,"X",0)</f>
        <v>0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species'!V996</f>
        <v>------------</v>
      </c>
    </row>
    <row r="997" spans="1:13" x14ac:dyDescent="0.3">
      <c r="A997" t="str">
        <f>Binary!A997</f>
        <v xml:space="preserve">Hypnogyra sp. </v>
      </c>
      <c r="B997" s="137">
        <f>IF(Binary!B997&gt;=1,"X",0)</f>
        <v>0</v>
      </c>
      <c r="C997" s="137" t="str">
        <f>IF(Binary!C997&gt;=1,"X",0)</f>
        <v>X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species'!V997</f>
        <v>------------</v>
      </c>
    </row>
    <row r="998" spans="1:13" x14ac:dyDescent="0.3">
      <c r="A998" t="str">
        <f>Binary!A998</f>
        <v>Hypnogyra sp. 2.</v>
      </c>
      <c r="B998" s="137">
        <f>IF(Binary!B998&gt;=1,"X",0)</f>
        <v>0</v>
      </c>
      <c r="C998" s="137" t="str">
        <f>IF(Binary!C998&gt;=1,"X",0)</f>
        <v>X</v>
      </c>
      <c r="D998" s="137">
        <f>IF(Binary!D998&gt;=1,"X",0)</f>
        <v>0</v>
      </c>
      <c r="E998" s="137">
        <f>IF(Binary!E998&gt;=1,"X",0)</f>
        <v>0</v>
      </c>
      <c r="F998" s="137">
        <f>IF(Binary!F998&gt;=1,"X",0)</f>
        <v>0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>
        <f>IF(Binary!J998&gt;=1,"X",0)</f>
        <v>0</v>
      </c>
      <c r="K998" s="137">
        <f>IF(Binary!K998&gt;=1,"X",0)</f>
        <v>0</v>
      </c>
      <c r="L998" s="137">
        <f>IF(Binary!L998&gt;=1,"X",0)</f>
        <v>0</v>
      </c>
      <c r="M998" t="str">
        <f>'Actual species'!V998</f>
        <v>------------</v>
      </c>
    </row>
    <row r="999" spans="1:13" x14ac:dyDescent="0.3">
      <c r="A999" t="str">
        <f>Binary!A999</f>
        <v>Leptacinus batychrus</v>
      </c>
      <c r="B999" s="137">
        <f>IF(Binary!B999&gt;=1,"X",0)</f>
        <v>0</v>
      </c>
      <c r="C999" s="137">
        <f>IF(Binary!C999&gt;=1,"X",0)</f>
        <v>0</v>
      </c>
      <c r="D999" s="137">
        <f>IF(Binary!D999&gt;=1,"X",0)</f>
        <v>0</v>
      </c>
      <c r="E999" s="137">
        <f>IF(Binary!E999&gt;=1,"X",0)</f>
        <v>0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 t="str">
        <f>IF(Binary!J999&gt;=1,"X",0)</f>
        <v>X</v>
      </c>
      <c r="K999" s="137">
        <f>IF(Binary!K999&gt;=1,"X",0)</f>
        <v>0</v>
      </c>
      <c r="L999" s="137">
        <f>IF(Binary!L999&gt;=1,"X",0)</f>
        <v>0</v>
      </c>
      <c r="M999" t="str">
        <f>'Actual species'!V999</f>
        <v>------------</v>
      </c>
    </row>
    <row r="1000" spans="1:13" x14ac:dyDescent="0.3">
      <c r="A1000" t="str">
        <f>Binary!A1000</f>
        <v>Leptacinus othioides</v>
      </c>
      <c r="B1000" s="137">
        <f>IF(Binary!B1000&gt;=1,"X",0)</f>
        <v>0</v>
      </c>
      <c r="C1000" s="137">
        <f>IF(Binary!C1000&gt;=1,"X",0)</f>
        <v>0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>
        <f>IF(Binary!G1000&gt;=1,"X",0)</f>
        <v>0</v>
      </c>
      <c r="H1000" s="137">
        <f>IF(Binary!H1000&gt;=1,"X",0)</f>
        <v>0</v>
      </c>
      <c r="I1000" s="137">
        <f>IF(Binary!I1000&gt;=1,"X",0)</f>
        <v>0</v>
      </c>
      <c r="J1000" s="137" t="str">
        <f>IF(Binary!J1000&gt;=1,"X",0)</f>
        <v>X</v>
      </c>
      <c r="K1000" s="137">
        <f>IF(Binary!K1000&gt;=1,"X",0)</f>
        <v>0</v>
      </c>
      <c r="L1000" s="137">
        <f>IF(Binary!L1000&gt;=1,"X",0)</f>
        <v>0</v>
      </c>
      <c r="M1000" t="str">
        <f>'Actual species'!V1000</f>
        <v>------------</v>
      </c>
    </row>
    <row r="1001" spans="1:13" x14ac:dyDescent="0.3">
      <c r="A1001" t="str">
        <f>Binary!A1001</f>
        <v>Leptacinus pusillus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>
        <f>IF(Binary!J1001&gt;=1,"X",0)</f>
        <v>0</v>
      </c>
      <c r="K1001" s="137">
        <f>IF(Binary!K1001&gt;=1,"X",0)</f>
        <v>0</v>
      </c>
      <c r="L1001" s="137">
        <f>IF(Binary!L1001&gt;=1,"X",0)</f>
        <v>0</v>
      </c>
      <c r="M1001" t="str">
        <f>'Actual species'!V1001</f>
        <v>------------</v>
      </c>
    </row>
    <row r="1002" spans="1:13" x14ac:dyDescent="0.3">
      <c r="A1002" t="str">
        <f>Binary!A1002</f>
        <v>Megalinus flavocinctus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 t="str">
        <f>IF(Binary!G1002&gt;=1,"X",0)</f>
        <v>X</v>
      </c>
      <c r="H1002" s="137">
        <f>IF(Binary!H1002&gt;=1,"X",0)</f>
        <v>0</v>
      </c>
      <c r="I1002" s="137">
        <f>IF(Binary!I1002&gt;=1,"X",0)</f>
        <v>0</v>
      </c>
      <c r="J1002" s="137" t="str">
        <f>IF(Binary!J1002&gt;=1,"X",0)</f>
        <v>X</v>
      </c>
      <c r="K1002" s="137">
        <f>IF(Binary!K1002&gt;=1,"X",0)</f>
        <v>0</v>
      </c>
      <c r="L1002" s="137">
        <f>IF(Binary!L1002&gt;=1,"X",0)</f>
        <v>0</v>
      </c>
      <c r="M1002" t="str">
        <f>'Actual species'!V1002</f>
        <v>------------</v>
      </c>
    </row>
    <row r="1003" spans="1:13" x14ac:dyDescent="0.3">
      <c r="A1003" t="str">
        <f>Binary!A1003</f>
        <v>Megalinus glabratus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>
        <f>IF(Binary!F1003&gt;=1,"X",0)</f>
        <v>0</v>
      </c>
      <c r="G1003" s="137">
        <f>IF(Binary!G1003&gt;=1,"X",0)</f>
        <v>0</v>
      </c>
      <c r="H1003" s="137" t="str">
        <f>IF(Binary!H1003&gt;=1,"X",0)</f>
        <v>X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species'!V1003</f>
        <v>------------</v>
      </c>
    </row>
    <row r="1004" spans="1:13" x14ac:dyDescent="0.3">
      <c r="A1004" t="str">
        <f>Binary!A1004</f>
        <v>Megalinus scutellaris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>
        <f>IF(Binary!E1004&gt;=1,"X",0)</f>
        <v>0</v>
      </c>
      <c r="F1004" s="137">
        <f>IF(Binary!F1004&gt;=1,"X",0)</f>
        <v>0</v>
      </c>
      <c r="G1004" s="137">
        <f>IF(Binary!G1004&gt;=1,"X",0)</f>
        <v>0</v>
      </c>
      <c r="H1004" s="137" t="str">
        <f>IF(Binary!H1004&gt;=1,"X",0)</f>
        <v>X</v>
      </c>
      <c r="I1004" s="137">
        <f>IF(Binary!I1004&gt;=1,"X",0)</f>
        <v>0</v>
      </c>
      <c r="J1004" s="137">
        <f>IF(Binary!J1004&gt;=1,"X",0)</f>
        <v>0</v>
      </c>
      <c r="K1004" s="137">
        <f>IF(Binary!K1004&gt;=1,"X",0)</f>
        <v>0</v>
      </c>
      <c r="L1004" s="137">
        <f>IF(Binary!L1004&gt;=1,"X",0)</f>
        <v>0</v>
      </c>
      <c r="M1004" t="str">
        <f>'Actual species'!V1004</f>
        <v>------------</v>
      </c>
    </row>
    <row r="1005" spans="1:13" x14ac:dyDescent="0.3">
      <c r="A1005" t="str">
        <f>Binary!A1005</f>
        <v>Milichilinus decorus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>
        <f>IF(Binary!H1005&gt;=1,"X",0)</f>
        <v>0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species'!V1005</f>
        <v>------------</v>
      </c>
    </row>
    <row r="1006" spans="1:13" x14ac:dyDescent="0.3">
      <c r="A1006" t="str">
        <f>Binary!A1006</f>
        <v>Neobisnius lathrobioides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>
        <f>IF(Binary!H1006&gt;=1,"X",0)</f>
        <v>0</v>
      </c>
      <c r="I1006" s="137">
        <f>IF(Binary!I1006&gt;=1,"X",0)</f>
        <v>0</v>
      </c>
      <c r="J1006" s="137" t="str">
        <f>IF(Binary!J1006&gt;=1,"X",0)</f>
        <v>X</v>
      </c>
      <c r="K1006" s="137">
        <f>IF(Binary!K1006&gt;=1,"X",0)</f>
        <v>0</v>
      </c>
      <c r="L1006" s="137">
        <f>IF(Binary!L1006&gt;=1,"X",0)</f>
        <v>0</v>
      </c>
      <c r="M1006" t="str">
        <f>'Actual species'!V1006</f>
        <v>------------</v>
      </c>
    </row>
    <row r="1007" spans="1:13" x14ac:dyDescent="0.3">
      <c r="A1007" t="str">
        <f>Binary!A1007</f>
        <v>Neobisnius orbus</v>
      </c>
      <c r="B1007" s="137" t="str">
        <f>IF(Binary!B1007&gt;=1,"X",0)</f>
        <v>X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species'!V1007</f>
        <v>------------</v>
      </c>
    </row>
    <row r="1008" spans="1:13" x14ac:dyDescent="0.3">
      <c r="A1008" t="str">
        <f>Binary!A1008</f>
        <v>Neobisnius prolixus</v>
      </c>
      <c r="B1008" s="137">
        <f>IF(Binary!B1008&gt;=1,"X",0)</f>
        <v>0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>
        <f>IF(Binary!J1008&gt;=1,"X",0)</f>
        <v>0</v>
      </c>
      <c r="K1008" s="137">
        <f>IF(Binary!K1008&gt;=1,"X",0)</f>
        <v>0</v>
      </c>
      <c r="L1008" s="137">
        <f>IF(Binary!L1008&gt;=1,"X",0)</f>
        <v>0</v>
      </c>
      <c r="M1008" t="str">
        <f>'Actual species'!V1008</f>
        <v>------------</v>
      </c>
    </row>
    <row r="1009" spans="1:13" x14ac:dyDescent="0.3">
      <c r="A1009" t="str">
        <f>Binary!A1009</f>
        <v>Nudobius cypriacus</v>
      </c>
      <c r="B1009" s="137">
        <f>IF(Binary!B1009&gt;=1,"X",0)</f>
        <v>0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species'!V1009</f>
        <v>------------</v>
      </c>
    </row>
    <row r="1010" spans="1:13" x14ac:dyDescent="0.3">
      <c r="A1010" t="str">
        <f>Binary!A1010</f>
        <v xml:space="preserve">**Ocypus corcyranus (E) </v>
      </c>
      <c r="B1010" s="137">
        <f>IF(Binary!B1010&gt;=1,"X",0)</f>
        <v>0</v>
      </c>
      <c r="C1010" s="137">
        <f>IF(Binary!C1010&gt;=1,"X",0)</f>
        <v>0</v>
      </c>
      <c r="D1010" s="137">
        <f>IF(Binary!D1010&gt;=1,"X",0)</f>
        <v>0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 t="str">
        <f>IF(Binary!J1010&gt;=1,"X",0)</f>
        <v>X</v>
      </c>
      <c r="K1010" s="137">
        <f>IF(Binary!K1010&gt;=1,"X",0)</f>
        <v>0</v>
      </c>
      <c r="L1010" s="137">
        <f>IF(Binary!L1010&gt;=1,"X",0)</f>
        <v>0</v>
      </c>
      <c r="M1010" t="str">
        <f>'Actual species'!V1010</f>
        <v>X</v>
      </c>
    </row>
    <row r="1011" spans="1:13" x14ac:dyDescent="0.3">
      <c r="A1011" t="str">
        <f>Binary!A1011</f>
        <v>Ocypus curtipennis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 t="str">
        <f>IF(Binary!F1011&gt;=1,"X",0)</f>
        <v>X</v>
      </c>
      <c r="G1011" s="137">
        <f>IF(Binary!G1011&gt;=1,"X",0)</f>
        <v>0</v>
      </c>
      <c r="H1011" s="137" t="str">
        <f>IF(Binary!H1011&gt;=1,"X",0)</f>
        <v>X</v>
      </c>
      <c r="I1011" s="137">
        <f>IF(Binary!I1011&gt;=1,"X",0)</f>
        <v>0</v>
      </c>
      <c r="J1011" s="137">
        <f>IF(Binary!J1011&gt;=1,"X",0)</f>
        <v>0</v>
      </c>
      <c r="K1011" s="137" t="str">
        <f>IF(Binary!K1011&gt;=1,"X",0)</f>
        <v>X</v>
      </c>
      <c r="L1011" s="137">
        <f>IF(Binary!L1011&gt;=1,"X",0)</f>
        <v>0</v>
      </c>
      <c r="M1011" t="str">
        <f>'Actual species'!V1011</f>
        <v>------------</v>
      </c>
    </row>
    <row r="1012" spans="1:13" x14ac:dyDescent="0.3">
      <c r="A1012" t="str">
        <f>Binary!A1012</f>
        <v>Ocypus fulvipennis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>
        <f>IF(Binary!F1012&gt;=1,"X",0)</f>
        <v>0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species'!V1012</f>
        <v>------------</v>
      </c>
    </row>
    <row r="1013" spans="1:13" x14ac:dyDescent="0.3">
      <c r="A1013" t="str">
        <f>Binary!A1013</f>
        <v>Ocypus mus</v>
      </c>
      <c r="B1013" s="137">
        <f>IF(Binary!B1013&gt;=1,"X",0)</f>
        <v>0</v>
      </c>
      <c r="C1013" s="137" t="str">
        <f>IF(Binary!C1013&gt;=1,"X",0)</f>
        <v>X</v>
      </c>
      <c r="D1013" s="137" t="str">
        <f>IF(Binary!D1013&gt;=1,"X",0)</f>
        <v>X</v>
      </c>
      <c r="E1013" s="137" t="str">
        <f>IF(Binary!E1013&gt;=1,"X",0)</f>
        <v>X</v>
      </c>
      <c r="F1013" s="137" t="str">
        <f>IF(Binary!F1013&gt;=1,"X",0)</f>
        <v>X</v>
      </c>
      <c r="G1013" s="137" t="str">
        <f>IF(Binary!G1013&gt;=1,"X",0)</f>
        <v>X</v>
      </c>
      <c r="H1013" s="137" t="str">
        <f>IF(Binary!H1013&gt;=1,"X",0)</f>
        <v>X</v>
      </c>
      <c r="I1013" s="137" t="str">
        <f>IF(Binary!I1013&gt;=1,"X",0)</f>
        <v>X</v>
      </c>
      <c r="J1013" s="137" t="str">
        <f>IF(Binary!J1013&gt;=1,"X",0)</f>
        <v>X</v>
      </c>
      <c r="K1013" s="137" t="str">
        <f>IF(Binary!K1013&gt;=1,"X",0)</f>
        <v>X</v>
      </c>
      <c r="L1013" s="137">
        <f>IF(Binary!L1013&gt;=1,"X",0)</f>
        <v>0</v>
      </c>
      <c r="M1013" t="str">
        <f>'Actual species'!V1013</f>
        <v>------------</v>
      </c>
    </row>
    <row r="1014" spans="1:13" x14ac:dyDescent="0.3">
      <c r="A1014" t="str">
        <f>Binary!A1014</f>
        <v>Ocypus nitens nitens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>
        <f>IF(Binary!F1014&gt;=1,"X",0)</f>
        <v>0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>
        <f>IF(Binary!J1014&gt;=1,"X",0)</f>
        <v>0</v>
      </c>
      <c r="K1014" s="137">
        <f>IF(Binary!K1014&gt;=1,"X",0)</f>
        <v>0</v>
      </c>
      <c r="L1014" s="137">
        <f>IF(Binary!L1014&gt;=1,"X",0)</f>
        <v>0</v>
      </c>
      <c r="M1014" t="str">
        <f>'Actual species'!V1014</f>
        <v>------------</v>
      </c>
    </row>
    <row r="1015" spans="1:13" x14ac:dyDescent="0.3">
      <c r="A1015" t="str">
        <f>Binary!A1015</f>
        <v>Ocypus olens</v>
      </c>
      <c r="B1015" s="137">
        <f>IF(Binary!B1015&gt;=1,"X",0)</f>
        <v>0</v>
      </c>
      <c r="C1015" s="137">
        <f>IF(Binary!C1015&gt;=1,"X",0)</f>
        <v>0</v>
      </c>
      <c r="D1015" s="137">
        <f>IF(Binary!D1015&gt;=1,"X",0)</f>
        <v>0</v>
      </c>
      <c r="E1015" s="137">
        <f>IF(Binary!E1015&gt;=1,"X",0)</f>
        <v>0</v>
      </c>
      <c r="F1015" s="137">
        <f>IF(Binary!F1015&gt;=1,"X",0)</f>
        <v>0</v>
      </c>
      <c r="G1015" s="137" t="str">
        <f>IF(Binary!G1015&gt;=1,"X",0)</f>
        <v>X</v>
      </c>
      <c r="H1015" s="137">
        <f>IF(Binary!H1015&gt;=1,"X",0)</f>
        <v>0</v>
      </c>
      <c r="I1015" s="137">
        <f>IF(Binary!I1015&gt;=1,"X",0)</f>
        <v>0</v>
      </c>
      <c r="J1015" s="137">
        <f>IF(Binary!J1015&gt;=1,"X",0)</f>
        <v>0</v>
      </c>
      <c r="K1015" s="137">
        <f>IF(Binary!K1015&gt;=1,"X",0)</f>
        <v>0</v>
      </c>
      <c r="L1015" s="137">
        <f>IF(Binary!L1015&gt;=1,"X",0)</f>
        <v>0</v>
      </c>
      <c r="M1015" t="str">
        <f>'Actual species'!V1015</f>
        <v>------------</v>
      </c>
    </row>
    <row r="1016" spans="1:13" x14ac:dyDescent="0.3">
      <c r="A1016" t="str">
        <f>Binary!A1016</f>
        <v>Ocypus ophthalmicus ophthalmicus</v>
      </c>
      <c r="B1016" s="137">
        <f>IF(Binary!B1016&gt;=1,"X",0)</f>
        <v>0</v>
      </c>
      <c r="C1016" s="137">
        <f>IF(Binary!C1016&gt;=1,"X",0)</f>
        <v>0</v>
      </c>
      <c r="D1016" s="137">
        <f>IF(Binary!D1016&gt;=1,"X",0)</f>
        <v>0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 t="str">
        <f>'Actual species'!V1016</f>
        <v>------------</v>
      </c>
    </row>
    <row r="1017" spans="1:13" x14ac:dyDescent="0.3">
      <c r="A1017" t="str">
        <f>Binary!A1017</f>
        <v xml:space="preserve">Ocypus orientis </v>
      </c>
      <c r="B1017" s="137" t="str">
        <f>IF(Binary!B1017&gt;=1,"X",0)</f>
        <v>X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>
        <f>IF(Binary!G1017&gt;=1,"X",0)</f>
        <v>0</v>
      </c>
      <c r="H1017" s="137" t="str">
        <f>IF(Binary!H1017&gt;=1,"X",0)</f>
        <v>X</v>
      </c>
      <c r="I1017" s="137">
        <f>IF(Binary!I1017&gt;=1,"X",0)</f>
        <v>0</v>
      </c>
      <c r="J1017" s="137">
        <f>IF(Binary!J1017&gt;=1,"X",0)</f>
        <v>0</v>
      </c>
      <c r="K1017" s="137" t="str">
        <f>IF(Binary!K1017&gt;=1,"X",0)</f>
        <v>X</v>
      </c>
      <c r="L1017" s="137" t="str">
        <f>IF(Binary!L1017&gt;=1,"X",0)</f>
        <v>X</v>
      </c>
      <c r="M1017" t="str">
        <f>'Actual species'!V1017</f>
        <v>------------</v>
      </c>
    </row>
    <row r="1018" spans="1:13" x14ac:dyDescent="0.3">
      <c r="A1018" t="str">
        <f>Binary!A1018</f>
        <v>Ocypus orientis (orientalis)</v>
      </c>
      <c r="B1018" s="137" t="str">
        <f>IF(Binary!B1018&gt;=1,"X",0)</f>
        <v>X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species'!V1018</f>
        <v>------------</v>
      </c>
    </row>
    <row r="1019" spans="1:13" x14ac:dyDescent="0.3">
      <c r="A1019" t="str">
        <f>Binary!A1019</f>
        <v>Ocypus picipennis</v>
      </c>
      <c r="B1019" s="137">
        <f>IF(Binary!B1019&gt;=1,"X",0)</f>
        <v>0</v>
      </c>
      <c r="C1019" s="137" t="str">
        <f>IF(Binary!C1019&gt;=1,"X",0)</f>
        <v>X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 t="str">
        <f>IF(Binary!G1019&gt;=1,"X",0)</f>
        <v>X</v>
      </c>
      <c r="H1019" s="137">
        <f>IF(Binary!H1019&gt;=1,"X",0)</f>
        <v>0</v>
      </c>
      <c r="I1019" s="137">
        <f>IF(Binary!I1019&gt;=1,"X",0)</f>
        <v>0</v>
      </c>
      <c r="J1019" s="137">
        <f>IF(Binary!J1019&gt;=1,"X",0)</f>
        <v>0</v>
      </c>
      <c r="K1019" s="137">
        <f>IF(Binary!K1019&gt;=1,"X",0)</f>
        <v>0</v>
      </c>
      <c r="L1019" s="137">
        <f>IF(Binary!L1019&gt;=1,"X",0)</f>
        <v>0</v>
      </c>
      <c r="M1019" t="str">
        <f>'Actual species'!V1019</f>
        <v>------------</v>
      </c>
    </row>
    <row r="1020" spans="1:13" x14ac:dyDescent="0.3">
      <c r="A1020" t="str">
        <f>Binary!A1020</f>
        <v>Ocypus sericeicolli</v>
      </c>
      <c r="B1020" s="137">
        <f>IF(Binary!B1020&gt;=1,"X",0)</f>
        <v>0</v>
      </c>
      <c r="C1020" s="137">
        <f>IF(Binary!C1020&gt;=1,"X",0)</f>
        <v>0</v>
      </c>
      <c r="D1020" s="137">
        <f>IF(Binary!D1020&gt;=1,"X",0)</f>
        <v>0</v>
      </c>
      <c r="E1020" s="137">
        <f>IF(Binary!E1020&gt;=1,"X",0)</f>
        <v>0</v>
      </c>
      <c r="F1020" s="137" t="str">
        <f>IF(Binary!F1020&gt;=1,"X",0)</f>
        <v>X</v>
      </c>
      <c r="G1020" s="137" t="str">
        <f>IF(Binary!G1020&gt;=1,"X",0)</f>
        <v>X</v>
      </c>
      <c r="H1020" s="137">
        <f>IF(Binary!H1020&gt;=1,"X",0)</f>
        <v>0</v>
      </c>
      <c r="I1020" s="137" t="str">
        <f>IF(Binary!I1020&gt;=1,"X",0)</f>
        <v>X</v>
      </c>
      <c r="J1020" s="137">
        <f>IF(Binary!J1020&gt;=1,"X",0)</f>
        <v>0</v>
      </c>
      <c r="K1020" s="137" t="str">
        <f>IF(Binary!K1020&gt;=1,"X",0)</f>
        <v>X</v>
      </c>
      <c r="L1020" s="137">
        <f>IF(Binary!L1020&gt;=1,"X",0)</f>
        <v>0</v>
      </c>
      <c r="M1020" t="str">
        <f>'Actual species'!V1020</f>
        <v>------------</v>
      </c>
    </row>
    <row r="1021" spans="1:13" x14ac:dyDescent="0.3">
      <c r="A1021" t="str">
        <f>Binary!A1021</f>
        <v>Ocypus simulator</v>
      </c>
      <c r="B1021" s="137">
        <f>IF(Binary!B1021&gt;=1,"X",0)</f>
        <v>0</v>
      </c>
      <c r="C1021" s="137">
        <f>IF(Binary!C1021&gt;=1,"X",0)</f>
        <v>0</v>
      </c>
      <c r="D1021" s="137">
        <f>IF(Binary!D1021&gt;=1,"X",0)</f>
        <v>0</v>
      </c>
      <c r="E1021" s="137">
        <f>IF(Binary!E1021&gt;=1,"X",0)</f>
        <v>0</v>
      </c>
      <c r="F1021" s="137">
        <f>IF(Binary!F1021&gt;=1,"X",0)</f>
        <v>0</v>
      </c>
      <c r="G1021" s="137">
        <f>IF(Binary!G1021&gt;=1,"X",0)</f>
        <v>0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species'!V1021</f>
        <v>------------</v>
      </c>
    </row>
    <row r="1022" spans="1:13" x14ac:dyDescent="0.3">
      <c r="A1022" t="str">
        <f>Binary!A1022</f>
        <v>Orthidus cribratus cribratus</v>
      </c>
      <c r="B1022" s="137">
        <f>IF(Binary!B1022&gt;=1,"X",0)</f>
        <v>0</v>
      </c>
      <c r="C1022" s="137">
        <f>IF(Binary!C1022&gt;=1,"X",0)</f>
        <v>0</v>
      </c>
      <c r="D1022" s="137">
        <f>IF(Binary!D1022&gt;=1,"X",0)</f>
        <v>0</v>
      </c>
      <c r="E1022" s="137" t="str">
        <f>IF(Binary!E1022&gt;=1,"X",0)</f>
        <v>X</v>
      </c>
      <c r="F1022" s="137">
        <f>IF(Binary!F1022&gt;=1,"X",0)</f>
        <v>0</v>
      </c>
      <c r="G1022" s="137">
        <f>IF(Binary!G1022&gt;=1,"X",0)</f>
        <v>0</v>
      </c>
      <c r="H1022" s="137">
        <f>IF(Binary!H1022&gt;=1,"X",0)</f>
        <v>0</v>
      </c>
      <c r="I1022" s="137">
        <f>IF(Binary!I1022&gt;=1,"X",0)</f>
        <v>0</v>
      </c>
      <c r="J1022" s="137">
        <f>IF(Binary!J1022&gt;=1,"X",0)</f>
        <v>0</v>
      </c>
      <c r="K1022" s="137">
        <f>IF(Binary!K1022&gt;=1,"X",0)</f>
        <v>0</v>
      </c>
      <c r="L1022" s="137">
        <f>IF(Binary!L1022&gt;=1,"X",0)</f>
        <v>0</v>
      </c>
      <c r="M1022" t="str">
        <f>'Actual species'!V1022</f>
        <v>------------</v>
      </c>
    </row>
    <row r="1023" spans="1:13" x14ac:dyDescent="0.3">
      <c r="A1023" t="str">
        <f>Binary!A1023</f>
        <v>Othius laeviusculus</v>
      </c>
      <c r="B1023" s="137" t="str">
        <f>IF(Binary!B1023&gt;=1,"X",0)</f>
        <v>X</v>
      </c>
      <c r="C1023" s="137">
        <f>IF(Binary!C1023&gt;=1,"X",0)</f>
        <v>0</v>
      </c>
      <c r="D1023" s="137">
        <f>IF(Binary!D1023&gt;=1,"X",0)</f>
        <v>0</v>
      </c>
      <c r="E1023" s="137" t="str">
        <f>IF(Binary!E1023&gt;=1,"X",0)</f>
        <v>X</v>
      </c>
      <c r="F1023" s="137" t="str">
        <f>IF(Binary!F1023&gt;=1,"X",0)</f>
        <v>X</v>
      </c>
      <c r="G1023" s="137" t="str">
        <f>IF(Binary!G1023&gt;=1,"X",0)</f>
        <v>X</v>
      </c>
      <c r="H1023" s="137" t="str">
        <f>IF(Binary!H1023&gt;=1,"X",0)</f>
        <v>X</v>
      </c>
      <c r="I1023" s="137">
        <f>IF(Binary!I1023&gt;=1,"X",0)</f>
        <v>0</v>
      </c>
      <c r="J1023" s="137">
        <f>IF(Binary!J1023&gt;=1,"X",0)</f>
        <v>0</v>
      </c>
      <c r="K1023" s="137" t="str">
        <f>IF(Binary!K1023&gt;=1,"X",0)</f>
        <v>X</v>
      </c>
      <c r="L1023" s="137" t="str">
        <f>IF(Binary!L1023&gt;=1,"X",0)</f>
        <v>X</v>
      </c>
      <c r="M1023" t="str">
        <f>'Actual species'!V1023</f>
        <v>------------</v>
      </c>
    </row>
    <row r="1024" spans="1:13" x14ac:dyDescent="0.3">
      <c r="A1024" t="str">
        <f>Binary!A1024</f>
        <v>Othius lapidicola</v>
      </c>
      <c r="B1024" s="137">
        <f>IF(Binary!B1024&gt;=1,"X",0)</f>
        <v>0</v>
      </c>
      <c r="C1024" s="137" t="str">
        <f>IF(Binary!C1024&gt;=1,"X",0)</f>
        <v>X</v>
      </c>
      <c r="D1024" s="137" t="str">
        <f>IF(Binary!D1024&gt;=1,"X",0)</f>
        <v>X</v>
      </c>
      <c r="E1024" s="137" t="str">
        <f>IF(Binary!E1024&gt;=1,"X",0)</f>
        <v>X</v>
      </c>
      <c r="F1024" s="137" t="str">
        <f>IF(Binary!F1024&gt;=1,"X",0)</f>
        <v>X</v>
      </c>
      <c r="G1024" s="137" t="str">
        <f>IF(Binary!G1024&gt;=1,"X",0)</f>
        <v>X</v>
      </c>
      <c r="H1024" s="137" t="str">
        <f>IF(Binary!H1024&gt;=1,"X",0)</f>
        <v>X</v>
      </c>
      <c r="I1024" s="137" t="str">
        <f>IF(Binary!I1024&gt;=1,"X",0)</f>
        <v>X</v>
      </c>
      <c r="J1024" s="137" t="str">
        <f>IF(Binary!J1024&gt;=1,"X",0)</f>
        <v>X</v>
      </c>
      <c r="K1024" s="137" t="str">
        <f>IF(Binary!K1024&gt;=1,"X",0)</f>
        <v>X</v>
      </c>
      <c r="L1024" s="137" t="str">
        <f>IF(Binary!L1024&gt;=1,"X",0)</f>
        <v>X</v>
      </c>
      <c r="M1024" t="str">
        <f>'Actual species'!V1024</f>
        <v>------------</v>
      </c>
    </row>
    <row r="1025" spans="1:13" x14ac:dyDescent="0.3">
      <c r="A1025" t="str">
        <f>Binary!A1025</f>
        <v>Othius punctulatus</v>
      </c>
      <c r="B1025" s="137">
        <f>IF(Binary!B1025&gt;=1,"X",0)</f>
        <v>0</v>
      </c>
      <c r="C1025" s="137">
        <f>IF(Binary!C1025&gt;=1,"X",0)</f>
        <v>0</v>
      </c>
      <c r="D1025" s="137">
        <f>IF(Binary!D1025&gt;=1,"X",0)</f>
        <v>0</v>
      </c>
      <c r="E1025" s="137">
        <f>IF(Binary!E1025&gt;=1,"X",0)</f>
        <v>0</v>
      </c>
      <c r="F1025" s="137">
        <f>IF(Binary!F1025&gt;=1,"X",0)</f>
        <v>0</v>
      </c>
      <c r="G1025" s="137">
        <f>IF(Binary!G1025&gt;=1,"X",0)</f>
        <v>0</v>
      </c>
      <c r="H1025" s="137">
        <f>IF(Binary!H1025&gt;=1,"X",0)</f>
        <v>0</v>
      </c>
      <c r="I1025" s="137">
        <f>IF(Binary!I1025&gt;=1,"X",0)</f>
        <v>0</v>
      </c>
      <c r="J1025" s="137">
        <f>IF(Binary!J1025&gt;=1,"X",0)</f>
        <v>0</v>
      </c>
      <c r="K1025" s="137">
        <f>IF(Binary!K1025&gt;=1,"X",0)</f>
        <v>0</v>
      </c>
      <c r="L1025" s="137">
        <f>IF(Binary!L1025&gt;=1,"X",0)</f>
        <v>0</v>
      </c>
      <c r="M1025" t="str">
        <f>'Actual species'!V1025</f>
        <v>------------</v>
      </c>
    </row>
    <row r="1026" spans="1:13" x14ac:dyDescent="0.3">
      <c r="A1026" t="str">
        <f>Binary!A1026</f>
        <v>Phacophallus parumpunctatus</v>
      </c>
      <c r="B1026" s="137">
        <f>IF(Binary!B1026&gt;=1,"X",0)</f>
        <v>0</v>
      </c>
      <c r="C1026" s="137">
        <f>IF(Binary!C1026&gt;=1,"X",0)</f>
        <v>0</v>
      </c>
      <c r="D1026" s="137">
        <f>IF(Binary!D1026&gt;=1,"X",0)</f>
        <v>0</v>
      </c>
      <c r="E1026" s="137">
        <f>IF(Binary!E1026&gt;=1,"X",0)</f>
        <v>0</v>
      </c>
      <c r="F1026" s="137">
        <f>IF(Binary!F1026&gt;=1,"X",0)</f>
        <v>0</v>
      </c>
      <c r="G1026" s="137">
        <f>IF(Binary!G1026&gt;=1,"X",0)</f>
        <v>0</v>
      </c>
      <c r="H1026" s="137" t="str">
        <f>IF(Binary!H1026&gt;=1,"X",0)</f>
        <v>X</v>
      </c>
      <c r="I1026" s="137">
        <f>IF(Binary!I1026&gt;=1,"X",0)</f>
        <v>0</v>
      </c>
      <c r="J1026" s="137">
        <f>IF(Binary!J1026&gt;=1,"X",0)</f>
        <v>0</v>
      </c>
      <c r="K1026" s="137">
        <f>IF(Binary!K1026&gt;=1,"X",0)</f>
        <v>0</v>
      </c>
      <c r="L1026" s="137">
        <f>IF(Binary!L1026&gt;=1,"X",0)</f>
        <v>0</v>
      </c>
      <c r="M1026" t="str">
        <f>'Actual species'!V1026</f>
        <v>------------</v>
      </c>
    </row>
    <row r="1027" spans="1:13" x14ac:dyDescent="0.3">
      <c r="A1027" t="str">
        <f>Binary!A1027</f>
        <v>Philonthus carbonarius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species'!V1027</f>
        <v>------------</v>
      </c>
    </row>
    <row r="1028" spans="1:13" x14ac:dyDescent="0.3">
      <c r="A1028" t="str">
        <f>Binary!A1028</f>
        <v>Philonthus concinnus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 t="str">
        <f>IF(Binary!E1028&gt;=1,"X",0)</f>
        <v>X</v>
      </c>
      <c r="F1028" s="137">
        <f>IF(Binary!F1028&gt;=1,"X",0)</f>
        <v>0</v>
      </c>
      <c r="G1028" s="137" t="str">
        <f>IF(Binary!G1028&gt;=1,"X",0)</f>
        <v>X</v>
      </c>
      <c r="H1028" s="137" t="str">
        <f>IF(Binary!H1028&gt;=1,"X",0)</f>
        <v>X</v>
      </c>
      <c r="I1028" s="137">
        <f>IF(Binary!I1028&gt;=1,"X",0)</f>
        <v>0</v>
      </c>
      <c r="J1028" s="137">
        <f>IF(Binary!J1028&gt;=1,"X",0)</f>
        <v>0</v>
      </c>
      <c r="K1028" s="137">
        <f>IF(Binary!K1028&gt;=1,"X",0)</f>
        <v>0</v>
      </c>
      <c r="L1028" s="137">
        <f>IF(Binary!L1028&gt;=1,"X",0)</f>
        <v>0</v>
      </c>
      <c r="M1028" t="str">
        <f>'Actual species'!V1028</f>
        <v>------------</v>
      </c>
    </row>
    <row r="1029" spans="1:13" x14ac:dyDescent="0.3">
      <c r="A1029" t="str">
        <f>Binary!A1029</f>
        <v>Philonthus corruscus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>
        <f>IF(Binary!H1029&gt;=1,"X",0)</f>
        <v>0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species'!V1029</f>
        <v>------------</v>
      </c>
    </row>
    <row r="1030" spans="1:13" x14ac:dyDescent="0.3">
      <c r="A1030" t="str">
        <f>Binary!A1030</f>
        <v>Philonthus cruentatus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>
        <f>IF(Binary!E1030&gt;=1,"X",0)</f>
        <v>0</v>
      </c>
      <c r="F1030" s="137">
        <f>IF(Binary!F1030&gt;=1,"X",0)</f>
        <v>0</v>
      </c>
      <c r="G1030" s="137">
        <f>IF(Binary!G1030&gt;=1,"X",0)</f>
        <v>0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species'!V1030</f>
        <v>------------</v>
      </c>
    </row>
    <row r="1031" spans="1:13" x14ac:dyDescent="0.3">
      <c r="A1031" t="str">
        <f>Binary!A1031</f>
        <v>Philonthus debilis</v>
      </c>
      <c r="B1031" s="137">
        <f>IF(Binary!B1031&gt;=1,"X",0)</f>
        <v>0</v>
      </c>
      <c r="C1031" s="137" t="str">
        <f>IF(Binary!C1031&gt;=1,"X",0)</f>
        <v>X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 t="str">
        <f>IF(Binary!J1031&gt;=1,"X",0)</f>
        <v>X</v>
      </c>
      <c r="K1031" s="137">
        <f>IF(Binary!K1031&gt;=1,"X",0)</f>
        <v>0</v>
      </c>
      <c r="L1031" s="137">
        <f>IF(Binary!L1031&gt;=1,"X",0)</f>
        <v>0</v>
      </c>
      <c r="M1031" t="str">
        <f>'Actual species'!V1031</f>
        <v>------------</v>
      </c>
    </row>
    <row r="1032" spans="1:13" x14ac:dyDescent="0.3">
      <c r="A1032" t="str">
        <f>Binary!A1032</f>
        <v>Philonthus decorus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>
        <f>IF(Binary!H1032&gt;=1,"X",0)</f>
        <v>0</v>
      </c>
      <c r="I1032" s="137">
        <f>IF(Binary!I1032&gt;=1,"X",0)</f>
        <v>0</v>
      </c>
      <c r="J1032" s="137">
        <f>IF(Binary!J1032&gt;=1,"X",0)</f>
        <v>0</v>
      </c>
      <c r="K1032" s="137">
        <f>IF(Binary!K1032&gt;=1,"X",0)</f>
        <v>0</v>
      </c>
      <c r="L1032" s="137">
        <f>IF(Binary!L1032&gt;=1,"X",0)</f>
        <v>0</v>
      </c>
      <c r="M1032" t="str">
        <f>'Actual species'!V1032</f>
        <v>------------</v>
      </c>
    </row>
    <row r="1033" spans="1:13" x14ac:dyDescent="0.3">
      <c r="A1033" t="str">
        <f>Binary!A1033</f>
        <v>Philonthus discoideus</v>
      </c>
      <c r="B1033" s="137" t="str">
        <f>IF(Binary!B1033&gt;=1,"X",0)</f>
        <v>X</v>
      </c>
      <c r="C1033" s="137">
        <f>IF(Binary!C1033&gt;=1,"X",0)</f>
        <v>0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 t="str">
        <f>IF(Binary!J1033&gt;=1,"X",0)</f>
        <v>X</v>
      </c>
      <c r="K1033" s="137">
        <f>IF(Binary!K1033&gt;=1,"X",0)</f>
        <v>0</v>
      </c>
      <c r="L1033" s="137">
        <f>IF(Binary!L1033&gt;=1,"X",0)</f>
        <v>0</v>
      </c>
      <c r="M1033" t="str">
        <f>'Actual species'!V1033</f>
        <v>------------</v>
      </c>
    </row>
    <row r="1034" spans="1:13" x14ac:dyDescent="0.3">
      <c r="A1034" t="str">
        <f>Binary!A1034</f>
        <v>Philonthus diversiceps</v>
      </c>
      <c r="B1034" s="137" t="str">
        <f>IF(Binary!B1034&gt;=1,"X",0)</f>
        <v>X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species'!V1034</f>
        <v>------------</v>
      </c>
    </row>
    <row r="1035" spans="1:13" x14ac:dyDescent="0.3">
      <c r="A1035" t="str">
        <f>Binary!A1035</f>
        <v>Philonthus ebeninus</v>
      </c>
      <c r="B1035" s="137">
        <f>IF(Binary!B1035&gt;=1,"X",0)</f>
        <v>0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 t="str">
        <f>IF(Binary!H1035&gt;=1,"X",0)</f>
        <v>X</v>
      </c>
      <c r="I1035" s="137">
        <f>IF(Binary!I1035&gt;=1,"X",0)</f>
        <v>0</v>
      </c>
      <c r="J1035" s="137">
        <f>IF(Binary!J1035&gt;=1,"X",0)</f>
        <v>0</v>
      </c>
      <c r="K1035" s="137">
        <f>IF(Binary!K1035&gt;=1,"X",0)</f>
        <v>0</v>
      </c>
      <c r="L1035" s="137">
        <f>IF(Binary!L1035&gt;=1,"X",0)</f>
        <v>0</v>
      </c>
      <c r="M1035" t="str">
        <f>'Actual species'!V1035</f>
        <v>------------</v>
      </c>
    </row>
    <row r="1036" spans="1:13" x14ac:dyDescent="0.3">
      <c r="A1036" t="str">
        <f>Binary!A1036</f>
        <v>Philonthus fumarius</v>
      </c>
      <c r="B1036" s="137">
        <f>IF(Binary!B1036&gt;=1,"X",0)</f>
        <v>0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species'!V1036</f>
        <v>------------</v>
      </c>
    </row>
    <row r="1037" spans="1:13" x14ac:dyDescent="0.3">
      <c r="A1037" t="str">
        <f>Binary!A1037</f>
        <v>Philonthus heterodoxus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>
        <f>IF(Binary!H1037&gt;=1,"X",0)</f>
        <v>0</v>
      </c>
      <c r="I1037" s="137">
        <f>IF(Binary!I1037&gt;=1,"X",0)</f>
        <v>0</v>
      </c>
      <c r="J1037" s="137">
        <f>IF(Binary!J1037&gt;=1,"X",0)</f>
        <v>0</v>
      </c>
      <c r="K1037" s="137">
        <f>IF(Binary!K1037&gt;=1,"X",0)</f>
        <v>0</v>
      </c>
      <c r="L1037" s="137">
        <f>IF(Binary!L1037&gt;=1,"X",0)</f>
        <v>0</v>
      </c>
      <c r="M1037" t="str">
        <f>'Actual species'!V1037</f>
        <v>------------</v>
      </c>
    </row>
    <row r="1038" spans="1:13" x14ac:dyDescent="0.3">
      <c r="A1038" t="str">
        <f>Binary!A1038</f>
        <v>Philonthus intermedius</v>
      </c>
      <c r="B1038" s="137" t="str">
        <f>IF(Binary!B1038&gt;=1,"X",0)</f>
        <v>X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>
        <f>IF(Binary!F1038&gt;=1,"X",0)</f>
        <v>0</v>
      </c>
      <c r="G1038" s="137" t="str">
        <f>IF(Binary!G1038&gt;=1,"X",0)</f>
        <v>X</v>
      </c>
      <c r="H1038" s="137">
        <f>IF(Binary!H1038&gt;=1,"X",0)</f>
        <v>0</v>
      </c>
      <c r="I1038" s="137">
        <f>IF(Binary!I1038&gt;=1,"X",0)</f>
        <v>0</v>
      </c>
      <c r="J1038" s="137" t="str">
        <f>IF(Binary!J1038&gt;=1,"X",0)</f>
        <v>X</v>
      </c>
      <c r="K1038" s="137">
        <f>IF(Binary!K1038&gt;=1,"X",0)</f>
        <v>0</v>
      </c>
      <c r="L1038" s="137">
        <f>IF(Binary!L1038&gt;=1,"X",0)</f>
        <v>0</v>
      </c>
      <c r="M1038" t="str">
        <f>'Actual species'!V1038</f>
        <v>------------</v>
      </c>
    </row>
    <row r="1039" spans="1:13" x14ac:dyDescent="0.3">
      <c r="A1039" t="str">
        <f>Binary!A1039</f>
        <v>Philonthus juvenilis</v>
      </c>
      <c r="B1039" s="137">
        <f>IF(Binary!B1039&gt;=1,"X",0)</f>
        <v>0</v>
      </c>
      <c r="C1039" s="137">
        <f>IF(Binary!C1039&gt;=1,"X",0)</f>
        <v>0</v>
      </c>
      <c r="D1039" s="137" t="str">
        <f>IF(Binary!D1039&gt;=1,"X",0)</f>
        <v>X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>
        <f>IF(Binary!J1039&gt;=1,"X",0)</f>
        <v>0</v>
      </c>
      <c r="K1039" s="137">
        <f>IF(Binary!K1039&gt;=1,"X",0)</f>
        <v>0</v>
      </c>
      <c r="L1039" s="137">
        <f>IF(Binary!L1039&gt;=1,"X",0)</f>
        <v>0</v>
      </c>
      <c r="M1039" t="str">
        <f>'Actual species'!V1039</f>
        <v>------------</v>
      </c>
    </row>
    <row r="1040" spans="1:13" x14ac:dyDescent="0.3">
      <c r="A1040" t="str">
        <f>Binary!A1040</f>
        <v>Philonthus mannerheimi</v>
      </c>
      <c r="B1040" s="137">
        <f>IF(Binary!B1040&gt;=1,"X",0)</f>
        <v>0</v>
      </c>
      <c r="C1040" s="137">
        <f>IF(Binary!C1040&gt;=1,"X",0)</f>
        <v>0</v>
      </c>
      <c r="D1040" s="137">
        <f>IF(Binary!D1040&gt;=1,"X",0)</f>
        <v>0</v>
      </c>
      <c r="E1040" s="137">
        <f>IF(Binary!E1040&gt;=1,"X",0)</f>
        <v>0</v>
      </c>
      <c r="F1040" s="137">
        <f>IF(Binary!F1040&gt;=1,"X",0)</f>
        <v>0</v>
      </c>
      <c r="G1040" s="137">
        <f>IF(Binary!G1040&gt;=1,"X",0)</f>
        <v>0</v>
      </c>
      <c r="H1040" s="137">
        <f>IF(Binary!H1040&gt;=1,"X",0)</f>
        <v>0</v>
      </c>
      <c r="I1040" s="137">
        <f>IF(Binary!I1040&gt;=1,"X",0)</f>
        <v>0</v>
      </c>
      <c r="J1040" s="137">
        <f>IF(Binary!J1040&gt;=1,"X",0)</f>
        <v>0</v>
      </c>
      <c r="K1040" s="137">
        <f>IF(Binary!K1040&gt;=1,"X",0)</f>
        <v>0</v>
      </c>
      <c r="L1040" s="137">
        <f>IF(Binary!L1040&gt;=1,"X",0)</f>
        <v>0</v>
      </c>
      <c r="M1040" t="str">
        <f>'Actual species'!V1040</f>
        <v>------------</v>
      </c>
    </row>
    <row r="1041" spans="1:13" x14ac:dyDescent="0.3">
      <c r="A1041" t="str">
        <f>Binary!A1041</f>
        <v>Philonthus micans</v>
      </c>
      <c r="B1041" s="137">
        <f>IF(Binary!B1041&gt;=1,"X",0)</f>
        <v>0</v>
      </c>
      <c r="C1041" s="137">
        <f>IF(Binary!C1041&gt;=1,"X",0)</f>
        <v>0</v>
      </c>
      <c r="D1041" s="137">
        <f>IF(Binary!D1041&gt;=1,"X",0)</f>
        <v>0</v>
      </c>
      <c r="E1041" s="137">
        <f>IF(Binary!E1041&gt;=1,"X",0)</f>
        <v>0</v>
      </c>
      <c r="F1041" s="137" t="str">
        <f>IF(Binary!F1041&gt;=1,"X",0)</f>
        <v>X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 t="str">
        <f>IF(Binary!J1041&gt;=1,"X",0)</f>
        <v>X</v>
      </c>
      <c r="K1041" s="137">
        <f>IF(Binary!K1041&gt;=1,"X",0)</f>
        <v>0</v>
      </c>
      <c r="L1041" s="137">
        <f>IF(Binary!L1041&gt;=1,"X",0)</f>
        <v>0</v>
      </c>
      <c r="M1041" t="str">
        <f>'Actual species'!V1041</f>
        <v>------------</v>
      </c>
    </row>
    <row r="1042" spans="1:13" x14ac:dyDescent="0.3">
      <c r="A1042" t="str">
        <f>Binary!A1042</f>
        <v>Philonthus mimus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>
        <f>IF(Binary!G1042&gt;=1,"X",0)</f>
        <v>0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species'!V1042</f>
        <v>------------</v>
      </c>
    </row>
    <row r="1043" spans="1:13" x14ac:dyDescent="0.3">
      <c r="A1043" t="str">
        <f>Binary!A1043</f>
        <v>Philonthus nitidicollis</v>
      </c>
      <c r="B1043" s="137" t="str">
        <f>IF(Binary!B1043&gt;=1,"X",0)</f>
        <v>X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 t="str">
        <f>IF(Binary!F1043&gt;=1,"X",0)</f>
        <v>X</v>
      </c>
      <c r="G1043" s="137" t="str">
        <f>IF(Binary!G1043&gt;=1,"X",0)</f>
        <v>X</v>
      </c>
      <c r="H1043" s="137">
        <f>IF(Binary!H1043&gt;=1,"X",0)</f>
        <v>0</v>
      </c>
      <c r="I1043" s="137">
        <f>IF(Binary!I1043&gt;=1,"X",0)</f>
        <v>0</v>
      </c>
      <c r="J1043" s="137">
        <f>IF(Binary!J1043&gt;=1,"X",0)</f>
        <v>0</v>
      </c>
      <c r="K1043" s="137">
        <f>IF(Binary!K1043&gt;=1,"X",0)</f>
        <v>0</v>
      </c>
      <c r="L1043" s="137">
        <f>IF(Binary!L1043&gt;=1,"X",0)</f>
        <v>0</v>
      </c>
      <c r="M1043" t="str">
        <f>'Actual species'!V1043</f>
        <v>------------</v>
      </c>
    </row>
    <row r="1044" spans="1:13" x14ac:dyDescent="0.3">
      <c r="A1044" t="str">
        <f>Binary!A1044</f>
        <v>Philonthus oblitus</v>
      </c>
      <c r="B1044" s="137">
        <f>IF(Binary!B1044&gt;=1,"X",0)</f>
        <v>0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>
        <f>IF(Binary!H1044&gt;=1,"X",0)</f>
        <v>0</v>
      </c>
      <c r="I1044" s="137">
        <f>IF(Binary!I1044&gt;=1,"X",0)</f>
        <v>0</v>
      </c>
      <c r="J1044" s="137">
        <f>IF(Binary!J1044&gt;=1,"X",0)</f>
        <v>0</v>
      </c>
      <c r="K1044" s="137">
        <f>IF(Binary!K1044&gt;=1,"X",0)</f>
        <v>0</v>
      </c>
      <c r="L1044" s="137">
        <f>IF(Binary!L1044&gt;=1,"X",0)</f>
        <v>0</v>
      </c>
      <c r="M1044" t="str">
        <f>'Actual species'!V1044</f>
        <v>------------</v>
      </c>
    </row>
    <row r="1045" spans="1:13" x14ac:dyDescent="0.3">
      <c r="A1045" t="str">
        <f>Binary!A1045</f>
        <v>Philonthus parvicornis</v>
      </c>
      <c r="B1045" s="137">
        <f>IF(Binary!B1045&gt;=1,"X",0)</f>
        <v>0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>
        <f>IF(Binary!F1045&gt;=1,"X",0)</f>
        <v>0</v>
      </c>
      <c r="G1045" s="137">
        <f>IF(Binary!G1045&gt;=1,"X",0)</f>
        <v>0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species'!V1045</f>
        <v>------------</v>
      </c>
    </row>
    <row r="1046" spans="1:13" x14ac:dyDescent="0.3">
      <c r="A1046" t="str">
        <f>Binary!A1046</f>
        <v>Philonthus pseudovarians</v>
      </c>
      <c r="B1046" s="137">
        <f>IF(Binary!B1046&gt;=1,"X",0)</f>
        <v>0</v>
      </c>
      <c r="C1046" s="137">
        <f>IF(Binary!C1046&gt;=1,"X",0)</f>
        <v>0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>
        <f>IF(Binary!G1046&gt;=1,"X",0)</f>
        <v>0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species'!V1046</f>
        <v>------------</v>
      </c>
    </row>
    <row r="1047" spans="1:13" x14ac:dyDescent="0.3">
      <c r="A1047" t="str">
        <f>Binary!A1047</f>
        <v>Philonthus quisquilarius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 t="str">
        <f>IF(Binary!E1047&gt;=1,"X",0)</f>
        <v>X</v>
      </c>
      <c r="F1047" s="137">
        <f>IF(Binary!F1047&gt;=1,"X",0)</f>
        <v>0</v>
      </c>
      <c r="G1047" s="137" t="str">
        <f>IF(Binary!G1047&gt;=1,"X",0)</f>
        <v>X</v>
      </c>
      <c r="H1047" s="137">
        <f>IF(Binary!H1047&gt;=1,"X",0)</f>
        <v>0</v>
      </c>
      <c r="I1047" s="137">
        <f>IF(Binary!I1047&gt;=1,"X",0)</f>
        <v>0</v>
      </c>
      <c r="J1047" s="137">
        <f>IF(Binary!J1047&gt;=1,"X",0)</f>
        <v>0</v>
      </c>
      <c r="K1047" s="137">
        <f>IF(Binary!K1047&gt;=1,"X",0)</f>
        <v>0</v>
      </c>
      <c r="L1047" s="137">
        <f>IF(Binary!L1047&gt;=1,"X",0)</f>
        <v>0</v>
      </c>
      <c r="M1047" t="str">
        <f>'Actual species'!V1047</f>
        <v>------------</v>
      </c>
    </row>
    <row r="1048" spans="1:13" x14ac:dyDescent="0.3">
      <c r="A1048" t="str">
        <f>Binary!A1048</f>
        <v>Philonthus rubripennis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species'!V1048</f>
        <v>------------</v>
      </c>
    </row>
    <row r="1049" spans="1:13" x14ac:dyDescent="0.3">
      <c r="A1049" t="str">
        <f>Binary!A1049</f>
        <v>Philonthus rufimanus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>
        <f>IF(Binary!E1049&gt;=1,"X",0)</f>
        <v>0</v>
      </c>
      <c r="F1049" s="137" t="str">
        <f>IF(Binary!F1049&gt;=1,"X",0)</f>
        <v>X</v>
      </c>
      <c r="G1049" s="137" t="str">
        <f>IF(Binary!G1049&gt;=1,"X",0)</f>
        <v>X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species'!V1049</f>
        <v>------------</v>
      </c>
    </row>
    <row r="1050" spans="1:13" x14ac:dyDescent="0.3">
      <c r="A1050" t="str">
        <f>Binary!A1050</f>
        <v>Philonthus salinus</v>
      </c>
      <c r="B1050" s="137">
        <f>IF(Binary!B1050&gt;=1,"X",0)</f>
        <v>0</v>
      </c>
      <c r="C1050" s="137">
        <f>IF(Binary!C1050&gt;=1,"X",0)</f>
        <v>0</v>
      </c>
      <c r="D1050" s="137">
        <f>IF(Binary!D1050&gt;=1,"X",0)</f>
        <v>0</v>
      </c>
      <c r="E1050" s="137">
        <f>IF(Binary!E1050&gt;=1,"X",0)</f>
        <v>0</v>
      </c>
      <c r="F1050" s="137" t="str">
        <f>IF(Binary!F1050&gt;=1,"X",0)</f>
        <v>X</v>
      </c>
      <c r="G1050" s="137">
        <f>IF(Binary!G1050&gt;=1,"X",0)</f>
        <v>0</v>
      </c>
      <c r="H1050" s="137">
        <f>IF(Binary!H1050&gt;=1,"X",0)</f>
        <v>0</v>
      </c>
      <c r="I1050" s="137">
        <f>IF(Binary!I1050&gt;=1,"X",0)</f>
        <v>0</v>
      </c>
      <c r="J1050" s="137">
        <f>IF(Binary!J1050&gt;=1,"X",0)</f>
        <v>0</v>
      </c>
      <c r="K1050" s="137">
        <f>IF(Binary!K1050&gt;=1,"X",0)</f>
        <v>0</v>
      </c>
      <c r="L1050" s="137">
        <f>IF(Binary!L1050&gt;=1,"X",0)</f>
        <v>0</v>
      </c>
      <c r="M1050" t="str">
        <f>'Actual species'!V1050</f>
        <v>------------</v>
      </c>
    </row>
    <row r="1051" spans="1:13" x14ac:dyDescent="0.3">
      <c r="A1051" t="str">
        <f>Binary!A1051</f>
        <v>Philonthus umbratilis</v>
      </c>
      <c r="B1051" s="137">
        <f>IF(Binary!B1051&gt;=1,"X",0)</f>
        <v>0</v>
      </c>
      <c r="C1051" s="137">
        <f>IF(Binary!C1051&gt;=1,"X",0)</f>
        <v>0</v>
      </c>
      <c r="D1051" s="137">
        <f>IF(Binary!D1051&gt;=1,"X",0)</f>
        <v>0</v>
      </c>
      <c r="E1051" s="137">
        <f>IF(Binary!E1051&gt;=1,"X",0)</f>
        <v>0</v>
      </c>
      <c r="F1051" s="137">
        <f>IF(Binary!F1051&gt;=1,"X",0)</f>
        <v>0</v>
      </c>
      <c r="G1051" s="137">
        <f>IF(Binary!G1051&gt;=1,"X",0)</f>
        <v>0</v>
      </c>
      <c r="H1051" s="137">
        <f>IF(Binary!H1051&gt;=1,"X",0)</f>
        <v>0</v>
      </c>
      <c r="I1051" s="137">
        <f>IF(Binary!I1051&gt;=1,"X",0)</f>
        <v>0</v>
      </c>
      <c r="J1051" s="137">
        <f>IF(Binary!J1051&gt;=1,"X",0)</f>
        <v>0</v>
      </c>
      <c r="K1051" s="137">
        <f>IF(Binary!K1051&gt;=1,"X",0)</f>
        <v>0</v>
      </c>
      <c r="L1051" s="137">
        <f>IF(Binary!L1051&gt;=1,"X",0)</f>
        <v>0</v>
      </c>
      <c r="M1051" t="str">
        <f>'Actual species'!V1051</f>
        <v>------------</v>
      </c>
    </row>
    <row r="1052" spans="1:13" x14ac:dyDescent="0.3">
      <c r="A1052" t="str">
        <f>Binary!A1052</f>
        <v>Platyprosopus hierochonticus</v>
      </c>
      <c r="B1052" s="137" t="str">
        <f>IF(Binary!B1052&gt;=1,"X",0)</f>
        <v>X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>
        <f>IF(Binary!F1052&gt;=1,"X",0)</f>
        <v>0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species'!V1052</f>
        <v>------------</v>
      </c>
    </row>
    <row r="1053" spans="1:13" x14ac:dyDescent="0.3">
      <c r="A1053" t="str">
        <f>Binary!A1053</f>
        <v>Quedius acuminatus phenicus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>
        <f>IF(Binary!H1053&gt;=1,"X",0)</f>
        <v>0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 t="str">
        <f>'Actual species'!V1053</f>
        <v>------------</v>
      </c>
    </row>
    <row r="1054" spans="1:13" x14ac:dyDescent="0.3">
      <c r="A1054" t="str">
        <f>Binary!A1054</f>
        <v>Quedius abietum</v>
      </c>
      <c r="B1054" s="137">
        <f>IF(Binary!B1054&gt;=1,"X",0)</f>
        <v>0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species'!V1054</f>
        <v>------------</v>
      </c>
    </row>
    <row r="1055" spans="1:13" x14ac:dyDescent="0.3">
      <c r="A1055" t="str">
        <f>Binary!A1055</f>
        <v>Quedius bernhaueri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>
        <f>IF(Binary!E1055&gt;=1,"X",0)</f>
        <v>0</v>
      </c>
      <c r="F1055" s="137">
        <f>IF(Binary!F1055&gt;=1,"X",0)</f>
        <v>0</v>
      </c>
      <c r="G1055" s="137">
        <f>IF(Binary!G1055&gt;=1,"X",0)</f>
        <v>0</v>
      </c>
      <c r="H1055" s="137">
        <f>IF(Binary!H1055&gt;=1,"X",0)</f>
        <v>0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species'!V1055</f>
        <v>------------</v>
      </c>
    </row>
    <row r="1056" spans="1:13" x14ac:dyDescent="0.3">
      <c r="A1056" t="str">
        <f>Binary!A1056</f>
        <v>Quedius boops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 t="str">
        <f>IF(Binary!J1056&gt;=1,"X",0)</f>
        <v>X</v>
      </c>
      <c r="K1056" s="137">
        <f>IF(Binary!K1056&gt;=1,"X",0)</f>
        <v>0</v>
      </c>
      <c r="L1056" s="137">
        <f>IF(Binary!L1056&gt;=1,"X",0)</f>
        <v>0</v>
      </c>
      <c r="M1056" t="str">
        <f>'Actual species'!V1056</f>
        <v>------------</v>
      </c>
    </row>
    <row r="1057" spans="1:13" x14ac:dyDescent="0.3">
      <c r="A1057" t="str">
        <f>Binary!A1057</f>
        <v>Quedius cf. hellenicus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 t="str">
        <f>IF(Binary!E1057&gt;=1,"X",0)</f>
        <v>X</v>
      </c>
      <c r="F1057" s="137">
        <f>IF(Binary!F1057&gt;=1,"X",0)</f>
        <v>0</v>
      </c>
      <c r="G1057" s="137">
        <f>IF(Binary!G1057&gt;=1,"X",0)</f>
        <v>0</v>
      </c>
      <c r="H1057" s="137">
        <f>IF(Binary!H1057&gt;=1,"X",0)</f>
        <v>0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species'!V1057</f>
        <v>------------</v>
      </c>
    </row>
    <row r="1058" spans="1:13" x14ac:dyDescent="0.3">
      <c r="A1058" t="str">
        <f>Binary!A1058</f>
        <v>Quedius cf. Paganettii</v>
      </c>
      <c r="B1058" s="137">
        <f>IF(Binary!B1058&gt;=1,"X",0)</f>
        <v>0</v>
      </c>
      <c r="C1058" s="137">
        <f>IF(Binary!C1058&gt;=1,"X",0)</f>
        <v>0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>
        <f>IF(Binary!J1058&gt;=1,"X",0)</f>
        <v>0</v>
      </c>
      <c r="K1058" s="137">
        <f>IF(Binary!K1058&gt;=1,"X",0)</f>
        <v>0</v>
      </c>
      <c r="L1058" s="137">
        <f>IF(Binary!L1058&gt;=1,"X",0)</f>
        <v>0</v>
      </c>
      <c r="M1058" t="str">
        <f>'Actual species'!V1058</f>
        <v>------------</v>
      </c>
    </row>
    <row r="1059" spans="1:13" x14ac:dyDescent="0.3">
      <c r="A1059" t="str">
        <f>Binary!A1059</f>
        <v>Quedius cinctus</v>
      </c>
      <c r="B1059" s="137" t="str">
        <f>IF(Binary!B1059&gt;=1,"X",0)</f>
        <v>X</v>
      </c>
      <c r="C1059" s="137">
        <f>IF(Binary!C1059&gt;=1,"X",0)</f>
        <v>0</v>
      </c>
      <c r="D1059" s="137">
        <f>IF(Binary!D1059&gt;=1,"X",0)</f>
        <v>0</v>
      </c>
      <c r="E1059" s="137">
        <f>IF(Binary!E1059&gt;=1,"X",0)</f>
        <v>0</v>
      </c>
      <c r="F1059" s="137">
        <f>IF(Binary!F1059&gt;=1,"X",0)</f>
        <v>0</v>
      </c>
      <c r="G1059" s="137" t="str">
        <f>IF(Binary!G1059&gt;=1,"X",0)</f>
        <v>X</v>
      </c>
      <c r="H1059" s="137" t="str">
        <f>IF(Binary!H1059&gt;=1,"X",0)</f>
        <v>X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species'!V1059</f>
        <v>------------</v>
      </c>
    </row>
    <row r="1060" spans="1:13" x14ac:dyDescent="0.3">
      <c r="A1060" t="str">
        <f>Binary!A1060</f>
        <v>Quedius coloratus</v>
      </c>
      <c r="B1060" s="137">
        <f>IF(Binary!B1060&gt;=1,"X",0)</f>
        <v>0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 t="str">
        <f>IF(Binary!F1060&gt;=1,"X",0)</f>
        <v>X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>
        <f>IF(Binary!J1060&gt;=1,"X",0)</f>
        <v>0</v>
      </c>
      <c r="K1060" s="137">
        <f>IF(Binary!K1060&gt;=1,"X",0)</f>
        <v>0</v>
      </c>
      <c r="L1060" s="137" t="str">
        <f>IF(Binary!L1060&gt;=1,"X",0)</f>
        <v>X</v>
      </c>
      <c r="M1060" t="str">
        <f>'Actual species'!V1060</f>
        <v>------------</v>
      </c>
    </row>
    <row r="1061" spans="1:13" x14ac:dyDescent="0.3">
      <c r="A1061" t="str">
        <f>Binary!A1061</f>
        <v>Quedius coxalis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>
        <f>IF(Binary!G1061&gt;=1,"X",0)</f>
        <v>0</v>
      </c>
      <c r="H1061" s="137">
        <f>IF(Binary!H1061&gt;=1,"X",0)</f>
        <v>0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species'!V1061</f>
        <v>------------</v>
      </c>
    </row>
    <row r="1062" spans="1:13" x14ac:dyDescent="0.3">
      <c r="A1062" t="str">
        <f>Binary!A1062</f>
        <v>Quedius curtidens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 t="str">
        <f>IF(Binary!E1062&gt;=1,"X",0)</f>
        <v>X</v>
      </c>
      <c r="F1062" s="137">
        <f>IF(Binary!F1062&gt;=1,"X",0)</f>
        <v>0</v>
      </c>
      <c r="G1062" s="137">
        <f>IF(Binary!G1062&gt;=1,"X",0)</f>
        <v>0</v>
      </c>
      <c r="H1062" s="137">
        <f>IF(Binary!H1062&gt;=1,"X",0)</f>
        <v>0</v>
      </c>
      <c r="I1062" s="137">
        <f>IF(Binary!I1062&gt;=1,"X",0)</f>
        <v>0</v>
      </c>
      <c r="J1062" s="137">
        <f>IF(Binary!J1062&gt;=1,"X",0)</f>
        <v>0</v>
      </c>
      <c r="K1062" s="137" t="str">
        <f>IF(Binary!K1062&gt;=1,"X",0)</f>
        <v>X</v>
      </c>
      <c r="L1062" s="137">
        <f>IF(Binary!L1062&gt;=1,"X",0)</f>
        <v>0</v>
      </c>
      <c r="M1062" t="str">
        <f>'Actual species'!V1062</f>
        <v>------------</v>
      </c>
    </row>
    <row r="1063" spans="1:13" x14ac:dyDescent="0.3">
      <c r="A1063" t="str">
        <f>Binary!A1063</f>
        <v>Quedius cyprusensis</v>
      </c>
      <c r="B1063" s="137" t="str">
        <f>IF(Binary!B1063&gt;=1,"X",0)</f>
        <v>X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species'!V1063</f>
        <v>------------</v>
      </c>
    </row>
    <row r="1064" spans="1:13" x14ac:dyDescent="0.3">
      <c r="A1064" t="str">
        <f>Binary!A1064</f>
        <v>Quedius erinci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>
        <f>IF(Binary!E1064&gt;=1,"X",0)</f>
        <v>0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>
        <f>IF(Binary!K1064&gt;=1,"X",0)</f>
        <v>0</v>
      </c>
      <c r="L1064" s="137">
        <f>IF(Binary!L1064&gt;=1,"X",0)</f>
        <v>0</v>
      </c>
      <c r="M1064" t="str">
        <f>'Actual species'!V1064</f>
        <v>------------</v>
      </c>
    </row>
    <row r="1065" spans="1:13" x14ac:dyDescent="0.3">
      <c r="A1065" t="str">
        <f>Binary!A1065</f>
        <v>Quedius fissus</v>
      </c>
      <c r="B1065" s="137">
        <f>IF(Binary!B1065&gt;=1,"X",0)</f>
        <v>0</v>
      </c>
      <c r="C1065" s="137">
        <f>IF(Binary!C1065&gt;=1,"X",0)</f>
        <v>0</v>
      </c>
      <c r="D1065" s="137" t="str">
        <f>IF(Binary!D1065&gt;=1,"X",0)</f>
        <v>X</v>
      </c>
      <c r="E1065" s="137">
        <f>IF(Binary!E1065&gt;=1,"X",0)</f>
        <v>0</v>
      </c>
      <c r="F1065" s="137" t="str">
        <f>IF(Binary!F1065&gt;=1,"X",0)</f>
        <v>X</v>
      </c>
      <c r="G1065" s="137">
        <f>IF(Binary!G1065&gt;=1,"X",0)</f>
        <v>0</v>
      </c>
      <c r="H1065" s="137" t="str">
        <f>IF(Binary!H1065&gt;=1,"X",0)</f>
        <v>X</v>
      </c>
      <c r="I1065" s="137">
        <f>IF(Binary!I1065&gt;=1,"X",0)</f>
        <v>0</v>
      </c>
      <c r="J1065" s="137">
        <f>IF(Binary!J1065&gt;=1,"X",0)</f>
        <v>0</v>
      </c>
      <c r="K1065" s="137">
        <f>IF(Binary!K1065&gt;=1,"X",0)</f>
        <v>0</v>
      </c>
      <c r="L1065" s="137">
        <f>IF(Binary!L1065&gt;=1,"X",0)</f>
        <v>0</v>
      </c>
      <c r="M1065" t="str">
        <f>'Actual species'!V1065</f>
        <v>------------</v>
      </c>
    </row>
    <row r="1066" spans="1:13" x14ac:dyDescent="0.3">
      <c r="A1066" t="str">
        <f>Binary!A1066</f>
        <v xml:space="preserve">Quedius fulgidus creticus (E) </v>
      </c>
      <c r="B1066" s="137">
        <f>IF(Binary!B1066&gt;=1,"X",0)</f>
        <v>0</v>
      </c>
      <c r="C1066" s="137">
        <f>IF(Binary!C1066&gt;=1,"X",0)</f>
        <v>0</v>
      </c>
      <c r="D1066" s="137">
        <f>IF(Binary!D1066&gt;=1,"X",0)</f>
        <v>0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species'!V1066</f>
        <v>X</v>
      </c>
    </row>
    <row r="1067" spans="1:13" x14ac:dyDescent="0.3">
      <c r="A1067" t="str">
        <f>Binary!A1067</f>
        <v>Quedius hellenicus (More at location)</v>
      </c>
      <c r="B1067" s="137">
        <f>IF(Binary!B1067&gt;=1,"X",0)</f>
        <v>0</v>
      </c>
      <c r="C1067" s="137">
        <f>IF(Binary!C1067&gt;=1,"X",0)</f>
        <v>0</v>
      </c>
      <c r="D1067" s="137">
        <f>IF(Binary!D1067&gt;=1,"X",0)</f>
        <v>0</v>
      </c>
      <c r="E1067" s="137">
        <f>IF(Binary!E1067&gt;=1,"X",0)</f>
        <v>0</v>
      </c>
      <c r="F1067" s="137">
        <f>IF(Binary!F1067&gt;=1,"X",0)</f>
        <v>0</v>
      </c>
      <c r="G1067" s="137">
        <f>IF(Binary!G1067&gt;=1,"X",0)</f>
        <v>0</v>
      </c>
      <c r="H1067" s="137">
        <f>IF(Binary!H1067&gt;=1,"X",0)</f>
        <v>0</v>
      </c>
      <c r="I1067" s="137">
        <f>IF(Binary!I1067&gt;=1,"X",0)</f>
        <v>0</v>
      </c>
      <c r="J1067" s="137" t="str">
        <f>IF(Binary!J1067&gt;=1,"X",0)</f>
        <v>X</v>
      </c>
      <c r="K1067" s="137">
        <f>IF(Binary!K1067&gt;=1,"X",0)</f>
        <v>0</v>
      </c>
      <c r="L1067" s="137">
        <f>IF(Binary!L1067&gt;=1,"X",0)</f>
        <v>0</v>
      </c>
      <c r="M1067" t="str">
        <f>'Actual species'!V1067</f>
        <v>------------</v>
      </c>
    </row>
    <row r="1068" spans="1:13" x14ac:dyDescent="0.3">
      <c r="A1068" t="str">
        <f>Binary!A1068</f>
        <v>Quedius humeralis</v>
      </c>
      <c r="B1068" s="137">
        <f>IF(Binary!B1068&gt;=1,"X",0)</f>
        <v>0</v>
      </c>
      <c r="C1068" s="137" t="str">
        <f>IF(Binary!C1068&gt;=1,"X",0)</f>
        <v>X</v>
      </c>
      <c r="D1068" s="137">
        <f>IF(Binary!D1068&gt;=1,"X",0)</f>
        <v>0</v>
      </c>
      <c r="E1068" s="137">
        <f>IF(Binary!E1068&gt;=1,"X",0)</f>
        <v>0</v>
      </c>
      <c r="F1068" s="137" t="str">
        <f>IF(Binary!F1068&gt;=1,"X",0)</f>
        <v>X</v>
      </c>
      <c r="G1068" s="137" t="str">
        <f>IF(Binary!G1068&gt;=1,"X",0)</f>
        <v>X</v>
      </c>
      <c r="H1068" s="137" t="str">
        <f>IF(Binary!H1068&gt;=1,"X",0)</f>
        <v>X</v>
      </c>
      <c r="I1068" s="137">
        <f>IF(Binary!I1068&gt;=1,"X",0)</f>
        <v>0</v>
      </c>
      <c r="J1068" s="137">
        <f>IF(Binary!J1068&gt;=1,"X",0)</f>
        <v>0</v>
      </c>
      <c r="K1068" s="137" t="str">
        <f>IF(Binary!K1068&gt;=1,"X",0)</f>
        <v>X</v>
      </c>
      <c r="L1068" s="137" t="str">
        <f>IF(Binary!L1068&gt;=1,"X",0)</f>
        <v>X</v>
      </c>
      <c r="M1068" t="str">
        <f>'Actual species'!V1068</f>
        <v>------------</v>
      </c>
    </row>
    <row r="1069" spans="1:13" x14ac:dyDescent="0.3">
      <c r="A1069" t="str">
        <f>Binary!A1069</f>
        <v>Quedius incensus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 t="str">
        <f>IF(Binary!J1069&gt;=1,"X",0)</f>
        <v>X</v>
      </c>
      <c r="K1069" s="137">
        <f>IF(Binary!K1069&gt;=1,"X",0)</f>
        <v>0</v>
      </c>
      <c r="L1069" s="137">
        <f>IF(Binary!L1069&gt;=1,"X",0)</f>
        <v>0</v>
      </c>
      <c r="M1069" t="str">
        <f>'Actual species'!V1069</f>
        <v>------------</v>
      </c>
    </row>
    <row r="1070" spans="1:13" x14ac:dyDescent="0.3">
      <c r="A1070" t="str">
        <f>Binary!A1070</f>
        <v>Quedius job</v>
      </c>
      <c r="B1070" s="137">
        <f>IF(Binary!B1070&gt;=1,"X",0)</f>
        <v>0</v>
      </c>
      <c r="C1070" s="137">
        <f>IF(Binary!C1070&gt;=1,"X",0)</f>
        <v>0</v>
      </c>
      <c r="D1070" s="137">
        <f>IF(Binary!D1070&gt;=1,"X",0)</f>
        <v>0</v>
      </c>
      <c r="E1070" s="137" t="str">
        <f>IF(Binary!E1070&gt;=1,"X",0)</f>
        <v>X</v>
      </c>
      <c r="F1070" s="137" t="str">
        <f>IF(Binary!F1070&gt;=1,"X",0)</f>
        <v>X</v>
      </c>
      <c r="G1070" s="137">
        <f>IF(Binary!G1070&gt;=1,"X",0)</f>
        <v>0</v>
      </c>
      <c r="H1070" s="137">
        <f>IF(Binary!H1070&gt;=1,"X",0)</f>
        <v>0</v>
      </c>
      <c r="I1070" s="137">
        <f>IF(Binary!I1070&gt;=1,"X",0)</f>
        <v>0</v>
      </c>
      <c r="J1070" s="137">
        <f>IF(Binary!J1070&gt;=1,"X",0)</f>
        <v>0</v>
      </c>
      <c r="K1070" s="137">
        <f>IF(Binary!K1070&gt;=1,"X",0)</f>
        <v>0</v>
      </c>
      <c r="L1070" s="137" t="str">
        <f>IF(Binary!L1070&gt;=1,"X",0)</f>
        <v>X</v>
      </c>
      <c r="M1070" t="str">
        <f>'Actual species'!V1070</f>
        <v>------------</v>
      </c>
    </row>
    <row r="1071" spans="1:13" x14ac:dyDescent="0.3">
      <c r="A1071" t="str">
        <f>Binary!A1071</f>
        <v>Quedius lateralis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 t="str">
        <f>IF(Binary!H1071&gt;=1,"X",0)</f>
        <v>X</v>
      </c>
      <c r="I1071" s="137">
        <f>IF(Binary!I1071&gt;=1,"X",0)</f>
        <v>0</v>
      </c>
      <c r="J1071" s="137" t="str">
        <f>IF(Binary!J1071&gt;=1,"X",0)</f>
        <v>X</v>
      </c>
      <c r="K1071" s="137">
        <f>IF(Binary!K1071&gt;=1,"X",0)</f>
        <v>0</v>
      </c>
      <c r="L1071" s="137">
        <f>IF(Binary!L1071&gt;=1,"X",0)</f>
        <v>0</v>
      </c>
      <c r="M1071" t="str">
        <f>'Actual species'!V1071</f>
        <v>------------</v>
      </c>
    </row>
    <row r="1072" spans="1:13" x14ac:dyDescent="0.3">
      <c r="A1072" t="str">
        <f>Binary!A1072</f>
        <v>Quedius levicollis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>
        <f>IF(Binary!E1072&gt;=1,"X",0)</f>
        <v>0</v>
      </c>
      <c r="F1072" s="137" t="str">
        <f>IF(Binary!F1072&gt;=1,"X",0)</f>
        <v>X</v>
      </c>
      <c r="G1072" s="137" t="str">
        <f>IF(Binary!G1072&gt;=1,"X",0)</f>
        <v>X</v>
      </c>
      <c r="H1072" s="137" t="str">
        <f>IF(Binary!H1072&gt;=1,"X",0)</f>
        <v>X</v>
      </c>
      <c r="I1072" s="137">
        <f>IF(Binary!I1072&gt;=1,"X",0)</f>
        <v>0</v>
      </c>
      <c r="J1072" s="137" t="str">
        <f>IF(Binary!J1072&gt;=1,"X",0)</f>
        <v>X</v>
      </c>
      <c r="K1072" s="137">
        <f>IF(Binary!K1072&gt;=1,"X",0)</f>
        <v>0</v>
      </c>
      <c r="L1072" s="137" t="str">
        <f>IF(Binary!L1072&gt;=1,"X",0)</f>
        <v>X</v>
      </c>
      <c r="M1072" t="str">
        <f>'Actual species'!V1072</f>
        <v>------------</v>
      </c>
    </row>
    <row r="1073" spans="1:13" x14ac:dyDescent="0.3">
      <c r="A1073" t="str">
        <f>Binary!A1073</f>
        <v>Quedius limbatus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>
        <f>IF(Binary!H1073&gt;=1,"X",0)</f>
        <v>0</v>
      </c>
      <c r="I1073" s="137">
        <f>IF(Binary!I1073&gt;=1,"X",0)</f>
        <v>0</v>
      </c>
      <c r="J1073" s="137">
        <f>IF(Binary!J1073&gt;=1,"X",0)</f>
        <v>0</v>
      </c>
      <c r="K1073" s="137">
        <f>IF(Binary!K1073&gt;=1,"X",0)</f>
        <v>0</v>
      </c>
      <c r="L1073" s="137">
        <f>IF(Binary!L1073&gt;=1,"X",0)</f>
        <v>0</v>
      </c>
      <c r="M1073" t="str">
        <f>'Actual species'!V1073</f>
        <v>------------</v>
      </c>
    </row>
    <row r="1074" spans="1:13" x14ac:dyDescent="0.3">
      <c r="A1074" t="str">
        <f>Binary!A1074</f>
        <v>Quedius meridiocarpathicus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>
        <f>IF(Binary!E1074&gt;=1,"X",0)</f>
        <v>0</v>
      </c>
      <c r="F1074" s="137">
        <f>IF(Binary!F1074&gt;=1,"X",0)</f>
        <v>0</v>
      </c>
      <c r="G1074" s="137">
        <f>IF(Binary!G1074&gt;=1,"X",0)</f>
        <v>0</v>
      </c>
      <c r="H1074" s="137">
        <f>IF(Binary!H1074&gt;=1,"X",0)</f>
        <v>0</v>
      </c>
      <c r="I1074" s="137">
        <f>IF(Binary!I1074&gt;=1,"X",0)</f>
        <v>0</v>
      </c>
      <c r="J1074" s="137">
        <f>IF(Binary!J1074&gt;=1,"X",0)</f>
        <v>0</v>
      </c>
      <c r="K1074" s="137">
        <f>IF(Binary!K1074&gt;=1,"X",0)</f>
        <v>0</v>
      </c>
      <c r="L1074" s="137">
        <f>IF(Binary!L1074&gt;=1,"X",0)</f>
        <v>0</v>
      </c>
      <c r="M1074" t="str">
        <f>'Actual species'!V1074</f>
        <v>------------</v>
      </c>
    </row>
    <row r="1075" spans="1:13" x14ac:dyDescent="0.3">
      <c r="A1075" t="str">
        <f>Binary!A1075</f>
        <v>Quedius mesomelinus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species'!V1075</f>
        <v>------------</v>
      </c>
    </row>
    <row r="1076" spans="1:13" x14ac:dyDescent="0.3">
      <c r="A1076" t="str">
        <f>Binary!A1076</f>
        <v>Quedius microps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>
        <f>IF(Binary!F1076&gt;=1,"X",0)</f>
        <v>0</v>
      </c>
      <c r="G1076" s="137">
        <f>IF(Binary!G1076&gt;=1,"X",0)</f>
        <v>0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species'!V1076</f>
        <v>------------</v>
      </c>
    </row>
    <row r="1077" spans="1:13" x14ac:dyDescent="0.3">
      <c r="A1077" t="str">
        <f>Binary!A1077</f>
        <v>Quedius nemoralis</v>
      </c>
      <c r="B1077" s="137">
        <f>IF(Binary!B1077&gt;=1,"X",0)</f>
        <v>0</v>
      </c>
      <c r="C1077" s="137">
        <f>IF(Binary!C1077&gt;=1,"X",0)</f>
        <v>0</v>
      </c>
      <c r="D1077" s="137" t="str">
        <f>IF(Binary!D1077&gt;=1,"X",0)</f>
        <v>X</v>
      </c>
      <c r="E1077" s="137" t="str">
        <f>IF(Binary!E1077&gt;=1,"X",0)</f>
        <v>X</v>
      </c>
      <c r="F1077" s="137" t="str">
        <f>IF(Binary!F1077&gt;=1,"X",0)</f>
        <v>X</v>
      </c>
      <c r="G1077" s="137" t="str">
        <f>IF(Binary!G1077&gt;=1,"X",0)</f>
        <v>X</v>
      </c>
      <c r="H1077" s="137" t="str">
        <f>IF(Binary!H1077&gt;=1,"X",0)</f>
        <v>X</v>
      </c>
      <c r="I1077" s="137" t="str">
        <f>IF(Binary!I1077&gt;=1,"X",0)</f>
        <v>X</v>
      </c>
      <c r="J1077" s="137" t="str">
        <f>IF(Binary!J1077&gt;=1,"X",0)</f>
        <v>X</v>
      </c>
      <c r="K1077" s="137" t="str">
        <f>IF(Binary!K1077&gt;=1,"X",0)</f>
        <v>X</v>
      </c>
      <c r="L1077" s="137" t="str">
        <f>IF(Binary!L1077&gt;=1,"X",0)</f>
        <v>X</v>
      </c>
      <c r="M1077" t="str">
        <f>'Actual species'!V1077</f>
        <v>------------</v>
      </c>
    </row>
    <row r="1078" spans="1:13" x14ac:dyDescent="0.3">
      <c r="A1078" t="str">
        <f>Binary!A1078</f>
        <v>Quedius nivicola</v>
      </c>
      <c r="B1078" s="137">
        <f>IF(Binary!B1078&gt;=1,"X",0)</f>
        <v>0</v>
      </c>
      <c r="C1078" s="137" t="str">
        <f>IF(Binary!C1078&gt;=1,"X",0)</f>
        <v>X</v>
      </c>
      <c r="D1078" s="137" t="str">
        <f>IF(Binary!D1078&gt;=1,"X",0)</f>
        <v>X</v>
      </c>
      <c r="E1078" s="137" t="str">
        <f>IF(Binary!E1078&gt;=1,"X",0)</f>
        <v>X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 t="str">
        <f>IF(Binary!J1078&gt;=1,"X",0)</f>
        <v>X</v>
      </c>
      <c r="K1078" s="137" t="str">
        <f>IF(Binary!K1078&gt;=1,"X",0)</f>
        <v>X</v>
      </c>
      <c r="L1078" s="137">
        <f>IF(Binary!L1078&gt;=1,"X",0)</f>
        <v>0</v>
      </c>
      <c r="M1078" t="str">
        <f>'Actual species'!V1078</f>
        <v>------------</v>
      </c>
    </row>
    <row r="1079" spans="1:13" x14ac:dyDescent="0.3">
      <c r="A1079" t="str">
        <f>Binary!A1079</f>
        <v>Quedius paradisianus</v>
      </c>
      <c r="B1079" s="137">
        <f>IF(Binary!B1079&gt;=1,"X",0)</f>
        <v>0</v>
      </c>
      <c r="C1079" s="137">
        <f>IF(Binary!C1079&gt;=1,"X",0)</f>
        <v>0</v>
      </c>
      <c r="D1079" s="137">
        <f>IF(Binary!D1079&gt;=1,"X",0)</f>
        <v>0</v>
      </c>
      <c r="E1079" s="137">
        <f>IF(Binary!E1079&gt;=1,"X",0)</f>
        <v>0</v>
      </c>
      <c r="F1079" s="137">
        <f>IF(Binary!F1079&gt;=1,"X",0)</f>
        <v>0</v>
      </c>
      <c r="G1079" s="137">
        <f>IF(Binary!G1079&gt;=1,"X",0)</f>
        <v>0</v>
      </c>
      <c r="H1079" s="137">
        <f>IF(Binary!H1079&gt;=1,"X",0)</f>
        <v>0</v>
      </c>
      <c r="I1079" s="137">
        <f>IF(Binary!I1079&gt;=1,"X",0)</f>
        <v>0</v>
      </c>
      <c r="J1079" s="137">
        <f>IF(Binary!J1079&gt;=1,"X",0)</f>
        <v>0</v>
      </c>
      <c r="K1079" s="137">
        <f>IF(Binary!K1079&gt;=1,"X",0)</f>
        <v>0</v>
      </c>
      <c r="L1079" s="137">
        <f>IF(Binary!L1079&gt;=1,"X",0)</f>
        <v>0</v>
      </c>
      <c r="M1079" t="str">
        <f>'Actual species'!V1079</f>
        <v>------------</v>
      </c>
    </row>
    <row r="1080" spans="1:13" x14ac:dyDescent="0.3">
      <c r="A1080" t="str">
        <f>Binary!A1080</f>
        <v>Quedius persimilis</v>
      </c>
      <c r="B1080" s="137">
        <f>IF(Binary!B1080&gt;=1,"X",0)</f>
        <v>0</v>
      </c>
      <c r="C1080" s="137">
        <f>IF(Binary!C1080&gt;=1,"X",0)</f>
        <v>0</v>
      </c>
      <c r="D1080" s="137">
        <f>IF(Binary!D1080&gt;=1,"X",0)</f>
        <v>0</v>
      </c>
      <c r="E1080" s="137">
        <f>IF(Binary!E1080&gt;=1,"X",0)</f>
        <v>0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>
        <f>IF(Binary!J1080&gt;=1,"X",0)</f>
        <v>0</v>
      </c>
      <c r="K1080" s="137">
        <f>IF(Binary!K1080&gt;=1,"X",0)</f>
        <v>0</v>
      </c>
      <c r="L1080" s="137">
        <f>IF(Binary!L1080&gt;=1,"X",0)</f>
        <v>0</v>
      </c>
      <c r="M1080" t="str">
        <f>'Actual species'!V1080</f>
        <v>------------</v>
      </c>
    </row>
    <row r="1081" spans="1:13" x14ac:dyDescent="0.3">
      <c r="A1081" t="str">
        <f>Binary!A1081</f>
        <v>Quedius picipes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species'!V1081</f>
        <v>------------</v>
      </c>
    </row>
    <row r="1082" spans="1:13" x14ac:dyDescent="0.3">
      <c r="A1082" t="str">
        <f>Binary!A1082</f>
        <v xml:space="preserve">Quedius praecisus (E) 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 t="str">
        <f>IF(Binary!G1082&gt;=1,"X",0)</f>
        <v>X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species'!V1082</f>
        <v>X</v>
      </c>
    </row>
    <row r="1083" spans="1:13" x14ac:dyDescent="0.3">
      <c r="A1083" t="str">
        <f>Binary!A1083</f>
        <v>Quedius pseudonigriceps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 t="str">
        <f>IF(Binary!E1083&gt;=1,"X",0)</f>
        <v>X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>
        <f>IF(Binary!J1083&gt;=1,"X",0)</f>
        <v>0</v>
      </c>
      <c r="K1083" s="137">
        <f>IF(Binary!K1083&gt;=1,"X",0)</f>
        <v>0</v>
      </c>
      <c r="L1083" s="137">
        <f>IF(Binary!L1083&gt;=1,"X",0)</f>
        <v>0</v>
      </c>
      <c r="M1083" t="str">
        <f>'Actual species'!V1083</f>
        <v>------------</v>
      </c>
    </row>
    <row r="1084" spans="1:13" x14ac:dyDescent="0.3">
      <c r="A1084" t="str">
        <f>Binary!A1084</f>
        <v>Quedius pseudopyrenaeus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>
        <f>IF(Binary!E1084&gt;=1,"X",0)</f>
        <v>0</v>
      </c>
      <c r="F1084" s="137">
        <f>IF(Binary!F1084&gt;=1,"X",0)</f>
        <v>0</v>
      </c>
      <c r="G1084" s="137">
        <f>IF(Binary!G1084&gt;=1,"X",0)</f>
        <v>0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species'!V1084</f>
        <v>------------</v>
      </c>
    </row>
    <row r="1085" spans="1:13" x14ac:dyDescent="0.3">
      <c r="A1085" t="str">
        <f>Binary!A1085</f>
        <v>Quedius rugosipennis</v>
      </c>
      <c r="B1085" s="137" t="str">
        <f>IF(Binary!B1085&gt;=1,"X",0)</f>
        <v>X</v>
      </c>
      <c r="C1085" s="137">
        <f>IF(Binary!C1085&gt;=1,"X",0)</f>
        <v>0</v>
      </c>
      <c r="D1085" s="137">
        <f>IF(Binary!D1085&gt;=1,"X",0)</f>
        <v>0</v>
      </c>
      <c r="E1085" s="137" t="str">
        <f>IF(Binary!E1085&gt;=1,"X",0)</f>
        <v>X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species'!V1085</f>
        <v>------------</v>
      </c>
    </row>
    <row r="1086" spans="1:13" x14ac:dyDescent="0.3">
      <c r="A1086" t="str">
        <f>Binary!A1086</f>
        <v>Quedius scintillans</v>
      </c>
      <c r="B1086" s="137" t="str">
        <f>IF(Binary!B1086&gt;=1,"X",0)</f>
        <v>X</v>
      </c>
      <c r="C1086" s="137" t="str">
        <f>IF(Binary!C1086&gt;=1,"X",0)</f>
        <v>X</v>
      </c>
      <c r="D1086" s="137">
        <f>IF(Binary!D1086&gt;=1,"X",0)</f>
        <v>0</v>
      </c>
      <c r="E1086" s="137" t="str">
        <f>IF(Binary!E1086&gt;=1,"X",0)</f>
        <v>X</v>
      </c>
      <c r="F1086" s="137">
        <f>IF(Binary!F1086&gt;=1,"X",0)</f>
        <v>0</v>
      </c>
      <c r="G1086" s="137" t="str">
        <f>IF(Binary!G1086&gt;=1,"X",0)</f>
        <v>X</v>
      </c>
      <c r="H1086" s="137" t="str">
        <f>IF(Binary!H1086&gt;=1,"X",0)</f>
        <v>X</v>
      </c>
      <c r="I1086" s="137">
        <f>IF(Binary!I1086&gt;=1,"X",0)</f>
        <v>0</v>
      </c>
      <c r="J1086" s="137" t="str">
        <f>IF(Binary!J1086&gt;=1,"X",0)</f>
        <v>X</v>
      </c>
      <c r="K1086" s="137" t="str">
        <f>IF(Binary!K1086&gt;=1,"X",0)</f>
        <v>X</v>
      </c>
      <c r="L1086" s="137">
        <f>IF(Binary!L1086&gt;=1,"X",0)</f>
        <v>0</v>
      </c>
      <c r="M1086" t="str">
        <f>'Actual species'!V1086</f>
        <v>------------</v>
      </c>
    </row>
    <row r="1087" spans="1:13" x14ac:dyDescent="0.3">
      <c r="A1087" t="str">
        <f>Binary!A1087</f>
        <v xml:space="preserve">*Quedius scheerpeltzi (E) </v>
      </c>
      <c r="B1087" s="137" t="str">
        <f>IF(Binary!B1087&gt;=1,"X",0)</f>
        <v>X</v>
      </c>
      <c r="C1087" s="137">
        <f>IF(Binary!C1087&gt;=1,"X",0)</f>
        <v>0</v>
      </c>
      <c r="D1087" s="137">
        <f>IF(Binary!D1087&gt;=1,"X",0)</f>
        <v>0</v>
      </c>
      <c r="E1087" s="137">
        <f>IF(Binary!E1087&gt;=1,"X",0)</f>
        <v>0</v>
      </c>
      <c r="F1087" s="137">
        <f>IF(Binary!F1087&gt;=1,"X",0)</f>
        <v>0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>
        <f>IF(Binary!L1087&gt;=1,"X",0)</f>
        <v>0</v>
      </c>
      <c r="M1087" t="str">
        <f>'Actual species'!V1087</f>
        <v>X</v>
      </c>
    </row>
    <row r="1088" spans="1:13" x14ac:dyDescent="0.3">
      <c r="A1088" t="str">
        <f>Binary!A1088</f>
        <v>Quedius semiaeneus</v>
      </c>
      <c r="B1088" s="137" t="str">
        <f>IF(Binary!B1088&gt;=1,"X",0)</f>
        <v>X</v>
      </c>
      <c r="C1088" s="137">
        <f>IF(Binary!C1088&gt;=1,"X",0)</f>
        <v>0</v>
      </c>
      <c r="D1088" s="137" t="str">
        <f>IF(Binary!D1088&gt;=1,"X",0)</f>
        <v>X</v>
      </c>
      <c r="E1088" s="137" t="str">
        <f>IF(Binary!E1088&gt;=1,"X",0)</f>
        <v>X</v>
      </c>
      <c r="F1088" s="137" t="str">
        <f>IF(Binary!F1088&gt;=1,"X",0)</f>
        <v>X</v>
      </c>
      <c r="G1088" s="137">
        <f>IF(Binary!G1088&gt;=1,"X",0)</f>
        <v>0</v>
      </c>
      <c r="H1088" s="137">
        <f>IF(Binary!H1088&gt;=1,"X",0)</f>
        <v>0</v>
      </c>
      <c r="I1088" s="137">
        <f>IF(Binary!I1088&gt;=1,"X",0)</f>
        <v>0</v>
      </c>
      <c r="J1088" s="137">
        <f>IF(Binary!J1088&gt;=1,"X",0)</f>
        <v>0</v>
      </c>
      <c r="K1088" s="137">
        <f>IF(Binary!K1088&gt;=1,"X",0)</f>
        <v>0</v>
      </c>
      <c r="L1088" s="137">
        <f>IF(Binary!L1088&gt;=1,"X",0)</f>
        <v>0</v>
      </c>
      <c r="M1088" t="str">
        <f>'Actual species'!V1088</f>
        <v>------------</v>
      </c>
    </row>
    <row r="1089" spans="1:13" x14ac:dyDescent="0.3">
      <c r="A1089" t="str">
        <f>Binary!A1089</f>
        <v>Quedius semiobscurus</v>
      </c>
      <c r="B1089" s="137" t="str">
        <f>IF(Binary!B1089&gt;=1,"X",0)</f>
        <v>X</v>
      </c>
      <c r="C1089" s="137">
        <f>IF(Binary!C1089&gt;=1,"X",0)</f>
        <v>0</v>
      </c>
      <c r="D1089" s="137">
        <f>IF(Binary!D1089&gt;=1,"X",0)</f>
        <v>0</v>
      </c>
      <c r="E1089" s="137">
        <f>IF(Binary!E1089&gt;=1,"X",0)</f>
        <v>0</v>
      </c>
      <c r="F1089" s="137">
        <f>IF(Binary!F1089&gt;=1,"X",0)</f>
        <v>0</v>
      </c>
      <c r="G1089" s="137" t="str">
        <f>IF(Binary!G1089&gt;=1,"X",0)</f>
        <v>X</v>
      </c>
      <c r="H1089" s="137" t="str">
        <f>IF(Binary!H1089&gt;=1,"X",0)</f>
        <v>X</v>
      </c>
      <c r="I1089" s="137">
        <f>IF(Binary!I1089&gt;=1,"X",0)</f>
        <v>0</v>
      </c>
      <c r="J1089" s="137" t="str">
        <f>IF(Binary!J1089&gt;=1,"X",0)</f>
        <v>X</v>
      </c>
      <c r="K1089" s="137">
        <f>IF(Binary!K1089&gt;=1,"X",0)</f>
        <v>0</v>
      </c>
      <c r="L1089" s="137">
        <f>IF(Binary!L1089&gt;=1,"X",0)</f>
        <v>0</v>
      </c>
      <c r="M1089" t="str">
        <f>'Actual species'!V1089</f>
        <v>------------</v>
      </c>
    </row>
    <row r="1090" spans="1:13" x14ac:dyDescent="0.3">
      <c r="A1090" t="str">
        <f>Binary!A1090</f>
        <v xml:space="preserve">Quedius sigwalti (E) </v>
      </c>
      <c r="B1090" s="137">
        <f>IF(Binary!B1090&gt;=1,"X",0)</f>
        <v>0</v>
      </c>
      <c r="C1090" s="137">
        <f>IF(Binary!C1090&gt;=1,"X",0)</f>
        <v>0</v>
      </c>
      <c r="D1090" s="137">
        <f>IF(Binary!D1090&gt;=1,"X",0)</f>
        <v>0</v>
      </c>
      <c r="E1090" s="137">
        <f>IF(Binary!E1090&gt;=1,"X",0)</f>
        <v>0</v>
      </c>
      <c r="F1090" s="137">
        <f>IF(Binary!F1090&gt;=1,"X",0)</f>
        <v>0</v>
      </c>
      <c r="G1090" s="137" t="str">
        <f>IF(Binary!G1090&gt;=1,"X",0)</f>
        <v>X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species'!V1090</f>
        <v>X</v>
      </c>
    </row>
    <row r="1091" spans="1:13" x14ac:dyDescent="0.3">
      <c r="A1091" t="str">
        <f>Binary!A1091</f>
        <v>Quedius sp. aff. Boops</v>
      </c>
      <c r="B1091" s="137" t="str">
        <f>IF(Binary!B1091&gt;=1,"X",0)</f>
        <v>X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>
        <f>IF(Binary!G1091&gt;=1,"X",0)</f>
        <v>0</v>
      </c>
      <c r="H1091" s="137">
        <f>IF(Binary!H1091&gt;=1,"X",0)</f>
        <v>0</v>
      </c>
      <c r="I1091" s="137">
        <f>IF(Binary!I1091&gt;=1,"X",0)</f>
        <v>0</v>
      </c>
      <c r="J1091" s="137">
        <f>IF(Binary!J1091&gt;=1,"X",0)</f>
        <v>0</v>
      </c>
      <c r="K1091" s="137">
        <f>IF(Binary!K1091&gt;=1,"X",0)</f>
        <v>0</v>
      </c>
      <c r="L1091" s="137">
        <f>IF(Binary!L1091&gt;=1,"X",0)</f>
        <v>0</v>
      </c>
      <c r="M1091" t="str">
        <f>'Actual species'!V1091</f>
        <v>------------</v>
      </c>
    </row>
    <row r="1092" spans="1:13" x14ac:dyDescent="0.3">
      <c r="A1092" t="str">
        <f>Binary!A1092</f>
        <v>Quedius spp. (female)</v>
      </c>
      <c r="B1092" s="137">
        <f>IF(Binary!B1092&gt;=1,"X",0)</f>
        <v>0</v>
      </c>
      <c r="C1092" s="137">
        <f>IF(Binary!C1092&gt;=1,"X",0)</f>
        <v>0</v>
      </c>
      <c r="D1092" s="137">
        <f>IF(Binary!D1092&gt;=1,"X",0)</f>
        <v>0</v>
      </c>
      <c r="E1092" s="137">
        <f>IF(Binary!E1092&gt;=1,"X",0)</f>
        <v>0</v>
      </c>
      <c r="F1092" s="137">
        <f>IF(Binary!F1092&gt;=1,"X",0)</f>
        <v>0</v>
      </c>
      <c r="G1092" s="137">
        <f>IF(Binary!G1092&gt;=1,"X",0)</f>
        <v>0</v>
      </c>
      <c r="H1092" s="137">
        <f>IF(Binary!H1092&gt;=1,"X",0)</f>
        <v>0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species'!V1092</f>
        <v>------------</v>
      </c>
    </row>
    <row r="1093" spans="1:13" x14ac:dyDescent="0.3">
      <c r="A1093" t="str">
        <f>Binary!A1093</f>
        <v xml:space="preserve">Quedius suturalis </v>
      </c>
      <c r="B1093" s="137">
        <f>IF(Binary!B1093&gt;=1,"X",0)</f>
        <v>0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 t="str">
        <f>IF(Binary!J1093&gt;=1,"X",0)</f>
        <v>X</v>
      </c>
      <c r="K1093" s="137">
        <f>IF(Binary!K1093&gt;=1,"X",0)</f>
        <v>0</v>
      </c>
      <c r="L1093" s="137">
        <f>IF(Binary!L1093&gt;=1,"X",0)</f>
        <v>0</v>
      </c>
      <c r="M1093" t="str">
        <f>'Actual species'!V1093</f>
        <v>------------</v>
      </c>
    </row>
    <row r="1094" spans="1:13" x14ac:dyDescent="0.3">
      <c r="A1094" t="str">
        <f>Binary!A1094</f>
        <v>Quedius tristis</v>
      </c>
      <c r="B1094" s="137" t="str">
        <f>IF(Binary!B1094&gt;=1,"X",0)</f>
        <v>X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>
        <f>IF(Binary!J1094&gt;=1,"X",0)</f>
        <v>0</v>
      </c>
      <c r="K1094" s="137">
        <f>IF(Binary!K1094&gt;=1,"X",0)</f>
        <v>0</v>
      </c>
      <c r="L1094" s="137">
        <f>IF(Binary!L1094&gt;=1,"X",0)</f>
        <v>0</v>
      </c>
      <c r="M1094" t="str">
        <f>'Actual species'!V1094</f>
        <v>------------</v>
      </c>
    </row>
    <row r="1095" spans="1:13" x14ac:dyDescent="0.3">
      <c r="A1095" t="str">
        <f>Binary!A1095</f>
        <v xml:space="preserve">*Quedius troodites (E) </v>
      </c>
      <c r="B1095" s="137" t="str">
        <f>IF(Binary!B1095&gt;=1,"X",0)</f>
        <v>X</v>
      </c>
      <c r="C1095" s="137">
        <f>IF(Binary!C1095&gt;=1,"X",0)</f>
        <v>0</v>
      </c>
      <c r="D1095" s="137">
        <f>IF(Binary!D1095&gt;=1,"X",0)</f>
        <v>0</v>
      </c>
      <c r="E1095" s="137">
        <f>IF(Binary!E1095&gt;=1,"X",0)</f>
        <v>0</v>
      </c>
      <c r="F1095" s="137">
        <f>IF(Binary!F1095&gt;=1,"X",0)</f>
        <v>0</v>
      </c>
      <c r="G1095" s="137">
        <f>IF(Binary!G1095&gt;=1,"X",0)</f>
        <v>0</v>
      </c>
      <c r="H1095" s="137">
        <f>IF(Binary!H1095&gt;=1,"X",0)</f>
        <v>0</v>
      </c>
      <c r="I1095" s="137">
        <f>IF(Binary!I1095&gt;=1,"X",0)</f>
        <v>0</v>
      </c>
      <c r="J1095" s="137">
        <f>IF(Binary!J1095&gt;=1,"X",0)</f>
        <v>0</v>
      </c>
      <c r="K1095" s="137">
        <f>IF(Binary!K1095&gt;=1,"X",0)</f>
        <v>0</v>
      </c>
      <c r="L1095" s="137">
        <f>IF(Binary!L1095&gt;=1,"X",0)</f>
        <v>0</v>
      </c>
      <c r="M1095" t="str">
        <f>'Actual species'!V1095</f>
        <v>X</v>
      </c>
    </row>
    <row r="1096" spans="1:13" x14ac:dyDescent="0.3">
      <c r="A1096" t="str">
        <f>Binary!A1096</f>
        <v>Quedius umbrinus</v>
      </c>
      <c r="B1096" s="137">
        <f>IF(Binary!B1096&gt;=1,"X",0)</f>
        <v>0</v>
      </c>
      <c r="C1096" s="137">
        <f>IF(Binary!C1096&gt;=1,"X",0)</f>
        <v>0</v>
      </c>
      <c r="D1096" s="137" t="str">
        <f>IF(Binary!D1096&gt;=1,"X",0)</f>
        <v>X</v>
      </c>
      <c r="E1096" s="137" t="str">
        <f>IF(Binary!E1096&gt;=1,"X",0)</f>
        <v>X</v>
      </c>
      <c r="F1096" s="137">
        <f>IF(Binary!F1096&gt;=1,"X",0)</f>
        <v>0</v>
      </c>
      <c r="G1096" s="137" t="str">
        <f>IF(Binary!G1096&gt;=1,"X",0)</f>
        <v>X</v>
      </c>
      <c r="H1096" s="137">
        <f>IF(Binary!H1096&gt;=1,"X",0)</f>
        <v>0</v>
      </c>
      <c r="I1096" s="137">
        <f>IF(Binary!I1096&gt;=1,"X",0)</f>
        <v>0</v>
      </c>
      <c r="J1096" s="137" t="str">
        <f>IF(Binary!J1096&gt;=1,"X",0)</f>
        <v>X</v>
      </c>
      <c r="K1096" s="137">
        <f>IF(Binary!K1096&gt;=1,"X",0)</f>
        <v>0</v>
      </c>
      <c r="L1096" s="137">
        <f>IF(Binary!L1096&gt;=1,"X",0)</f>
        <v>0</v>
      </c>
      <c r="M1096" t="str">
        <f>'Actual species'!V1096</f>
        <v>------------</v>
      </c>
    </row>
    <row r="1097" spans="1:13" x14ac:dyDescent="0.3">
      <c r="A1097" t="str">
        <f>Binary!A1097</f>
        <v>Quedius vicinus</v>
      </c>
      <c r="B1097" s="137" t="str">
        <f>IF(Binary!B1097&gt;=1,"X",0)</f>
        <v>X</v>
      </c>
      <c r="C1097" s="137">
        <f>IF(Binary!C1097&gt;=1,"X",0)</f>
        <v>0</v>
      </c>
      <c r="D1097" s="137">
        <f>IF(Binary!D1097&gt;=1,"X",0)</f>
        <v>0</v>
      </c>
      <c r="E1097" s="137">
        <f>IF(Binary!E1097&gt;=1,"X",0)</f>
        <v>0</v>
      </c>
      <c r="F1097" s="137">
        <f>IF(Binary!F1097&gt;=1,"X",0)</f>
        <v>0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>
        <f>IF(Binary!L1097&gt;=1,"X",0)</f>
        <v>0</v>
      </c>
      <c r="M1097" t="str">
        <f>'Actual species'!V1097</f>
        <v>------------</v>
      </c>
    </row>
    <row r="1098" spans="1:13" x14ac:dyDescent="0.3">
      <c r="A1098" t="str">
        <f>Binary!A1098</f>
        <v>Quedius xanthopus</v>
      </c>
      <c r="B1098" s="137">
        <f>IF(Binary!B1098&gt;=1,"X",0)</f>
        <v>0</v>
      </c>
      <c r="C1098" s="137">
        <f>IF(Binary!C1098&gt;=1,"X",0)</f>
        <v>0</v>
      </c>
      <c r="D1098" s="137">
        <f>IF(Binary!D1098&gt;=1,"X",0)</f>
        <v>0</v>
      </c>
      <c r="E1098" s="137">
        <f>IF(Binary!E1098&gt;=1,"X",0)</f>
        <v>0</v>
      </c>
      <c r="F1098" s="137">
        <f>IF(Binary!F1098&gt;=1,"X",0)</f>
        <v>0</v>
      </c>
      <c r="G1098" s="137">
        <f>IF(Binary!G1098&gt;=1,"X",0)</f>
        <v>0</v>
      </c>
      <c r="H1098" s="137">
        <f>IF(Binary!H1098&gt;=1,"X",0)</f>
        <v>0</v>
      </c>
      <c r="I1098" s="137">
        <f>IF(Binary!I1098&gt;=1,"X",0)</f>
        <v>0</v>
      </c>
      <c r="J1098" s="137">
        <f>IF(Binary!J1098&gt;=1,"X",0)</f>
        <v>0</v>
      </c>
      <c r="K1098" s="137">
        <f>IF(Binary!K1098&gt;=1,"X",0)</f>
        <v>0</v>
      </c>
      <c r="L1098" s="137">
        <f>IF(Binary!L1098&gt;=1,"X",0)</f>
        <v>0</v>
      </c>
      <c r="M1098" t="str">
        <f>'Actual species'!V1098</f>
        <v>------------</v>
      </c>
    </row>
    <row r="1099" spans="1:13" x14ac:dyDescent="0.3">
      <c r="A1099" t="str">
        <f>Binary!A1099</f>
        <v>Rabigus pullus</v>
      </c>
      <c r="B1099" s="137">
        <f>IF(Binary!B1099&gt;=1,"X",0)</f>
        <v>0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 t="str">
        <f>IF(Binary!F1099&gt;=1,"X",0)</f>
        <v>X</v>
      </c>
      <c r="G1099" s="137">
        <f>IF(Binary!G1099&gt;=1,"X",0)</f>
        <v>0</v>
      </c>
      <c r="H1099" s="137">
        <f>IF(Binary!H1099&gt;=1,"X",0)</f>
        <v>0</v>
      </c>
      <c r="I1099" s="137">
        <f>IF(Binary!I1099&gt;=1,"X",0)</f>
        <v>0</v>
      </c>
      <c r="J1099" s="137">
        <f>IF(Binary!J1099&gt;=1,"X",0)</f>
        <v>0</v>
      </c>
      <c r="K1099" s="137">
        <f>IF(Binary!K1099&gt;=1,"X",0)</f>
        <v>0</v>
      </c>
      <c r="L1099" s="137">
        <f>IF(Binary!L1099&gt;=1,"X",0)</f>
        <v>0</v>
      </c>
      <c r="M1099" t="str">
        <f>'Actual species'!V1099</f>
        <v>------------</v>
      </c>
    </row>
    <row r="1100" spans="1:13" x14ac:dyDescent="0.3">
      <c r="A1100" t="str">
        <f>Binary!A1100</f>
        <v>Remus filum</v>
      </c>
      <c r="B1100" s="137" t="str">
        <f>IF(Binary!B1100&gt;=1,"X",0)</f>
        <v>X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 t="str">
        <f>IF(Binary!F1100&gt;=1,"X",0)</f>
        <v>X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species'!V1100</f>
        <v>------------</v>
      </c>
    </row>
    <row r="1101" spans="1:13" x14ac:dyDescent="0.3">
      <c r="A1101" t="str">
        <f>Binary!A1101</f>
        <v>Remus sericeus</v>
      </c>
      <c r="B1101" s="137" t="str">
        <f>IF(Binary!B1101&gt;=1,"X",0)</f>
        <v>X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 t="str">
        <f>IF(Binary!F1101&gt;=1,"X",0)</f>
        <v>X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species'!V1101</f>
        <v>------------</v>
      </c>
    </row>
    <row r="1102" spans="1:13" x14ac:dyDescent="0.3">
      <c r="A1102" t="str">
        <f>Binary!A1102</f>
        <v>Stenistoderus cephalotes</v>
      </c>
      <c r="B1102" s="137">
        <f>IF(Binary!B1102&gt;=1,"X",0)</f>
        <v>0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>
        <f>IF(Binary!F1102&gt;=1,"X",0)</f>
        <v>0</v>
      </c>
      <c r="G1102" s="137" t="str">
        <f>IF(Binary!G1102&gt;=1,"X",0)</f>
        <v>X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species'!V1102</f>
        <v>------------</v>
      </c>
    </row>
    <row r="1103" spans="1:13" x14ac:dyDescent="0.3">
      <c r="A1103" t="str">
        <f>Binary!A1103</f>
        <v>Stenistoderus nothus</v>
      </c>
      <c r="B1103" s="137">
        <f>IF(Binary!B1103&gt;=1,"X",0)</f>
        <v>0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>
        <f>IF(Binary!F1103&gt;=1,"X",0)</f>
        <v>0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 t="str">
        <f>'Actual species'!V1103</f>
        <v>------------</v>
      </c>
    </row>
    <row r="1104" spans="1:13" x14ac:dyDescent="0.3">
      <c r="A1104" t="str">
        <f>Binary!A1104</f>
        <v>Tasgius arrowi</v>
      </c>
      <c r="B1104" s="137">
        <f>IF(Binary!B1104&gt;=1,"X",0)</f>
        <v>0</v>
      </c>
      <c r="C1104" s="137">
        <f>IF(Binary!C1104&gt;=1,"X",0)</f>
        <v>0</v>
      </c>
      <c r="D1104" s="137">
        <f>IF(Binary!D1104&gt;=1,"X",0)</f>
        <v>0</v>
      </c>
      <c r="E1104" s="137">
        <f>IF(Binary!E1104&gt;=1,"X",0)</f>
        <v>0</v>
      </c>
      <c r="F1104" s="137">
        <f>IF(Binary!F1104&gt;=1,"X",0)</f>
        <v>0</v>
      </c>
      <c r="G1104" s="137">
        <f>IF(Binary!G1104&gt;=1,"X",0)</f>
        <v>0</v>
      </c>
      <c r="H1104" s="137">
        <f>IF(Binary!H1104&gt;=1,"X",0)</f>
        <v>0</v>
      </c>
      <c r="I1104" s="137">
        <f>IF(Binary!I1104&gt;=1,"X",0)</f>
        <v>0</v>
      </c>
      <c r="J1104" s="137">
        <f>IF(Binary!J1104&gt;=1,"X",0)</f>
        <v>0</v>
      </c>
      <c r="K1104" s="137">
        <f>IF(Binary!K1104&gt;=1,"X",0)</f>
        <v>0</v>
      </c>
      <c r="L1104" s="137">
        <f>IF(Binary!L1104&gt;=1,"X",0)</f>
        <v>0</v>
      </c>
      <c r="M1104" t="str">
        <f>'Actual species'!V1104</f>
        <v>------------</v>
      </c>
    </row>
    <row r="1105" spans="1:13" x14ac:dyDescent="0.3">
      <c r="A1105" t="str">
        <f>Binary!A1105</f>
        <v>Tasgius globulifer globulifer</v>
      </c>
      <c r="B1105" s="137">
        <f>IF(Binary!B1105&gt;=1,"X",0)</f>
        <v>0</v>
      </c>
      <c r="C1105" s="137">
        <f>IF(Binary!C1105&gt;=1,"X",0)</f>
        <v>0</v>
      </c>
      <c r="D1105" s="137">
        <f>IF(Binary!D1105&gt;=1,"X",0)</f>
        <v>0</v>
      </c>
      <c r="E1105" s="137">
        <f>IF(Binary!E1105&gt;=1,"X",0)</f>
        <v>0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>
        <f>IF(Binary!J1105&gt;=1,"X",0)</f>
        <v>0</v>
      </c>
      <c r="K1105" s="137">
        <f>IF(Binary!K1105&gt;=1,"X",0)</f>
        <v>0</v>
      </c>
      <c r="L1105" s="137">
        <f>IF(Binary!L1105&gt;=1,"X",0)</f>
        <v>0</v>
      </c>
      <c r="M1105" t="str">
        <f>'Actual species'!V1105</f>
        <v>------------</v>
      </c>
    </row>
    <row r="1106" spans="1:13" x14ac:dyDescent="0.3">
      <c r="A1106" t="str">
        <f>Binary!A1106</f>
        <v>Tasgius morsitans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 t="str">
        <f>IF(Binary!J1106&gt;=1,"X",0)</f>
        <v>X</v>
      </c>
      <c r="K1106" s="137" t="str">
        <f>IF(Binary!K1106&gt;=1,"X",0)</f>
        <v>X</v>
      </c>
      <c r="L1106" s="137">
        <f>IF(Binary!L1106&gt;=1,"X",0)</f>
        <v>0</v>
      </c>
      <c r="M1106" t="str">
        <f>'Actual species'!V1106</f>
        <v>------------</v>
      </c>
    </row>
    <row r="1107" spans="1:13" x14ac:dyDescent="0.3">
      <c r="A1107" t="str">
        <f>Binary!A1107</f>
        <v>Tasgius winkleri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species'!V1107</f>
        <v>------------</v>
      </c>
    </row>
    <row r="1108" spans="1:13" x14ac:dyDescent="0.3">
      <c r="A1108" t="str">
        <f>Binary!A1108</f>
        <v>Xantholinus audrasi</v>
      </c>
      <c r="B1108" s="137">
        <f>IF(Binary!B1108&gt;=1,"X",0)</f>
        <v>0</v>
      </c>
      <c r="C1108" s="137">
        <f>IF(Binary!C1108&gt;=1,"X",0)</f>
        <v>0</v>
      </c>
      <c r="D1108" s="137" t="str">
        <f>IF(Binary!D1108&gt;=1,"X",0)</f>
        <v>X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>
        <f>IF(Binary!J1108&gt;=1,"X",0)</f>
        <v>0</v>
      </c>
      <c r="K1108" s="137">
        <f>IF(Binary!K1108&gt;=1,"X",0)</f>
        <v>0</v>
      </c>
      <c r="L1108" s="137">
        <f>IF(Binary!L1108&gt;=1,"X",0)</f>
        <v>0</v>
      </c>
      <c r="M1108" t="str">
        <f>'Actual species'!V1108</f>
        <v>------------</v>
      </c>
    </row>
    <row r="1109" spans="1:13" x14ac:dyDescent="0.3">
      <c r="A1109" t="str">
        <f>Binary!A1109</f>
        <v>Xantholinus cf. Linearis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>
        <f>IF(Binary!G1109&gt;=1,"X",0)</f>
        <v>0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species'!V1109</f>
        <v>------------</v>
      </c>
    </row>
    <row r="1110" spans="1:13" x14ac:dyDescent="0.3">
      <c r="A1110" t="str">
        <f>Binary!A1110</f>
        <v>Xantholinus chiosicus</v>
      </c>
      <c r="B1110" s="137">
        <f>IF(Binary!B1110&gt;=1,"X",0)</f>
        <v>0</v>
      </c>
      <c r="C1110" s="137">
        <f>IF(Binary!C1110&gt;=1,"X",0)</f>
        <v>0</v>
      </c>
      <c r="D1110" s="137">
        <f>IF(Binary!D1110&gt;=1,"X",0)</f>
        <v>0</v>
      </c>
      <c r="E1110" s="137" t="str">
        <f>IF(Binary!E1110&gt;=1,"X",0)</f>
        <v>X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 t="str">
        <f>IF(Binary!I1110&gt;=1,"X",0)</f>
        <v>X</v>
      </c>
      <c r="J1110" s="137">
        <f>IF(Binary!J1110&gt;=1,"X",0)</f>
        <v>0</v>
      </c>
      <c r="K1110" s="137">
        <f>IF(Binary!K1110&gt;=1,"X",0)</f>
        <v>0</v>
      </c>
      <c r="L1110" s="137" t="str">
        <f>IF(Binary!L1110&gt;=1,"X",0)</f>
        <v>X</v>
      </c>
      <c r="M1110" t="str">
        <f>'Actual species'!V1110</f>
        <v>------------</v>
      </c>
    </row>
    <row r="1111" spans="1:13" x14ac:dyDescent="0.3">
      <c r="A1111" t="str">
        <f>Binary!A1111</f>
        <v>Xantholinus ciliciae</v>
      </c>
      <c r="B1111" s="137" t="str">
        <f>IF(Binary!B1111&gt;=1,"X",0)</f>
        <v>X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species'!V1111</f>
        <v>------------</v>
      </c>
    </row>
    <row r="1112" spans="1:13" x14ac:dyDescent="0.3">
      <c r="A1112" t="str">
        <f>Binary!A1112</f>
        <v xml:space="preserve">Xantholinus creticus (E) </v>
      </c>
      <c r="B1112" s="137">
        <f>IF(Binary!B1112&gt;=1,"X",0)</f>
        <v>0</v>
      </c>
      <c r="C1112" s="137">
        <f>IF(Binary!C1112&gt;=1,"X",0)</f>
        <v>0</v>
      </c>
      <c r="D1112" s="137">
        <f>IF(Binary!D1112&gt;=1,"X",0)</f>
        <v>0</v>
      </c>
      <c r="E1112" s="137">
        <f>IF(Binary!E1112&gt;=1,"X",0)</f>
        <v>0</v>
      </c>
      <c r="F1112" s="137">
        <f>IF(Binary!F1112&gt;=1,"X",0)</f>
        <v>0</v>
      </c>
      <c r="G1112" s="137" t="str">
        <f>IF(Binary!G1112&gt;=1,"X",0)</f>
        <v>X</v>
      </c>
      <c r="H1112" s="137">
        <f>IF(Binary!H1112&gt;=1,"X",0)</f>
        <v>0</v>
      </c>
      <c r="I1112" s="137">
        <f>IF(Binary!I1112&gt;=1,"X",0)</f>
        <v>0</v>
      </c>
      <c r="J1112" s="137">
        <f>IF(Binary!J1112&gt;=1,"X",0)</f>
        <v>0</v>
      </c>
      <c r="K1112" s="137">
        <f>IF(Binary!K1112&gt;=1,"X",0)</f>
        <v>0</v>
      </c>
      <c r="L1112" s="137">
        <f>IF(Binary!L1112&gt;=1,"X",0)</f>
        <v>0</v>
      </c>
      <c r="M1112" t="str">
        <f>'Actual species'!V1112</f>
        <v>X</v>
      </c>
    </row>
    <row r="1113" spans="1:13" x14ac:dyDescent="0.3">
      <c r="A1113" t="str">
        <f>Binary!A1113</f>
        <v>Xantholinus decorus</v>
      </c>
      <c r="B1113" s="137">
        <f>IF(Binary!B1113&gt;=1,"X",0)</f>
        <v>0</v>
      </c>
      <c r="C1113" s="137">
        <f>IF(Binary!C1113&gt;=1,"X",0)</f>
        <v>0</v>
      </c>
      <c r="D1113" s="137">
        <f>IF(Binary!D1113&gt;=1,"X",0)</f>
        <v>0</v>
      </c>
      <c r="E1113" s="137">
        <f>IF(Binary!E1113&gt;=1,"X",0)</f>
        <v>0</v>
      </c>
      <c r="F1113" s="137">
        <f>IF(Binary!F1113&gt;=1,"X",0)</f>
        <v>0</v>
      </c>
      <c r="G1113" s="137">
        <f>IF(Binary!G1113&gt;=1,"X",0)</f>
        <v>0</v>
      </c>
      <c r="H1113" s="137">
        <f>IF(Binary!H1113&gt;=1,"X",0)</f>
        <v>0</v>
      </c>
      <c r="I1113" s="137">
        <f>IF(Binary!I1113&gt;=1,"X",0)</f>
        <v>0</v>
      </c>
      <c r="J1113" s="137">
        <f>IF(Binary!J1113&gt;=1,"X",0)</f>
        <v>0</v>
      </c>
      <c r="K1113" s="137">
        <f>IF(Binary!K1113&gt;=1,"X",0)</f>
        <v>0</v>
      </c>
      <c r="L1113" s="137">
        <f>IF(Binary!L1113&gt;=1,"X",0)</f>
        <v>0</v>
      </c>
      <c r="M1113" t="str">
        <f>'Actual species'!V1113</f>
        <v>------------</v>
      </c>
    </row>
    <row r="1114" spans="1:13" x14ac:dyDescent="0.3">
      <c r="A1114" t="str">
        <f>Binary!A1114</f>
        <v xml:space="preserve">Xantholinus erinaceus (E) </v>
      </c>
      <c r="B1114" s="137">
        <f>IF(Binary!B1114&gt;=1,"X",0)</f>
        <v>0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 t="str">
        <f>IF(Binary!G1114&gt;=1,"X",0)</f>
        <v>X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species'!V1114</f>
        <v>X</v>
      </c>
    </row>
    <row r="1115" spans="1:13" x14ac:dyDescent="0.3">
      <c r="A1115" t="str">
        <f>Binary!A1115</f>
        <v>Xantholinus graecus</v>
      </c>
      <c r="B1115" s="137" t="str">
        <f>IF(Binary!B1115&gt;=1,"X",0)</f>
        <v>X</v>
      </c>
      <c r="C1115" s="137">
        <f>IF(Binary!C1115&gt;=1,"X",0)</f>
        <v>0</v>
      </c>
      <c r="D1115" s="137">
        <f>IF(Binary!D1115&gt;=1,"X",0)</f>
        <v>0</v>
      </c>
      <c r="E1115" s="137">
        <f>IF(Binary!E1115&gt;=1,"X",0)</f>
        <v>0</v>
      </c>
      <c r="F1115" s="137">
        <f>IF(Binary!F1115&gt;=1,"X",0)</f>
        <v>0</v>
      </c>
      <c r="G1115" s="137" t="str">
        <f>IF(Binary!G1115&gt;=1,"X",0)</f>
        <v>X</v>
      </c>
      <c r="H1115" s="137" t="str">
        <f>IF(Binary!H1115&gt;=1,"X",0)</f>
        <v>X</v>
      </c>
      <c r="I1115" s="137">
        <f>IF(Binary!I1115&gt;=1,"X",0)</f>
        <v>0</v>
      </c>
      <c r="J1115" s="137" t="str">
        <f>IF(Binary!J1115&gt;=1,"X",0)</f>
        <v>X</v>
      </c>
      <c r="K1115" s="137">
        <f>IF(Binary!K1115&gt;=1,"X",0)</f>
        <v>0</v>
      </c>
      <c r="L1115" s="137">
        <f>IF(Binary!L1115&gt;=1,"X",0)</f>
        <v>0</v>
      </c>
      <c r="M1115" t="str">
        <f>'Actual species'!V1115</f>
        <v>------------</v>
      </c>
    </row>
    <row r="1116" spans="1:13" x14ac:dyDescent="0.3">
      <c r="A1116" t="str">
        <f>Binary!A1116</f>
        <v>Xantholinus laevigatus</v>
      </c>
      <c r="B1116" s="137">
        <f>IF(Binary!B1116&gt;=1,"X",0)</f>
        <v>0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>
        <f>IF(Binary!G1116&gt;=1,"X",0)</f>
        <v>0</v>
      </c>
      <c r="H1116" s="137">
        <f>IF(Binary!H1116&gt;=1,"X",0)</f>
        <v>0</v>
      </c>
      <c r="I1116" s="137">
        <f>IF(Binary!I1116&gt;=1,"X",0)</f>
        <v>0</v>
      </c>
      <c r="J1116" s="137">
        <f>IF(Binary!J1116&gt;=1,"X",0)</f>
        <v>0</v>
      </c>
      <c r="K1116" s="137">
        <f>IF(Binary!K1116&gt;=1,"X",0)</f>
        <v>0</v>
      </c>
      <c r="L1116" s="137">
        <f>IF(Binary!L1116&gt;=1,"X",0)</f>
        <v>0</v>
      </c>
      <c r="M1116" t="str">
        <f>'Actual species'!V1116</f>
        <v>------------</v>
      </c>
    </row>
    <row r="1117" spans="1:13" x14ac:dyDescent="0.3">
      <c r="A1117" t="str">
        <f>Binary!A1117</f>
        <v xml:space="preserve">Xantholinus minos (E) </v>
      </c>
      <c r="B1117" s="137">
        <f>IF(Binary!B1117&gt;=1,"X",0)</f>
        <v>0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>
        <f>IF(Binary!H1117&gt;=1,"X",0)</f>
        <v>0</v>
      </c>
      <c r="I1117" s="137">
        <f>IF(Binary!I1117&gt;=1,"X",0)</f>
        <v>0</v>
      </c>
      <c r="J1117" s="137">
        <f>IF(Binary!J1117&gt;=1,"X",0)</f>
        <v>0</v>
      </c>
      <c r="K1117" s="137">
        <f>IF(Binary!K1117&gt;=1,"X",0)</f>
        <v>0</v>
      </c>
      <c r="L1117" s="137">
        <f>IF(Binary!L1117&gt;=1,"X",0)</f>
        <v>0</v>
      </c>
      <c r="M1117" t="str">
        <f>'Actual species'!V1117</f>
        <v>X</v>
      </c>
    </row>
    <row r="1118" spans="1:13" x14ac:dyDescent="0.3">
      <c r="A1118" t="str">
        <f>Binary!A1118</f>
        <v>Xantholinus nicolasi</v>
      </c>
      <c r="B1118" s="137">
        <f>IF(Binary!B1118&gt;=1,"X",0)</f>
        <v>0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species'!V1118</f>
        <v>------------</v>
      </c>
    </row>
    <row r="1119" spans="1:13" x14ac:dyDescent="0.3">
      <c r="A1119" t="str">
        <f>Binary!A1119</f>
        <v>Xantholinus phenicus</v>
      </c>
      <c r="B1119" s="137" t="str">
        <f>IF(Binary!B1119&gt;=1,"X",0)</f>
        <v>X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 t="str">
        <f>IF(Binary!G1119&gt;=1,"X",0)</f>
        <v>X</v>
      </c>
      <c r="H1119" s="137" t="str">
        <f>IF(Binary!H1119&gt;=1,"X",0)</f>
        <v>X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species'!V1119</f>
        <v>------------</v>
      </c>
    </row>
    <row r="1120" spans="1:13" x14ac:dyDescent="0.3">
      <c r="A1120" t="str">
        <f>Binary!A1120</f>
        <v>Xantholinus rufipennis</v>
      </c>
      <c r="B1120" s="137" t="str">
        <f>IF(Binary!B1120&gt;=1,"X",0)</f>
        <v>X</v>
      </c>
      <c r="C1120" s="137">
        <f>IF(Binary!C1120&gt;=1,"X",0)</f>
        <v>0</v>
      </c>
      <c r="D1120" s="137">
        <f>IF(Binary!D1120&gt;=1,"X",0)</f>
        <v>0</v>
      </c>
      <c r="E1120" s="137" t="str">
        <f>IF(Binary!E1120&gt;=1,"X",0)</f>
        <v>X</v>
      </c>
      <c r="F1120" s="137" t="str">
        <f>IF(Binary!F1120&gt;=1,"X",0)</f>
        <v>X</v>
      </c>
      <c r="G1120" s="137">
        <f>IF(Binary!G1120&gt;=1,"X",0)</f>
        <v>0</v>
      </c>
      <c r="H1120" s="137" t="str">
        <f>IF(Binary!H1120&gt;=1,"X",0)</f>
        <v>X</v>
      </c>
      <c r="I1120" s="137" t="str">
        <f>IF(Binary!I1120&gt;=1,"X",0)</f>
        <v>X</v>
      </c>
      <c r="J1120" s="137">
        <f>IF(Binary!J1120&gt;=1,"X",0)</f>
        <v>0</v>
      </c>
      <c r="K1120" s="137" t="str">
        <f>IF(Binary!K1120&gt;=1,"X",0)</f>
        <v>X</v>
      </c>
      <c r="L1120" s="137" t="str">
        <f>IF(Binary!L1120&gt;=1,"X",0)</f>
        <v>X</v>
      </c>
      <c r="M1120" t="str">
        <f>'Actual species'!V1120</f>
        <v>------------</v>
      </c>
    </row>
    <row r="1121" spans="1:13" x14ac:dyDescent="0.3">
      <c r="A1121" t="str">
        <f>Binary!A1121</f>
        <v xml:space="preserve">Xantholinus sp. </v>
      </c>
      <c r="B1121" s="137">
        <f>IF(Binary!B1121&gt;=1,"X",0)</f>
        <v>0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>
        <f>IF(Binary!G1121&gt;=1,"X",0)</f>
        <v>0</v>
      </c>
      <c r="H1121" s="137">
        <f>IF(Binary!H1121&gt;=1,"X",0)</f>
        <v>0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species'!V1121</f>
        <v>------------</v>
      </c>
    </row>
    <row r="1122" spans="1:13" x14ac:dyDescent="0.3">
      <c r="A1122" t="str">
        <f>Binary!A1122</f>
        <v>Xantholinus sp. (Female)</v>
      </c>
      <c r="B1122" s="137">
        <f>IF(Binary!B1122&gt;=1,"X",0)</f>
        <v>0</v>
      </c>
      <c r="C1122" s="137">
        <f>IF(Binary!C1122&gt;=1,"X",0)</f>
        <v>0</v>
      </c>
      <c r="D1122" s="137">
        <f>IF(Binary!D1122&gt;=1,"X",0)</f>
        <v>0</v>
      </c>
      <c r="E1122" s="137">
        <f>IF(Binary!E1122&gt;=1,"X",0)</f>
        <v>0</v>
      </c>
      <c r="F1122" s="137">
        <f>IF(Binary!F1122&gt;=1,"X",0)</f>
        <v>0</v>
      </c>
      <c r="G1122" s="137">
        <f>IF(Binary!G1122&gt;=1,"X",0)</f>
        <v>0</v>
      </c>
      <c r="H1122" s="137">
        <f>IF(Binary!H1122&gt;=1,"X",0)</f>
        <v>0</v>
      </c>
      <c r="I1122" s="137">
        <f>IF(Binary!I1122&gt;=1,"X",0)</f>
        <v>0</v>
      </c>
      <c r="J1122" s="137">
        <f>IF(Binary!J1122&gt;=1,"X",0)</f>
        <v>0</v>
      </c>
      <c r="K1122" s="137">
        <f>IF(Binary!K1122&gt;=1,"X",0)</f>
        <v>0</v>
      </c>
      <c r="L1122" s="137">
        <f>IF(Binary!L1122&gt;=1,"X",0)</f>
        <v>0</v>
      </c>
      <c r="M1122" t="str">
        <f>'Actual species'!V1122</f>
        <v>------------</v>
      </c>
    </row>
    <row r="1123" spans="1:13" x14ac:dyDescent="0.3">
      <c r="A1123" t="str">
        <f>Binary!A1123</f>
        <v>Xantholinus varnensis</v>
      </c>
      <c r="B1123" s="137">
        <f>IF(Binary!B1123&gt;=1,"X",0)</f>
        <v>0</v>
      </c>
      <c r="C1123" s="137">
        <f>IF(Binary!C1123&gt;=1,"X",0)</f>
        <v>0</v>
      </c>
      <c r="D1123" s="137">
        <f>IF(Binary!D1123&gt;=1,"X",0)</f>
        <v>0</v>
      </c>
      <c r="E1123" s="137" t="str">
        <f>IF(Binary!E1123&gt;=1,"X",0)</f>
        <v>X</v>
      </c>
      <c r="F1123" s="137" t="str">
        <f>IF(Binary!F1123&gt;=1,"X",0)</f>
        <v>X</v>
      </c>
      <c r="G1123" s="137">
        <f>IF(Binary!G1123&gt;=1,"X",0)</f>
        <v>0</v>
      </c>
      <c r="H1123" s="137" t="str">
        <f>IF(Binary!H1123&gt;=1,"X",0)</f>
        <v>X</v>
      </c>
      <c r="I1123" s="137">
        <f>IF(Binary!I1123&gt;=1,"X",0)</f>
        <v>0</v>
      </c>
      <c r="J1123" s="137">
        <f>IF(Binary!J1123&gt;=1,"X",0)</f>
        <v>0</v>
      </c>
      <c r="K1123" s="137" t="str">
        <f>IF(Binary!K1123&gt;=1,"X",0)</f>
        <v>X</v>
      </c>
      <c r="L1123" s="137" t="str">
        <f>IF(Binary!L1123&gt;=1,"X",0)</f>
        <v>X</v>
      </c>
      <c r="M1123" t="str">
        <f>'Actual species'!V1123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892</v>
      </c>
      <c r="C1" s="59" t="s">
        <v>875</v>
      </c>
      <c r="D1" s="59" t="s">
        <v>891</v>
      </c>
      <c r="E1" s="59" t="s">
        <v>874</v>
      </c>
      <c r="F1" s="59" t="s">
        <v>897</v>
      </c>
      <c r="G1" s="59" t="s">
        <v>898</v>
      </c>
      <c r="H1" s="59" t="s">
        <v>876</v>
      </c>
      <c r="I1" s="59" t="s">
        <v>877</v>
      </c>
      <c r="J1" s="59" t="s">
        <v>878</v>
      </c>
      <c r="K1" s="59" t="s">
        <v>882</v>
      </c>
      <c r="L1" s="59" t="s">
        <v>881</v>
      </c>
      <c r="M1" s="59" t="s">
        <v>1265</v>
      </c>
      <c r="N1" s="59" t="s">
        <v>976</v>
      </c>
      <c r="O1" s="59" t="s">
        <v>975</v>
      </c>
      <c r="P1" s="59" t="s">
        <v>974</v>
      </c>
      <c r="Q1" s="59" t="s">
        <v>943</v>
      </c>
      <c r="R1" s="59" t="s">
        <v>944</v>
      </c>
      <c r="S1" s="4" t="s">
        <v>977</v>
      </c>
      <c r="T1" s="4" t="s">
        <v>978</v>
      </c>
      <c r="U1" s="4" t="s">
        <v>979</v>
      </c>
      <c r="V1" s="4" t="s">
        <v>1051</v>
      </c>
    </row>
    <row r="2" spans="1:22" x14ac:dyDescent="0.3">
      <c r="A2" s="28" t="s">
        <v>905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880</v>
      </c>
      <c r="I2" t="s">
        <v>906</v>
      </c>
      <c r="J2">
        <v>394.2</v>
      </c>
      <c r="K2" t="s">
        <v>907</v>
      </c>
      <c r="L2" t="s">
        <v>908</v>
      </c>
      <c r="M2">
        <v>760</v>
      </c>
      <c r="N2" t="s">
        <v>904</v>
      </c>
      <c r="O2">
        <v>1170125</v>
      </c>
      <c r="P2">
        <f t="shared" ref="P2:P9" si="0">O2/E2</f>
        <v>126.48632580261594</v>
      </c>
      <c r="R2" t="s">
        <v>945</v>
      </c>
      <c r="T2">
        <f>SUM('Actual species'!B3:E1123)</f>
        <v>7474</v>
      </c>
    </row>
    <row r="3" spans="1:22" x14ac:dyDescent="0.3">
      <c r="A3" s="28" t="s">
        <v>933</v>
      </c>
      <c r="E3">
        <v>209</v>
      </c>
      <c r="F3" t="s">
        <v>938</v>
      </c>
      <c r="G3" t="s">
        <v>937</v>
      </c>
      <c r="H3" t="s">
        <v>939</v>
      </c>
      <c r="I3" t="s">
        <v>940</v>
      </c>
      <c r="J3">
        <f>72.6+53.5+49.1+25+14.6+5.6+6+9.1+17.7+36.2+56+80.5</f>
        <v>425.9</v>
      </c>
      <c r="K3" t="s">
        <v>935</v>
      </c>
      <c r="L3" t="s">
        <v>936</v>
      </c>
      <c r="M3">
        <v>38</v>
      </c>
      <c r="N3" t="s">
        <v>934</v>
      </c>
      <c r="O3">
        <v>2994</v>
      </c>
      <c r="P3">
        <f t="shared" si="0"/>
        <v>14.325358851674642</v>
      </c>
      <c r="R3" t="s">
        <v>945</v>
      </c>
      <c r="T3">
        <f>SUM('Actual species'!F3:F1123)</f>
        <v>808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880</v>
      </c>
      <c r="I4" t="s">
        <v>951</v>
      </c>
      <c r="J4">
        <v>574</v>
      </c>
      <c r="K4" t="s">
        <v>952</v>
      </c>
      <c r="L4" t="s">
        <v>953</v>
      </c>
      <c r="M4">
        <v>135</v>
      </c>
      <c r="N4" t="s">
        <v>910</v>
      </c>
      <c r="O4">
        <v>8423</v>
      </c>
      <c r="P4">
        <f t="shared" si="0"/>
        <v>32.652349201426581</v>
      </c>
      <c r="R4" t="s">
        <v>945</v>
      </c>
      <c r="T4">
        <f>SUM('Actual species'!G3:G1123)</f>
        <v>819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927</v>
      </c>
      <c r="G5" t="s">
        <v>928</v>
      </c>
      <c r="H5" t="s">
        <v>929</v>
      </c>
      <c r="I5" t="s">
        <v>930</v>
      </c>
      <c r="J5">
        <v>714.7</v>
      </c>
      <c r="K5" t="s">
        <v>931</v>
      </c>
      <c r="L5" t="s">
        <v>932</v>
      </c>
      <c r="M5">
        <v>180</v>
      </c>
      <c r="N5" t="s">
        <v>926</v>
      </c>
      <c r="O5">
        <v>32977</v>
      </c>
      <c r="P5">
        <f t="shared" si="0"/>
        <v>69.076246334310852</v>
      </c>
      <c r="R5" t="s">
        <v>945</v>
      </c>
      <c r="T5">
        <f>SUM('Actual species'!H3:H1123)</f>
        <v>1931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918</v>
      </c>
      <c r="G6" t="s">
        <v>917</v>
      </c>
      <c r="H6" t="s">
        <v>916</v>
      </c>
      <c r="I6" t="s">
        <v>915</v>
      </c>
      <c r="J6">
        <v>670.6</v>
      </c>
      <c r="K6" t="s">
        <v>914</v>
      </c>
      <c r="L6" t="s">
        <v>913</v>
      </c>
      <c r="M6">
        <v>158</v>
      </c>
      <c r="N6" t="s">
        <v>912</v>
      </c>
      <c r="O6">
        <v>86436</v>
      </c>
      <c r="P6">
        <f t="shared" si="0"/>
        <v>52.930802204531538</v>
      </c>
      <c r="R6" t="s">
        <v>945</v>
      </c>
      <c r="T6">
        <f>SUM('Actual species'!I3:I1123)</f>
        <v>2031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899</v>
      </c>
      <c r="G7" t="s">
        <v>900</v>
      </c>
      <c r="H7" t="s">
        <v>895</v>
      </c>
      <c r="I7" t="s">
        <v>896</v>
      </c>
      <c r="J7">
        <f>90.1+67.6+58.2+28.5+14.2+3.5+1+0.6+17.7+64.9+59+77.9</f>
        <v>483.19999999999993</v>
      </c>
      <c r="K7" t="s">
        <v>893</v>
      </c>
      <c r="L7" t="s">
        <v>894</v>
      </c>
      <c r="M7">
        <v>160</v>
      </c>
      <c r="N7" t="s">
        <v>890</v>
      </c>
      <c r="O7">
        <v>623065</v>
      </c>
      <c r="P7">
        <f t="shared" si="0"/>
        <v>75.040949054558595</v>
      </c>
      <c r="R7" t="s">
        <v>945</v>
      </c>
      <c r="T7">
        <f>SUM('Actual species'!J3:J1123)</f>
        <v>4407</v>
      </c>
      <c r="U7">
        <f>COUNT('Actual species'!J3:J1123)</f>
        <v>171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920</v>
      </c>
      <c r="G8" t="s">
        <v>921</v>
      </c>
      <c r="H8" t="s">
        <v>922</v>
      </c>
      <c r="I8" t="s">
        <v>923</v>
      </c>
      <c r="J8">
        <v>703</v>
      </c>
      <c r="K8" t="s">
        <v>924</v>
      </c>
      <c r="L8" t="s">
        <v>925</v>
      </c>
      <c r="M8">
        <v>363</v>
      </c>
      <c r="N8" t="s">
        <v>919</v>
      </c>
      <c r="O8">
        <v>115490</v>
      </c>
      <c r="P8">
        <f t="shared" si="0"/>
        <v>82.492857142857147</v>
      </c>
      <c r="R8" t="s">
        <v>945</v>
      </c>
      <c r="T8">
        <f>SUM('Actual species'!K3:K1123)</f>
        <v>1541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880</v>
      </c>
      <c r="I9" s="99" t="s">
        <v>879</v>
      </c>
      <c r="J9" s="99">
        <v>520</v>
      </c>
      <c r="K9" t="s">
        <v>883</v>
      </c>
      <c r="L9" t="s">
        <v>884</v>
      </c>
      <c r="M9">
        <v>112</v>
      </c>
      <c r="N9" t="s">
        <v>871</v>
      </c>
      <c r="O9">
        <v>51930</v>
      </c>
      <c r="P9">
        <f t="shared" si="0"/>
        <v>61.013006238764937</v>
      </c>
      <c r="R9" t="s">
        <v>945</v>
      </c>
      <c r="T9">
        <f>SUM('Actual species'!L3:L1123)</f>
        <v>553</v>
      </c>
    </row>
    <row r="10" spans="1:22" x14ac:dyDescent="0.3">
      <c r="A10" s="28" t="s">
        <v>870</v>
      </c>
      <c r="B10" t="s">
        <v>134</v>
      </c>
      <c r="C10">
        <v>32</v>
      </c>
      <c r="D10">
        <v>64</v>
      </c>
      <c r="E10">
        <v>610.9</v>
      </c>
      <c r="F10" t="s">
        <v>902</v>
      </c>
      <c r="G10" t="s">
        <v>903</v>
      </c>
      <c r="H10" t="s">
        <v>886</v>
      </c>
      <c r="I10" t="s">
        <v>887</v>
      </c>
      <c r="J10">
        <v>1097.3</v>
      </c>
      <c r="K10" t="s">
        <v>888</v>
      </c>
      <c r="L10" t="s">
        <v>889</v>
      </c>
      <c r="M10" t="s">
        <v>134</v>
      </c>
      <c r="N10" t="s">
        <v>885</v>
      </c>
      <c r="O10">
        <v>102071</v>
      </c>
      <c r="P10">
        <f t="shared" ref="P10:P16" si="1">O10/E10</f>
        <v>167.08299230643314</v>
      </c>
      <c r="R10" t="s">
        <v>945</v>
      </c>
      <c r="T10">
        <f>SUM('Actual species'!M3:M1123)</f>
        <v>10330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947</v>
      </c>
      <c r="I11" t="s">
        <v>948</v>
      </c>
      <c r="J11">
        <v>740</v>
      </c>
      <c r="K11" t="s">
        <v>949</v>
      </c>
      <c r="L11" t="s">
        <v>950</v>
      </c>
      <c r="M11">
        <v>275</v>
      </c>
      <c r="N11" t="s">
        <v>911</v>
      </c>
      <c r="O11">
        <v>33388</v>
      </c>
      <c r="P11">
        <f t="shared" si="1"/>
        <v>115.50543139832561</v>
      </c>
      <c r="R11" t="s">
        <v>945</v>
      </c>
      <c r="T11">
        <f>SUM('Actual species'!N2:N1123)</f>
        <v>567</v>
      </c>
    </row>
    <row r="12" spans="1:22" x14ac:dyDescent="0.3">
      <c r="A12" s="28" t="s">
        <v>1118</v>
      </c>
      <c r="E12">
        <v>301</v>
      </c>
      <c r="H12" t="s">
        <v>880</v>
      </c>
      <c r="I12" t="s">
        <v>1262</v>
      </c>
      <c r="J12">
        <v>678</v>
      </c>
      <c r="M12">
        <v>355</v>
      </c>
      <c r="N12" t="s">
        <v>1292</v>
      </c>
      <c r="O12">
        <v>6226</v>
      </c>
      <c r="P12">
        <f t="shared" si="1"/>
        <v>20.684385382059801</v>
      </c>
    </row>
    <row r="13" spans="1:22" x14ac:dyDescent="0.3">
      <c r="A13" s="27" t="s">
        <v>941</v>
      </c>
      <c r="B13" t="s">
        <v>959</v>
      </c>
      <c r="C13" t="s">
        <v>959</v>
      </c>
      <c r="D13" t="s">
        <v>959</v>
      </c>
      <c r="E13">
        <v>1868</v>
      </c>
      <c r="F13" t="s">
        <v>134</v>
      </c>
      <c r="G13" t="s">
        <v>134</v>
      </c>
      <c r="H13" t="s">
        <v>956</v>
      </c>
      <c r="I13" t="s">
        <v>955</v>
      </c>
      <c r="J13">
        <v>882</v>
      </c>
      <c r="K13" s="100" t="s">
        <v>957</v>
      </c>
      <c r="L13" t="s">
        <v>958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959</v>
      </c>
      <c r="R13" t="s">
        <v>954</v>
      </c>
      <c r="T13">
        <f>SUM('Actual species'!P3:P1123)</f>
        <v>176</v>
      </c>
    </row>
    <row r="14" spans="1:22" x14ac:dyDescent="0.3">
      <c r="A14" s="27" t="s">
        <v>960</v>
      </c>
      <c r="B14" t="s">
        <v>959</v>
      </c>
      <c r="C14" t="s">
        <v>959</v>
      </c>
      <c r="D14" t="s">
        <v>959</v>
      </c>
      <c r="E14">
        <v>4440</v>
      </c>
      <c r="F14" t="s">
        <v>134</v>
      </c>
      <c r="G14" t="s">
        <v>134</v>
      </c>
      <c r="H14" t="s">
        <v>962</v>
      </c>
      <c r="I14" t="s">
        <v>961</v>
      </c>
      <c r="J14">
        <v>660</v>
      </c>
      <c r="K14" t="s">
        <v>963</v>
      </c>
      <c r="L14" t="s">
        <v>964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959</v>
      </c>
      <c r="R14" t="s">
        <v>945</v>
      </c>
      <c r="T14">
        <f>SUM('Actual species'!Q3:Q1123)</f>
        <v>1030</v>
      </c>
    </row>
    <row r="15" spans="1:22" x14ac:dyDescent="0.3">
      <c r="A15" s="27" t="s">
        <v>965</v>
      </c>
      <c r="B15" t="s">
        <v>959</v>
      </c>
      <c r="C15" t="s">
        <v>959</v>
      </c>
      <c r="D15" t="s">
        <v>959</v>
      </c>
      <c r="E15">
        <v>2120</v>
      </c>
      <c r="F15" t="s">
        <v>134</v>
      </c>
      <c r="G15" t="s">
        <v>134</v>
      </c>
      <c r="H15" t="s">
        <v>962</v>
      </c>
      <c r="I15" t="s">
        <v>966</v>
      </c>
      <c r="J15">
        <v>714</v>
      </c>
      <c r="K15" t="s">
        <v>967</v>
      </c>
      <c r="L15" t="s">
        <v>968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959</v>
      </c>
      <c r="R15" t="s">
        <v>945</v>
      </c>
      <c r="T15">
        <f>SUM('Actual species'!R3:R1123)</f>
        <v>467</v>
      </c>
    </row>
    <row r="16" spans="1:22" ht="15" thickBot="1" x14ac:dyDescent="0.35">
      <c r="A16" s="102" t="s">
        <v>942</v>
      </c>
      <c r="B16" t="s">
        <v>959</v>
      </c>
      <c r="C16" t="s">
        <v>959</v>
      </c>
      <c r="D16" t="s">
        <v>959</v>
      </c>
      <c r="E16">
        <v>1924</v>
      </c>
      <c r="F16" t="s">
        <v>134</v>
      </c>
      <c r="G16" t="s">
        <v>134</v>
      </c>
      <c r="H16" t="s">
        <v>971</v>
      </c>
      <c r="I16" t="s">
        <v>970</v>
      </c>
      <c r="J16">
        <v>623</v>
      </c>
      <c r="K16" s="100" t="s">
        <v>972</v>
      </c>
      <c r="L16" t="s">
        <v>973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959</v>
      </c>
      <c r="R16" t="s">
        <v>969</v>
      </c>
      <c r="T16">
        <f>SUM('Actual species'!S3:S1123)</f>
        <v>2112</v>
      </c>
    </row>
    <row r="17" spans="1:20" x14ac:dyDescent="0.3">
      <c r="A17" t="s">
        <v>993</v>
      </c>
      <c r="E17">
        <v>4990</v>
      </c>
      <c r="H17" t="s">
        <v>1260</v>
      </c>
      <c r="I17" t="s">
        <v>1264</v>
      </c>
      <c r="J17">
        <v>1181</v>
      </c>
      <c r="T17">
        <f>SUM('Actual species'!T3:T1123)</f>
        <v>61</v>
      </c>
    </row>
    <row r="18" spans="1:20" x14ac:dyDescent="0.3">
      <c r="A18" t="s">
        <v>994</v>
      </c>
      <c r="H18" t="s">
        <v>1261</v>
      </c>
      <c r="I18" t="s">
        <v>1263</v>
      </c>
      <c r="J18">
        <v>912</v>
      </c>
      <c r="T18">
        <f>SUM('Actual species'!U3:U1123)</f>
        <v>756</v>
      </c>
    </row>
    <row r="24" spans="1:20" x14ac:dyDescent="0.3">
      <c r="A24" t="s">
        <v>872</v>
      </c>
    </row>
    <row r="25" spans="1:20" x14ac:dyDescent="0.3">
      <c r="E25" t="s">
        <v>873</v>
      </c>
    </row>
    <row r="26" spans="1:20" x14ac:dyDescent="0.3">
      <c r="E26" s="103" t="s">
        <v>901</v>
      </c>
    </row>
    <row r="27" spans="1:20" x14ac:dyDescent="0.3">
      <c r="E27" t="s">
        <v>909</v>
      </c>
    </row>
    <row r="28" spans="1:20" x14ac:dyDescent="0.3">
      <c r="E28" t="s">
        <v>946</v>
      </c>
    </row>
    <row r="29" spans="1:20" x14ac:dyDescent="0.3">
      <c r="E29" t="s">
        <v>1050</v>
      </c>
    </row>
  </sheetData>
  <sortState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L100"/>
  <sheetViews>
    <sheetView zoomScaleNormal="100" workbookViewId="0">
      <pane xSplit="1" ySplit="1" topLeftCell="E75" activePane="bottomRight" state="frozen"/>
      <selection pane="topRight" activeCell="B1" sqref="B1"/>
      <selection pane="bottomLeft" activeCell="A2" sqref="A2"/>
      <selection pane="bottomRight" activeCell="F90" sqref="F90:H100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2" x14ac:dyDescent="0.3">
      <c r="B1" t="s">
        <v>933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1118</v>
      </c>
    </row>
    <row r="2" spans="1:12" x14ac:dyDescent="0.3">
      <c r="A2" t="s">
        <v>1085</v>
      </c>
      <c r="B2" t="s">
        <v>959</v>
      </c>
      <c r="C2" t="s">
        <v>959</v>
      </c>
      <c r="D2">
        <v>1770006</v>
      </c>
      <c r="E2" t="s">
        <v>959</v>
      </c>
      <c r="F2" t="s">
        <v>959</v>
      </c>
      <c r="G2" t="s">
        <v>959</v>
      </c>
      <c r="H2">
        <v>3392710</v>
      </c>
      <c r="I2">
        <v>4507839</v>
      </c>
      <c r="J2">
        <v>5738794</v>
      </c>
      <c r="K2">
        <v>1199456</v>
      </c>
      <c r="L2" t="s">
        <v>959</v>
      </c>
    </row>
    <row r="3" spans="1:12" x14ac:dyDescent="0.3">
      <c r="A3" t="s">
        <v>1057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940007</v>
      </c>
    </row>
    <row r="4" spans="1:12" x14ac:dyDescent="0.3">
      <c r="A4" t="s">
        <v>1058</v>
      </c>
      <c r="B4">
        <v>3339500</v>
      </c>
      <c r="C4">
        <v>2129136</v>
      </c>
      <c r="D4">
        <v>960003</v>
      </c>
      <c r="E4">
        <v>280450</v>
      </c>
      <c r="F4" t="s">
        <v>959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 t="s">
        <v>959</v>
      </c>
    </row>
    <row r="5" spans="1:12" x14ac:dyDescent="0.3">
      <c r="A5" t="s">
        <v>1059</v>
      </c>
      <c r="B5" t="s">
        <v>959</v>
      </c>
      <c r="C5">
        <v>409833</v>
      </c>
      <c r="D5" t="s">
        <v>959</v>
      </c>
      <c r="E5" t="s">
        <v>959</v>
      </c>
      <c r="F5" t="s">
        <v>959</v>
      </c>
      <c r="G5" t="s">
        <v>959</v>
      </c>
      <c r="H5" t="s">
        <v>959</v>
      </c>
      <c r="I5">
        <v>5847197</v>
      </c>
      <c r="J5">
        <v>6838563</v>
      </c>
      <c r="K5" t="s">
        <v>959</v>
      </c>
      <c r="L5" t="s">
        <v>959</v>
      </c>
    </row>
    <row r="6" spans="1:12" x14ac:dyDescent="0.3">
      <c r="A6" t="s">
        <v>1086</v>
      </c>
      <c r="B6">
        <v>289956</v>
      </c>
      <c r="C6" t="s">
        <v>959</v>
      </c>
      <c r="D6">
        <v>360001</v>
      </c>
      <c r="E6">
        <v>881415</v>
      </c>
      <c r="F6" t="s">
        <v>959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959</v>
      </c>
    </row>
    <row r="7" spans="1:12" x14ac:dyDescent="0.3">
      <c r="A7" t="s">
        <v>1060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1920015</v>
      </c>
    </row>
    <row r="8" spans="1:12" x14ac:dyDescent="0.3">
      <c r="A8" t="s">
        <v>1062</v>
      </c>
      <c r="B8" t="s">
        <v>959</v>
      </c>
      <c r="C8">
        <v>1469404</v>
      </c>
      <c r="D8">
        <v>380001</v>
      </c>
      <c r="E8">
        <v>490788</v>
      </c>
      <c r="F8" t="s">
        <v>959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270002</v>
      </c>
    </row>
    <row r="9" spans="1:12" x14ac:dyDescent="0.3">
      <c r="A9" t="s">
        <v>1091</v>
      </c>
      <c r="B9" t="s">
        <v>959</v>
      </c>
      <c r="C9" t="s">
        <v>959</v>
      </c>
      <c r="D9" t="s">
        <v>959</v>
      </c>
      <c r="E9" t="s">
        <v>959</v>
      </c>
      <c r="F9" t="s">
        <v>959</v>
      </c>
      <c r="G9" t="s">
        <v>959</v>
      </c>
      <c r="H9">
        <v>270215</v>
      </c>
      <c r="I9">
        <v>859588</v>
      </c>
      <c r="J9">
        <v>3159336</v>
      </c>
      <c r="K9">
        <v>289868</v>
      </c>
      <c r="L9" t="s">
        <v>959</v>
      </c>
    </row>
    <row r="10" spans="1:12" x14ac:dyDescent="0.3">
      <c r="A10" t="s">
        <v>1061</v>
      </c>
      <c r="B10">
        <v>289956</v>
      </c>
      <c r="C10">
        <v>339862</v>
      </c>
      <c r="D10" t="s">
        <v>959</v>
      </c>
      <c r="E10" t="s">
        <v>959</v>
      </c>
      <c r="F10" t="s">
        <v>959</v>
      </c>
      <c r="G10" t="s">
        <v>959</v>
      </c>
      <c r="H10">
        <v>900719</v>
      </c>
      <c r="I10">
        <v>6986651</v>
      </c>
      <c r="J10">
        <v>13977063</v>
      </c>
      <c r="K10" t="s">
        <v>959</v>
      </c>
      <c r="L10" t="s">
        <v>959</v>
      </c>
    </row>
    <row r="11" spans="1:12" x14ac:dyDescent="0.3">
      <c r="A11" t="s">
        <v>1092</v>
      </c>
      <c r="B11" t="s">
        <v>959</v>
      </c>
      <c r="C11" t="s">
        <v>959</v>
      </c>
      <c r="D11" t="s">
        <v>959</v>
      </c>
      <c r="E11" t="s">
        <v>959</v>
      </c>
      <c r="F11" t="s">
        <v>959</v>
      </c>
      <c r="G11" t="s">
        <v>959</v>
      </c>
      <c r="H11">
        <v>410327</v>
      </c>
      <c r="I11" t="s">
        <v>959</v>
      </c>
      <c r="J11">
        <v>10047889</v>
      </c>
      <c r="K11">
        <v>259882</v>
      </c>
      <c r="L11">
        <v>340002</v>
      </c>
    </row>
    <row r="12" spans="1:12" x14ac:dyDescent="0.3">
      <c r="A12" t="s">
        <v>1089</v>
      </c>
      <c r="B12">
        <v>339949</v>
      </c>
      <c r="C12" t="s">
        <v>959</v>
      </c>
      <c r="D12" t="s">
        <v>959</v>
      </c>
      <c r="E12">
        <v>721158</v>
      </c>
      <c r="F12" t="s">
        <v>959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2450020</v>
      </c>
    </row>
    <row r="13" spans="1:12" x14ac:dyDescent="0.3">
      <c r="A13" t="s">
        <v>1063</v>
      </c>
      <c r="B13">
        <v>3489477</v>
      </c>
      <c r="C13">
        <v>33136567</v>
      </c>
      <c r="D13">
        <v>3920015</v>
      </c>
      <c r="E13">
        <v>3054907</v>
      </c>
      <c r="F13" t="s">
        <v>959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 t="s">
        <v>959</v>
      </c>
    </row>
    <row r="14" spans="1:12" x14ac:dyDescent="0.3">
      <c r="A14" t="s">
        <v>1094</v>
      </c>
      <c r="B14" t="s">
        <v>959</v>
      </c>
      <c r="C14" t="s">
        <v>959</v>
      </c>
      <c r="D14" t="s">
        <v>959</v>
      </c>
      <c r="E14" t="s">
        <v>959</v>
      </c>
      <c r="F14" t="s">
        <v>959</v>
      </c>
      <c r="G14" t="s">
        <v>959</v>
      </c>
      <c r="H14" t="s">
        <v>959</v>
      </c>
      <c r="I14">
        <v>49436305</v>
      </c>
      <c r="J14">
        <v>254566519</v>
      </c>
      <c r="K14" t="s">
        <v>959</v>
      </c>
      <c r="L14" t="s">
        <v>959</v>
      </c>
    </row>
    <row r="15" spans="1:12" x14ac:dyDescent="0.3">
      <c r="A15" t="s">
        <v>1065</v>
      </c>
      <c r="B15" t="s">
        <v>959</v>
      </c>
      <c r="C15">
        <v>1269485</v>
      </c>
      <c r="D15">
        <v>310001</v>
      </c>
      <c r="E15">
        <v>20853496</v>
      </c>
      <c r="F15">
        <v>300724</v>
      </c>
      <c r="G15" t="s">
        <v>959</v>
      </c>
      <c r="H15">
        <v>6805437</v>
      </c>
      <c r="I15">
        <v>223332960</v>
      </c>
      <c r="J15">
        <v>140210544</v>
      </c>
      <c r="K15">
        <v>549750</v>
      </c>
      <c r="L15" t="s">
        <v>959</v>
      </c>
    </row>
    <row r="16" spans="1:12" x14ac:dyDescent="0.3">
      <c r="A16" t="s">
        <v>1066</v>
      </c>
      <c r="B16" t="s">
        <v>959</v>
      </c>
      <c r="C16">
        <v>1739294</v>
      </c>
      <c r="D16">
        <v>10660041</v>
      </c>
      <c r="E16">
        <v>6540505</v>
      </c>
      <c r="F16" t="s">
        <v>959</v>
      </c>
      <c r="G16" t="s">
        <v>959</v>
      </c>
      <c r="H16">
        <v>4593670</v>
      </c>
      <c r="I16">
        <v>52534820</v>
      </c>
      <c r="J16">
        <v>169864314</v>
      </c>
      <c r="K16" t="s">
        <v>959</v>
      </c>
      <c r="L16" t="s">
        <v>959</v>
      </c>
    </row>
    <row r="17" spans="1:12" x14ac:dyDescent="0.3">
      <c r="A17" t="s">
        <v>1082</v>
      </c>
      <c r="B17" t="s">
        <v>959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4560037</v>
      </c>
    </row>
    <row r="18" spans="1:12" x14ac:dyDescent="0.3">
      <c r="A18" t="s">
        <v>1064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2840023</v>
      </c>
    </row>
    <row r="19" spans="1:12" x14ac:dyDescent="0.3">
      <c r="A19" t="s">
        <v>1067</v>
      </c>
      <c r="B19" t="s">
        <v>959</v>
      </c>
      <c r="C19">
        <v>4418209</v>
      </c>
      <c r="D19" t="s">
        <v>959</v>
      </c>
      <c r="E19" t="s">
        <v>959</v>
      </c>
      <c r="F19" t="s">
        <v>959</v>
      </c>
      <c r="G19" t="s">
        <v>959</v>
      </c>
      <c r="H19" t="s">
        <v>959</v>
      </c>
      <c r="I19" t="s">
        <v>959</v>
      </c>
      <c r="J19">
        <v>321672421</v>
      </c>
      <c r="K19" t="s">
        <v>959</v>
      </c>
      <c r="L19" t="s">
        <v>959</v>
      </c>
    </row>
    <row r="20" spans="1:12" x14ac:dyDescent="0.3">
      <c r="A20" t="s">
        <v>1068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18020147</v>
      </c>
    </row>
    <row r="21" spans="1:12" x14ac:dyDescent="0.3">
      <c r="A21" t="s">
        <v>1069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20070164</v>
      </c>
    </row>
    <row r="22" spans="1:12" x14ac:dyDescent="0.3">
      <c r="A22" t="s">
        <v>1072</v>
      </c>
      <c r="B22" t="s">
        <v>959</v>
      </c>
      <c r="C22">
        <v>15113873</v>
      </c>
      <c r="D22" t="s">
        <v>959</v>
      </c>
      <c r="E22">
        <v>7021278</v>
      </c>
      <c r="F22">
        <v>32257749</v>
      </c>
      <c r="G22" t="s">
        <v>959</v>
      </c>
      <c r="H22">
        <v>1591271</v>
      </c>
      <c r="I22">
        <v>68827012</v>
      </c>
      <c r="J22">
        <v>5048729</v>
      </c>
      <c r="K22">
        <v>5577471</v>
      </c>
      <c r="L22" t="s">
        <v>959</v>
      </c>
    </row>
    <row r="23" spans="1:12" x14ac:dyDescent="0.3">
      <c r="A23" t="s">
        <v>1071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959</v>
      </c>
      <c r="L23">
        <v>12950106</v>
      </c>
    </row>
    <row r="24" spans="1:12" x14ac:dyDescent="0.3">
      <c r="A24" t="s">
        <v>1073</v>
      </c>
      <c r="B24" t="s">
        <v>959</v>
      </c>
      <c r="C24">
        <v>18912333</v>
      </c>
      <c r="D24">
        <v>1410005</v>
      </c>
      <c r="E24">
        <v>25631170</v>
      </c>
      <c r="F24">
        <v>2947103</v>
      </c>
      <c r="G24" t="s">
        <v>959</v>
      </c>
      <c r="H24">
        <v>590471</v>
      </c>
      <c r="I24">
        <v>9415487</v>
      </c>
      <c r="J24">
        <v>3429279</v>
      </c>
      <c r="K24">
        <v>2648799</v>
      </c>
      <c r="L24" t="s">
        <v>959</v>
      </c>
    </row>
    <row r="25" spans="1:12" x14ac:dyDescent="0.3">
      <c r="A25" t="s">
        <v>1074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45230371</v>
      </c>
    </row>
    <row r="26" spans="1:12" x14ac:dyDescent="0.3">
      <c r="A26" t="s">
        <v>1095</v>
      </c>
      <c r="B26" t="s">
        <v>959</v>
      </c>
      <c r="C26" t="s">
        <v>959</v>
      </c>
      <c r="D26" t="s">
        <v>959</v>
      </c>
      <c r="E26" t="s">
        <v>959</v>
      </c>
      <c r="F26" t="s">
        <v>959</v>
      </c>
      <c r="G26" t="s">
        <v>959</v>
      </c>
      <c r="H26" t="s">
        <v>959</v>
      </c>
      <c r="I26">
        <v>279865</v>
      </c>
      <c r="J26" t="s">
        <v>959</v>
      </c>
      <c r="K26" t="s">
        <v>959</v>
      </c>
      <c r="L26" t="s">
        <v>959</v>
      </c>
    </row>
    <row r="27" spans="1:12" x14ac:dyDescent="0.3">
      <c r="A27" t="s">
        <v>1075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127361045</v>
      </c>
    </row>
    <row r="28" spans="1:12" x14ac:dyDescent="0.3">
      <c r="A28" t="s">
        <v>1076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27800392</v>
      </c>
    </row>
    <row r="29" spans="1:12" x14ac:dyDescent="0.3">
      <c r="A29" t="s">
        <v>1079</v>
      </c>
      <c r="B29" t="s">
        <v>959</v>
      </c>
      <c r="C29">
        <v>229906</v>
      </c>
      <c r="D29" t="s">
        <v>959</v>
      </c>
      <c r="E29">
        <v>250402</v>
      </c>
      <c r="F29" t="s">
        <v>959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959</v>
      </c>
    </row>
    <row r="30" spans="1:12" s="124" customFormat="1" x14ac:dyDescent="0.3">
      <c r="A30" s="124" t="s">
        <v>1088</v>
      </c>
      <c r="B30" s="124" t="s">
        <v>959</v>
      </c>
      <c r="C30" s="124" t="s">
        <v>959</v>
      </c>
      <c r="D30" s="124">
        <v>620002</v>
      </c>
      <c r="E30" s="124">
        <v>3595775</v>
      </c>
      <c r="F30" s="124">
        <v>1934663</v>
      </c>
      <c r="G30" s="124" t="s">
        <v>959</v>
      </c>
      <c r="H30" s="124" t="s">
        <v>959</v>
      </c>
      <c r="I30" s="124">
        <v>99502310</v>
      </c>
      <c r="J30" s="124">
        <v>13957067</v>
      </c>
      <c r="K30" s="124" t="s">
        <v>959</v>
      </c>
      <c r="L30" s="124">
        <v>4930040</v>
      </c>
    </row>
    <row r="31" spans="1:12" x14ac:dyDescent="0.3">
      <c r="A31" t="s">
        <v>1087</v>
      </c>
      <c r="B31">
        <v>12968059</v>
      </c>
      <c r="C31" t="s">
        <v>959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8800072</v>
      </c>
    </row>
    <row r="32" spans="1:12" x14ac:dyDescent="0.3">
      <c r="A32" t="s">
        <v>1090</v>
      </c>
      <c r="B32">
        <v>979852</v>
      </c>
      <c r="C32" t="s">
        <v>959</v>
      </c>
      <c r="D32" t="s">
        <v>959</v>
      </c>
      <c r="E32" t="s">
        <v>959</v>
      </c>
      <c r="F32" t="s">
        <v>959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959</v>
      </c>
    </row>
    <row r="33" spans="1:12" x14ac:dyDescent="0.3">
      <c r="A33" t="s">
        <v>1096</v>
      </c>
      <c r="B33" t="s">
        <v>959</v>
      </c>
      <c r="C33" t="s">
        <v>959</v>
      </c>
      <c r="D33" t="s">
        <v>959</v>
      </c>
      <c r="E33" t="s">
        <v>959</v>
      </c>
      <c r="F33" t="s">
        <v>959</v>
      </c>
      <c r="G33" t="s">
        <v>959</v>
      </c>
      <c r="H33" t="s">
        <v>959</v>
      </c>
      <c r="I33" t="s">
        <v>959</v>
      </c>
      <c r="J33">
        <v>4988951</v>
      </c>
      <c r="K33">
        <v>1139483</v>
      </c>
      <c r="L33" t="s">
        <v>959</v>
      </c>
    </row>
    <row r="34" spans="1:12" x14ac:dyDescent="0.3">
      <c r="A34" t="s">
        <v>1078</v>
      </c>
      <c r="B34" t="s">
        <v>959</v>
      </c>
      <c r="C34">
        <v>4188302</v>
      </c>
      <c r="D34" t="s">
        <v>959</v>
      </c>
      <c r="E34">
        <v>671077</v>
      </c>
      <c r="F34" t="s">
        <v>959</v>
      </c>
      <c r="G34" t="s">
        <v>959</v>
      </c>
      <c r="H34" t="s">
        <v>959</v>
      </c>
      <c r="I34" t="s">
        <v>959</v>
      </c>
      <c r="J34">
        <v>19755849</v>
      </c>
      <c r="K34">
        <v>289868</v>
      </c>
      <c r="L34" t="s">
        <v>959</v>
      </c>
    </row>
    <row r="35" spans="1:12" s="123" customFormat="1" x14ac:dyDescent="0.3">
      <c r="A35" s="123" t="s">
        <v>1080</v>
      </c>
      <c r="B35" s="123" t="s">
        <v>959</v>
      </c>
      <c r="C35" s="123">
        <v>3928407</v>
      </c>
      <c r="D35" s="123" t="s">
        <v>959</v>
      </c>
      <c r="E35" s="123">
        <v>280450</v>
      </c>
      <c r="F35" s="123" t="s">
        <v>959</v>
      </c>
      <c r="G35" s="123">
        <v>818643</v>
      </c>
      <c r="H35" s="123" t="s">
        <v>959</v>
      </c>
      <c r="I35" s="123" t="s">
        <v>959</v>
      </c>
      <c r="J35" s="123" t="s">
        <v>959</v>
      </c>
      <c r="K35" s="123">
        <v>959564</v>
      </c>
      <c r="L35" s="123" t="s">
        <v>959</v>
      </c>
    </row>
    <row r="36" spans="1:12" s="123" customFormat="1" x14ac:dyDescent="0.3">
      <c r="A36" s="123" t="s">
        <v>1097</v>
      </c>
      <c r="B36" s="123" t="s">
        <v>959</v>
      </c>
      <c r="C36" s="123" t="s">
        <v>959</v>
      </c>
      <c r="D36" s="123" t="s">
        <v>959</v>
      </c>
      <c r="E36" s="123" t="s">
        <v>959</v>
      </c>
      <c r="F36" s="123" t="s">
        <v>959</v>
      </c>
      <c r="G36" s="123" t="s">
        <v>959</v>
      </c>
      <c r="H36" s="123" t="s">
        <v>959</v>
      </c>
      <c r="I36" s="123" t="s">
        <v>959</v>
      </c>
      <c r="J36" s="123">
        <v>269943</v>
      </c>
      <c r="K36" s="123" t="s">
        <v>959</v>
      </c>
      <c r="L36" s="123" t="s">
        <v>959</v>
      </c>
    </row>
    <row r="37" spans="1:12" s="124" customFormat="1" x14ac:dyDescent="0.3">
      <c r="A37" s="124" t="s">
        <v>1081</v>
      </c>
      <c r="B37" s="124" t="s">
        <v>959</v>
      </c>
      <c r="C37" s="124">
        <v>329866</v>
      </c>
      <c r="D37" s="124" t="s">
        <v>959</v>
      </c>
      <c r="F37" s="124" t="s">
        <v>959</v>
      </c>
      <c r="G37" s="124" t="s">
        <v>959</v>
      </c>
      <c r="H37" s="124">
        <v>4843870</v>
      </c>
      <c r="I37" s="124">
        <v>4877662</v>
      </c>
      <c r="J37" s="124">
        <v>21255534</v>
      </c>
      <c r="K37" s="124" t="s">
        <v>959</v>
      </c>
      <c r="L37" s="124" t="s">
        <v>959</v>
      </c>
    </row>
    <row r="38" spans="1:12" s="124" customFormat="1" x14ac:dyDescent="0.3">
      <c r="A38" s="124" t="s">
        <v>1098</v>
      </c>
      <c r="B38" s="124" t="s">
        <v>959</v>
      </c>
      <c r="C38" s="124" t="s">
        <v>959</v>
      </c>
      <c r="D38" s="124" t="s">
        <v>959</v>
      </c>
      <c r="E38" s="124" t="s">
        <v>959</v>
      </c>
      <c r="F38" s="124" t="s">
        <v>959</v>
      </c>
      <c r="G38" s="124" t="s">
        <v>959</v>
      </c>
      <c r="H38" s="124" t="s">
        <v>959</v>
      </c>
      <c r="I38" s="124" t="s">
        <v>959</v>
      </c>
      <c r="J38" s="124" t="s">
        <v>959</v>
      </c>
      <c r="K38" s="124">
        <v>5827357</v>
      </c>
      <c r="L38" s="124" t="s">
        <v>959</v>
      </c>
    </row>
    <row r="39" spans="1:12" x14ac:dyDescent="0.3">
      <c r="A39" t="s">
        <v>1052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</row>
    <row r="41" spans="1:12" x14ac:dyDescent="0.3">
      <c r="A41" t="s">
        <v>1054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" si="2">SUM(L2:L12)</f>
        <v>5920046</v>
      </c>
    </row>
    <row r="42" spans="1:12" x14ac:dyDescent="0.3">
      <c r="A42" t="s">
        <v>1055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" si="4">SUM(L16,L15,L19,L14)</f>
        <v>0</v>
      </c>
    </row>
    <row r="43" spans="1:12" x14ac:dyDescent="0.3">
      <c r="A43" t="s">
        <v>1070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" si="6">SUM(L22)</f>
        <v>0</v>
      </c>
    </row>
    <row r="44" spans="1:12" x14ac:dyDescent="0.3">
      <c r="A44" t="s">
        <v>1056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" si="8">SUM(L13,L18,L17,L20,L21,L25,L27,L28,L31,L32)</f>
        <v>254682251</v>
      </c>
    </row>
    <row r="45" spans="1:12" x14ac:dyDescent="0.3">
      <c r="A45" t="s">
        <v>1053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" si="10">SUM(L23)</f>
        <v>12950106</v>
      </c>
    </row>
    <row r="46" spans="1:12" x14ac:dyDescent="0.3">
      <c r="A46" t="s">
        <v>1083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" si="12">SUM(L24)</f>
        <v>0</v>
      </c>
    </row>
    <row r="47" spans="1:12" x14ac:dyDescent="0.3">
      <c r="A47" t="s">
        <v>1084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" si="14">SUM(L29)</f>
        <v>0</v>
      </c>
    </row>
    <row r="48" spans="1:12" x14ac:dyDescent="0.3">
      <c r="A48" t="s">
        <v>1077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" si="16">SUM(L34)</f>
        <v>0</v>
      </c>
    </row>
    <row r="50" spans="1:12" x14ac:dyDescent="0.3">
      <c r="A50" s="125" t="s">
        <v>1093</v>
      </c>
      <c r="B50" s="127"/>
      <c r="C50" s="127"/>
      <c r="D50" s="127"/>
      <c r="E50" s="127"/>
      <c r="F50" s="127"/>
      <c r="G50" s="127"/>
      <c r="H50" s="127"/>
      <c r="I50" s="127"/>
    </row>
    <row r="51" spans="1:12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" si="18">L41/SUM(L$41:L$48)</f>
        <v>2.1641359882333039E-2</v>
      </c>
    </row>
    <row r="52" spans="1:12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" si="22">L42/SUM(L$41:L$48)</f>
        <v>0</v>
      </c>
    </row>
    <row r="53" spans="1:12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" si="24">L43/SUM(L$41:L$48)</f>
        <v>0</v>
      </c>
    </row>
    <row r="54" spans="1:12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" si="26">L44/SUM(L$41:L$48)</f>
        <v>0.93101814572617736</v>
      </c>
    </row>
    <row r="55" spans="1:12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" si="28">L45/SUM(L$41:L$48)</f>
        <v>4.7340494391489588E-2</v>
      </c>
    </row>
    <row r="56" spans="1:12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" si="30">L46/SUM(L$41:L$48)</f>
        <v>0</v>
      </c>
    </row>
    <row r="57" spans="1:12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" si="32">L47/SUM(L$41:L$48)</f>
        <v>0</v>
      </c>
    </row>
    <row r="58" spans="1:12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" si="34">L48/SUM(L$41:L$48)</f>
        <v>0</v>
      </c>
    </row>
    <row r="61" spans="1:12" x14ac:dyDescent="0.3">
      <c r="A61" t="s">
        <v>1293</v>
      </c>
      <c r="B61">
        <f>(SUM(B53,B55,B56)/SUM(,B51,B52,B58,B57))</f>
        <v>5.0186352487034549</v>
      </c>
      <c r="C61">
        <f t="shared" ref="C61:L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2.1875009079321344</v>
      </c>
    </row>
    <row r="90" spans="6:12" x14ac:dyDescent="0.3">
      <c r="F90" t="s">
        <v>1297</v>
      </c>
      <c r="G90" t="s">
        <v>1296</v>
      </c>
      <c r="H90" t="s">
        <v>1295</v>
      </c>
      <c r="J90" t="s">
        <v>1297</v>
      </c>
      <c r="K90" t="s">
        <v>1296</v>
      </c>
      <c r="L90" t="s">
        <v>1295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1048</v>
      </c>
    </row>
    <row r="2" spans="1:1" x14ac:dyDescent="0.3">
      <c r="A2" s="100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2019-06-20T11:13:00Z</dcterms:modified>
</cp:coreProperties>
</file>