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5" yWindow="-15" windowWidth="6720" windowHeight="8430"/>
  </bookViews>
  <sheets>
    <sheet name="Weight transfer" sheetId="1" r:id="rId1"/>
  </sheets>
  <calcPr calcId="152511"/>
</workbook>
</file>

<file path=xl/calcChain.xml><?xml version="1.0" encoding="utf-8"?>
<calcChain xmlns="http://schemas.openxmlformats.org/spreadsheetml/2006/main">
  <c r="O16" i="1" l="1"/>
  <c r="O15" i="1"/>
  <c r="O7" i="1" s="1"/>
  <c r="O10" i="1"/>
  <c r="O36" i="1" l="1"/>
  <c r="O33" i="1" s="1"/>
  <c r="O35" i="1"/>
  <c r="O32" i="1" s="1"/>
  <c r="U30" i="1"/>
  <c r="U32" i="1"/>
  <c r="O40" i="1"/>
  <c r="O29" i="1" s="1"/>
  <c r="O41" i="1"/>
  <c r="O30" i="1" s="1"/>
  <c r="O37" i="1" l="1"/>
  <c r="O34" i="1"/>
  <c r="O31" i="1"/>
  <c r="O8" i="1"/>
  <c r="D14" i="1"/>
  <c r="O11" i="1"/>
  <c r="O28" i="1" l="1"/>
  <c r="D18" i="1"/>
  <c r="O9" i="1"/>
  <c r="O12" i="1"/>
  <c r="O6" i="1" l="1"/>
  <c r="U8" i="1"/>
  <c r="U10" i="1" l="1"/>
  <c r="J7" i="1" l="1"/>
  <c r="J8" i="1"/>
  <c r="J6" i="1"/>
  <c r="J5" i="1"/>
  <c r="D10" i="1"/>
  <c r="D16" i="1"/>
  <c r="D15" i="1" l="1"/>
  <c r="O18" i="1"/>
  <c r="O17" i="1"/>
  <c r="J11" i="1" l="1"/>
  <c r="U38" i="1"/>
  <c r="U40" i="1"/>
  <c r="J16" i="1"/>
  <c r="O19" i="1"/>
  <c r="J3" i="1" s="1"/>
  <c r="J9" i="1"/>
  <c r="U18" i="1"/>
  <c r="J13" i="1"/>
  <c r="J10" i="1"/>
  <c r="J15" i="1"/>
  <c r="J14" i="1"/>
  <c r="J12" i="1"/>
  <c r="U16" i="1"/>
  <c r="O20" i="1" l="1"/>
  <c r="J17" i="1" s="1"/>
  <c r="O26" i="1"/>
  <c r="O25" i="1" s="1"/>
  <c r="U34" i="1"/>
  <c r="U36" i="1"/>
  <c r="U28" i="1" s="1"/>
  <c r="O4" i="1"/>
  <c r="O3" i="1" s="1"/>
  <c r="U12" i="1"/>
  <c r="U14" i="1"/>
  <c r="J18" i="1" l="1"/>
  <c r="U26" i="1"/>
  <c r="J20" i="1" s="1"/>
  <c r="J4" i="1" l="1"/>
  <c r="U6" i="1" l="1"/>
  <c r="U4" i="1"/>
  <c r="J19" i="1" l="1"/>
  <c r="H23" i="1"/>
  <c r="I23" i="1"/>
  <c r="I24" i="1"/>
  <c r="H24" i="1"/>
  <c r="A38" i="1" l="1"/>
</calcChain>
</file>

<file path=xl/comments1.xml><?xml version="1.0" encoding="utf-8"?>
<comments xmlns="http://schemas.openxmlformats.org/spreadsheetml/2006/main">
  <authors>
    <author>Author</author>
  </authors>
  <commentList>
    <comment ref="B12" authorId="0" shapeId="0">
      <text>
        <r>
          <rPr>
            <b/>
            <sz val="9"/>
            <color indexed="81"/>
            <rFont val="Tahoma"/>
            <family val="2"/>
          </rPr>
          <t>The Y position of the NSM CG is equal to the half track.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The Y position of the NSM CG is equal to the half track.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 xml:space="preserve">SM elastic weight transfer. No tire coupling.
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SM elastic WT + SM geometric WT + NSM WT. No tire coupling.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SM elastic WT + SM geometric WT + NSM WT. Tire coupling.</t>
        </r>
      </text>
    </comment>
  </commentList>
</comments>
</file>

<file path=xl/sharedStrings.xml><?xml version="1.0" encoding="utf-8"?>
<sst xmlns="http://schemas.openxmlformats.org/spreadsheetml/2006/main" count="239" uniqueCount="106">
  <si>
    <t>Total mass</t>
  </si>
  <si>
    <t>Total mass CG height</t>
  </si>
  <si>
    <t>Front spring motion ratio</t>
  </si>
  <si>
    <t>Rear spring motion ratio</t>
  </si>
  <si>
    <t>Front anti roll bar motion ratio</t>
  </si>
  <si>
    <t>Rear anti roll bar motion ratio</t>
  </si>
  <si>
    <t>M.R.</t>
  </si>
  <si>
    <t>Wheel base</t>
  </si>
  <si>
    <t>Front track</t>
  </si>
  <si>
    <t>Rear track</t>
  </si>
  <si>
    <t>Dim.</t>
  </si>
  <si>
    <t>mm</t>
  </si>
  <si>
    <t>-</t>
  </si>
  <si>
    <t>Hz</t>
  </si>
  <si>
    <t>First magic number</t>
  </si>
  <si>
    <t>Input</t>
  </si>
  <si>
    <t>X</t>
  </si>
  <si>
    <t>Y</t>
  </si>
  <si>
    <t>Z</t>
  </si>
  <si>
    <t>Mass and Inertia</t>
  </si>
  <si>
    <t>Suspended mass roll stiffness</t>
  </si>
  <si>
    <t>Suspended mass</t>
  </si>
  <si>
    <t>Roll natural frequency of SM</t>
  </si>
  <si>
    <t>Lat G</t>
  </si>
  <si>
    <t>Front non suspended mass CG height</t>
  </si>
  <si>
    <t>Rear non suspended mass CG height</t>
  </si>
  <si>
    <t>Additional values</t>
  </si>
  <si>
    <t>N/mm</t>
  </si>
  <si>
    <t>Front spring stiffness</t>
  </si>
  <si>
    <t>Total Mass distribution</t>
  </si>
  <si>
    <t>Roll moment</t>
  </si>
  <si>
    <t>N.m</t>
  </si>
  <si>
    <t>°</t>
  </si>
  <si>
    <t>N.m/°</t>
  </si>
  <si>
    <t>Case to simulate</t>
  </si>
  <si>
    <t>Total</t>
  </si>
  <si>
    <t>Front ARB</t>
  </si>
  <si>
    <t>Rear ARB</t>
  </si>
  <si>
    <t>Roll angle due to lat G</t>
  </si>
  <si>
    <t>Roll</t>
  </si>
  <si>
    <t>°/g</t>
  </si>
  <si>
    <r>
      <t>Suspended mass roll inertia (ref SM CG) - I</t>
    </r>
    <r>
      <rPr>
        <vertAlign val="subscript"/>
        <sz val="11"/>
        <color theme="1"/>
        <rFont val="Calibri"/>
        <family val="2"/>
        <scheme val="minor"/>
      </rPr>
      <t>xx</t>
    </r>
  </si>
  <si>
    <r>
      <t>Suspended mass inertia in roll - I</t>
    </r>
    <r>
      <rPr>
        <vertAlign val="subscript"/>
        <sz val="11"/>
        <color theme="1"/>
        <rFont val="Calibri"/>
        <family val="2"/>
        <scheme val="minor"/>
      </rPr>
      <t>roll</t>
    </r>
  </si>
  <si>
    <t>Suspended mass CG coordinates</t>
  </si>
  <si>
    <t>kg</t>
  </si>
  <si>
    <t>kg.m²</t>
  </si>
  <si>
    <t>G</t>
  </si>
  <si>
    <t>Lateral</t>
  </si>
  <si>
    <t>Front</t>
  </si>
  <si>
    <t>Rear</t>
  </si>
  <si>
    <t>Rear spring stiffness</t>
  </si>
  <si>
    <t>Anti-roll moment total</t>
  </si>
  <si>
    <t>A-R moment coming from</t>
  </si>
  <si>
    <t>Front ARB stiffness</t>
  </si>
  <si>
    <t>Rear ARB stiffness</t>
  </si>
  <si>
    <t>Front tire stiffness</t>
  </si>
  <si>
    <t>Spring ARB Tire</t>
  </si>
  <si>
    <t>% Fr</t>
  </si>
  <si>
    <t>Second magic number</t>
  </si>
  <si>
    <t>Third magic number</t>
  </si>
  <si>
    <t>Front suspended mass frequency</t>
  </si>
  <si>
    <t>Rear suspended mass frequency</t>
  </si>
  <si>
    <r>
      <rPr>
        <b/>
        <sz val="11"/>
        <color theme="1"/>
        <rFont val="Calibri"/>
        <family val="2"/>
        <scheme val="minor"/>
      </rPr>
      <t xml:space="preserve">Front </t>
    </r>
    <r>
      <rPr>
        <sz val="11"/>
        <color theme="1"/>
        <rFont val="Calibri"/>
        <family val="2"/>
        <scheme val="minor"/>
      </rPr>
      <t>roll center</t>
    </r>
  </si>
  <si>
    <r>
      <rPr>
        <b/>
        <sz val="11"/>
        <color theme="1"/>
        <rFont val="Calibri"/>
        <family val="2"/>
        <scheme val="minor"/>
      </rPr>
      <t>Rear</t>
    </r>
    <r>
      <rPr>
        <sz val="11"/>
        <color theme="1"/>
        <rFont val="Calibri"/>
        <family val="2"/>
        <scheme val="minor"/>
      </rPr>
      <t xml:space="preserve"> roll center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</si>
  <si>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Distance from SM CG to </t>
    </r>
    <r>
      <rPr>
        <b/>
        <sz val="11"/>
        <color theme="1"/>
        <rFont val="Calibri"/>
        <family val="2"/>
        <scheme val="minor"/>
      </rPr>
      <t>front</t>
    </r>
    <r>
      <rPr>
        <sz val="11"/>
        <color theme="1"/>
        <rFont val="Calibri"/>
        <family val="2"/>
        <scheme val="minor"/>
      </rPr>
      <t xml:space="preserve"> roll axis 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</si>
  <si>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Distance from SM CG to </t>
    </r>
    <r>
      <rPr>
        <b/>
        <sz val="11"/>
        <color theme="1"/>
        <rFont val="Calibri"/>
        <family val="2"/>
        <scheme val="minor"/>
      </rPr>
      <t>rear</t>
    </r>
    <r>
      <rPr>
        <sz val="11"/>
        <color theme="1"/>
        <rFont val="Calibri"/>
        <family val="2"/>
        <scheme val="minor"/>
      </rPr>
      <t xml:space="preserve"> roll axis </t>
    </r>
  </si>
  <si>
    <r>
      <rPr>
        <b/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  <scheme val="minor"/>
      </rPr>
      <t xml:space="preserve"> Distance from SM CG to roll axis </t>
    </r>
    <r>
      <rPr>
        <b/>
        <sz val="11"/>
        <color theme="1"/>
        <rFont val="Calibri"/>
        <family val="2"/>
        <scheme val="minor"/>
      </rPr>
      <t>@ SM CG</t>
    </r>
  </si>
  <si>
    <t>Results</t>
  </si>
  <si>
    <t>M.N.</t>
  </si>
  <si>
    <t>Total W.T.</t>
  </si>
  <si>
    <t>NSM - W.T.</t>
  </si>
  <si>
    <t>°Roll</t>
  </si>
  <si>
    <t>Roll angle</t>
  </si>
  <si>
    <t>Front NSM frequency (per wheel)</t>
  </si>
  <si>
    <t>Rear NSM frequency (per wheel)</t>
  </si>
  <si>
    <t>Rear tire stiffness</t>
  </si>
  <si>
    <t>Front NSM Critical damping (per wheel)</t>
  </si>
  <si>
    <t>N/(m/s)</t>
  </si>
  <si>
    <t>Rear NSM Critical damping (per wheel)</t>
  </si>
  <si>
    <t>Front non suspended mass (per wheel)</t>
  </si>
  <si>
    <t>Rear non suspended mass (per wheel)</t>
  </si>
  <si>
    <t>Frequency &amp; Damping</t>
  </si>
  <si>
    <t>Front SM critical damping (per corner)</t>
  </si>
  <si>
    <t>Rear SM critical damping (per corner)</t>
  </si>
  <si>
    <t>Front total critical damping</t>
  </si>
  <si>
    <t>Rear total critical damping</t>
  </si>
  <si>
    <t>Dynam. Load (Kg)</t>
  </si>
  <si>
    <r>
      <rPr>
        <b/>
        <sz val="14"/>
        <color rgb="FFFF0000"/>
        <rFont val="Calibri"/>
        <family val="2"/>
        <scheme val="minor"/>
      </rPr>
      <t>No</t>
    </r>
    <r>
      <rPr>
        <b/>
        <sz val="14"/>
        <color theme="1"/>
        <rFont val="Calibri"/>
        <family val="2"/>
        <scheme val="minor"/>
      </rPr>
      <t xml:space="preserve"> Springs/Tires and ARB/Tires coupling</t>
    </r>
  </si>
  <si>
    <t>Front wheel rate</t>
  </si>
  <si>
    <t>Rear wheel rate</t>
  </si>
  <si>
    <t>Front wheel rate (in serial with tire)</t>
  </si>
  <si>
    <t>Rear wheel rate (in serial with tire)</t>
  </si>
  <si>
    <t>Error message box</t>
  </si>
  <si>
    <t>Front springs</t>
  </si>
  <si>
    <t>Rear springs</t>
  </si>
  <si>
    <t>Springs/Tires and coupling</t>
  </si>
  <si>
    <t>Front total SM frequency (with tire)</t>
  </si>
  <si>
    <t>Rear total SM frequency (with tire)</t>
  </si>
  <si>
    <t>SM - Geo. W.T.</t>
  </si>
  <si>
    <t>SM - El. W.T.</t>
  </si>
  <si>
    <t>Front Tires</t>
  </si>
  <si>
    <t>Rear Tires</t>
  </si>
  <si>
    <t>kg/kg</t>
  </si>
  <si>
    <t>Weight transfer</t>
  </si>
  <si>
    <t>Non suspended mass weight distribution</t>
  </si>
  <si>
    <t>Suspended mass weight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</si>
</sst>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00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0" fillId="16" borderId="0" applyNumberFormat="0" applyBorder="0" applyAlignment="0" applyProtection="0"/>
    <xf numFmtId="0" fontId="11" fillId="17" borderId="0" applyNumberFormat="0" applyBorder="0" applyAlignment="0" applyProtection="0"/>
  </cellStyleXfs>
  <cellXfs count="198">
    <xf numFmtId="0" fontId="0" fillId="0" borderId="0" xfId="0"/>
    <xf numFmtId="0" fontId="0" fillId="0" borderId="0" xfId="0" applyAlignment="1">
      <alignment textRotation="90"/>
    </xf>
    <xf numFmtId="2" fontId="0" fillId="0" borderId="0" xfId="0" applyNumberFormat="1"/>
    <xf numFmtId="164" fontId="0" fillId="3" borderId="1" xfId="0" applyNumberFormat="1" applyFill="1" applyBorder="1"/>
    <xf numFmtId="164" fontId="0" fillId="2" borderId="1" xfId="0" applyNumberFormat="1" applyFill="1" applyBorder="1"/>
    <xf numFmtId="2" fontId="0" fillId="0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2" fillId="0" borderId="0" xfId="0" applyFont="1" applyFill="1" applyBorder="1" applyAlignment="1"/>
    <xf numFmtId="164" fontId="0" fillId="13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4" borderId="1" xfId="0" applyNumberFormat="1" applyFill="1" applyBorder="1" applyAlignment="1">
      <alignment horizontal="center"/>
    </xf>
    <xf numFmtId="164" fontId="0" fillId="12" borderId="1" xfId="0" applyNumberFormat="1" applyFill="1" applyBorder="1" applyAlignment="1">
      <alignment horizontal="center"/>
    </xf>
    <xf numFmtId="164" fontId="0" fillId="0" borderId="0" xfId="0" applyNumberFormat="1"/>
    <xf numFmtId="0" fontId="0" fillId="0" borderId="0" xfId="0" applyFont="1" applyBorder="1"/>
    <xf numFmtId="2" fontId="0" fillId="8" borderId="1" xfId="0" applyNumberFormat="1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1" fillId="15" borderId="0" xfId="0" applyFont="1" applyFill="1" applyBorder="1" applyAlignment="1">
      <alignment vertical="center" textRotation="90"/>
    </xf>
    <xf numFmtId="0" fontId="1" fillId="15" borderId="0" xfId="0" applyFont="1" applyFill="1" applyBorder="1" applyAlignment="1">
      <alignment horizontal="center" vertical="center" textRotation="90"/>
    </xf>
    <xf numFmtId="2" fontId="0" fillId="4" borderId="1" xfId="0" applyNumberFormat="1" applyFill="1" applyBorder="1" applyAlignment="1">
      <alignment vertical="center"/>
    </xf>
    <xf numFmtId="2" fontId="0" fillId="9" borderId="1" xfId="0" applyNumberFormat="1" applyFill="1" applyBorder="1" applyAlignment="1">
      <alignment vertical="center"/>
    </xf>
    <xf numFmtId="164" fontId="0" fillId="9" borderId="1" xfId="0" applyNumberFormat="1" applyFill="1" applyBorder="1" applyAlignment="1">
      <alignment vertical="center"/>
    </xf>
    <xf numFmtId="2" fontId="1" fillId="10" borderId="1" xfId="0" applyNumberFormat="1" applyFont="1" applyFill="1" applyBorder="1" applyAlignment="1">
      <alignment vertical="center"/>
    </xf>
    <xf numFmtId="164" fontId="0" fillId="10" borderId="1" xfId="0" applyNumberFormat="1" applyFill="1" applyBorder="1" applyAlignment="1">
      <alignment vertical="center"/>
    </xf>
    <xf numFmtId="164" fontId="0" fillId="8" borderId="1" xfId="0" applyNumberFormat="1" applyFill="1" applyBorder="1" applyAlignment="1">
      <alignment vertical="center"/>
    </xf>
    <xf numFmtId="2" fontId="0" fillId="7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164" fontId="0" fillId="3" borderId="15" xfId="0" applyNumberFormat="1" applyFill="1" applyBorder="1" applyAlignment="1">
      <alignment horizontal="center"/>
    </xf>
    <xf numFmtId="164" fontId="0" fillId="2" borderId="15" xfId="0" applyNumberFormat="1" applyFill="1" applyBorder="1" applyAlignment="1">
      <alignment horizontal="center"/>
    </xf>
    <xf numFmtId="164" fontId="0" fillId="2" borderId="19" xfId="0" applyNumberFormat="1" applyFill="1" applyBorder="1"/>
    <xf numFmtId="164" fontId="0" fillId="2" borderId="20" xfId="0" applyNumberFormat="1" applyFill="1" applyBorder="1" applyAlignment="1">
      <alignment horizontal="center"/>
    </xf>
    <xf numFmtId="2" fontId="0" fillId="8" borderId="6" xfId="0" applyNumberFormat="1" applyFill="1" applyBorder="1" applyAlignment="1">
      <alignment vertical="center"/>
    </xf>
    <xf numFmtId="0" fontId="0" fillId="8" borderId="23" xfId="0" applyFill="1" applyBorder="1" applyAlignment="1">
      <alignment horizontal="center" vertical="center"/>
    </xf>
    <xf numFmtId="2" fontId="0" fillId="8" borderId="19" xfId="0" applyNumberFormat="1" applyFill="1" applyBorder="1" applyAlignment="1">
      <alignment vertical="center"/>
    </xf>
    <xf numFmtId="0" fontId="0" fillId="8" borderId="20" xfId="0" applyFill="1" applyBorder="1" applyAlignment="1">
      <alignment horizontal="center" vertical="center"/>
    </xf>
    <xf numFmtId="0" fontId="0" fillId="3" borderId="1" xfId="0" applyFill="1" applyBorder="1" applyAlignment="1">
      <alignment vertical="center"/>
    </xf>
    <xf numFmtId="164" fontId="0" fillId="0" borderId="1" xfId="0" applyNumberFormat="1" applyBorder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6" borderId="1" xfId="0" applyNumberFormat="1" applyFill="1" applyBorder="1" applyAlignment="1">
      <alignment vertical="center"/>
    </xf>
    <xf numFmtId="1" fontId="0" fillId="0" borderId="1" xfId="0" applyNumberFormat="1" applyBorder="1" applyAlignment="1">
      <alignment vertical="center"/>
    </xf>
    <xf numFmtId="164" fontId="0" fillId="6" borderId="1" xfId="0" applyNumberFormat="1" applyFill="1" applyBorder="1" applyAlignment="1">
      <alignment vertical="center"/>
    </xf>
    <xf numFmtId="1" fontId="0" fillId="6" borderId="1" xfId="0" applyNumberFormat="1" applyFill="1" applyBorder="1" applyAlignment="1">
      <alignment horizontal="right" vertical="center"/>
    </xf>
    <xf numFmtId="164" fontId="0" fillId="6" borderId="1" xfId="0" applyNumberFormat="1" applyFill="1" applyBorder="1" applyAlignment="1">
      <alignment horizontal="right" vertical="center"/>
    </xf>
    <xf numFmtId="2" fontId="0" fillId="11" borderId="1" xfId="0" applyNumberFormat="1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vertical="center"/>
    </xf>
    <xf numFmtId="2" fontId="0" fillId="0" borderId="1" xfId="0" applyNumberFormat="1" applyFill="1" applyBorder="1" applyAlignment="1">
      <alignment vertical="center"/>
    </xf>
    <xf numFmtId="165" fontId="0" fillId="0" borderId="1" xfId="0" applyNumberFormat="1" applyFill="1" applyBorder="1" applyAlignment="1">
      <alignment vertical="center"/>
    </xf>
    <xf numFmtId="1" fontId="0" fillId="3" borderId="1" xfId="0" applyNumberForma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2" fontId="0" fillId="4" borderId="6" xfId="0" applyNumberFormat="1" applyFill="1" applyBorder="1" applyAlignment="1">
      <alignment vertical="center"/>
    </xf>
    <xf numFmtId="0" fontId="0" fillId="4" borderId="23" xfId="0" applyFill="1" applyBorder="1" applyAlignment="1">
      <alignment horizontal="center" vertical="center"/>
    </xf>
    <xf numFmtId="164" fontId="0" fillId="4" borderId="1" xfId="0" applyNumberFormat="1" applyFill="1" applyBorder="1" applyAlignment="1">
      <alignment vertical="center"/>
    </xf>
    <xf numFmtId="0" fontId="0" fillId="4" borderId="15" xfId="0" applyFill="1" applyBorder="1" applyAlignment="1">
      <alignment horizontal="center" vertical="center"/>
    </xf>
    <xf numFmtId="2" fontId="0" fillId="9" borderId="6" xfId="0" applyNumberFormat="1" applyFill="1" applyBorder="1" applyAlignment="1">
      <alignment vertical="center"/>
    </xf>
    <xf numFmtId="0" fontId="0" fillId="9" borderId="23" xfId="0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2" fontId="0" fillId="10" borderId="1" xfId="0" applyNumberFormat="1" applyFill="1" applyBorder="1" applyAlignment="1">
      <alignment vertical="center"/>
    </xf>
    <xf numFmtId="0" fontId="0" fillId="10" borderId="15" xfId="0" applyFill="1" applyBorder="1" applyAlignment="1">
      <alignment horizontal="center" vertical="center"/>
    </xf>
    <xf numFmtId="0" fontId="0" fillId="10" borderId="19" xfId="0" applyFill="1" applyBorder="1" applyAlignment="1">
      <alignment vertical="center"/>
    </xf>
    <xf numFmtId="2" fontId="0" fillId="10" borderId="19" xfId="0" applyNumberFormat="1" applyFill="1" applyBorder="1" applyAlignment="1">
      <alignment vertical="center"/>
    </xf>
    <xf numFmtId="0" fontId="0" fillId="10" borderId="20" xfId="0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8" borderId="12" xfId="0" applyNumberFormat="1" applyFill="1" applyBorder="1" applyAlignment="1">
      <alignment vertical="center"/>
    </xf>
    <xf numFmtId="0" fontId="0" fillId="8" borderId="13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right" vertical="center"/>
    </xf>
    <xf numFmtId="0" fontId="0" fillId="3" borderId="15" xfId="0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right" vertical="center"/>
    </xf>
    <xf numFmtId="164" fontId="0" fillId="11" borderId="19" xfId="0" applyNumberFormat="1" applyFill="1" applyBorder="1" applyAlignment="1">
      <alignment horizontal="right" vertical="center"/>
    </xf>
    <xf numFmtId="0" fontId="0" fillId="11" borderId="20" xfId="0" applyFill="1" applyBorder="1" applyAlignment="1">
      <alignment horizontal="center" vertical="center"/>
    </xf>
    <xf numFmtId="164" fontId="0" fillId="9" borderId="6" xfId="0" applyNumberFormat="1" applyFill="1" applyBorder="1" applyAlignment="1">
      <alignment vertical="center"/>
    </xf>
    <xf numFmtId="0" fontId="0" fillId="4" borderId="4" xfId="0" applyFill="1" applyBorder="1" applyAlignment="1">
      <alignment vertical="center"/>
    </xf>
    <xf numFmtId="164" fontId="0" fillId="4" borderId="4" xfId="0" applyNumberFormat="1" applyFill="1" applyBorder="1" applyAlignment="1">
      <alignment vertical="center"/>
    </xf>
    <xf numFmtId="0" fontId="0" fillId="4" borderId="38" xfId="0" applyFill="1" applyBorder="1" applyAlignment="1">
      <alignment horizontal="center" vertical="center"/>
    </xf>
    <xf numFmtId="164" fontId="0" fillId="10" borderId="19" xfId="0" applyNumberFormat="1" applyFill="1" applyBorder="1" applyAlignment="1">
      <alignment vertical="center"/>
    </xf>
    <xf numFmtId="166" fontId="0" fillId="4" borderId="1" xfId="0" applyNumberFormat="1" applyFill="1" applyBorder="1" applyAlignment="1">
      <alignment vertical="center"/>
    </xf>
    <xf numFmtId="0" fontId="10" fillId="16" borderId="0" xfId="1"/>
    <xf numFmtId="0" fontId="11" fillId="0" borderId="0" xfId="2" applyFill="1"/>
    <xf numFmtId="0" fontId="9" fillId="1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 vertical="center" textRotation="90"/>
    </xf>
    <xf numFmtId="0" fontId="1" fillId="6" borderId="14" xfId="0" applyFont="1" applyFill="1" applyBorder="1" applyAlignment="1">
      <alignment horizontal="center" vertical="center" textRotation="90"/>
    </xf>
    <xf numFmtId="0" fontId="1" fillId="6" borderId="18" xfId="0" applyFont="1" applyFill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 textRotation="90"/>
    </xf>
    <xf numFmtId="0" fontId="2" fillId="5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" fillId="2" borderId="4" xfId="0" applyFont="1" applyFill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0" fillId="8" borderId="7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textRotation="90"/>
    </xf>
    <xf numFmtId="0" fontId="1" fillId="5" borderId="1" xfId="0" applyFont="1" applyFill="1" applyBorder="1" applyAlignment="1">
      <alignment horizontal="center" vertical="center" textRotation="90"/>
    </xf>
    <xf numFmtId="0" fontId="2" fillId="6" borderId="40" xfId="0" applyFont="1" applyFill="1" applyBorder="1" applyAlignment="1">
      <alignment horizontal="center"/>
    </xf>
    <xf numFmtId="0" fontId="2" fillId="6" borderId="41" xfId="0" applyFont="1" applyFill="1" applyBorder="1" applyAlignment="1">
      <alignment horizontal="center"/>
    </xf>
    <xf numFmtId="0" fontId="2" fillId="6" borderId="42" xfId="0" applyFont="1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4" fontId="4" fillId="3" borderId="15" xfId="0" applyNumberFormat="1" applyFon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4" borderId="2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 textRotation="90"/>
    </xf>
    <xf numFmtId="0" fontId="1" fillId="5" borderId="5" xfId="0" applyFont="1" applyFill="1" applyBorder="1" applyAlignment="1">
      <alignment horizontal="center" vertical="center" textRotation="90"/>
    </xf>
    <xf numFmtId="0" fontId="0" fillId="10" borderId="1" xfId="0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2" fillId="12" borderId="24" xfId="0" applyFont="1" applyFill="1" applyBorder="1" applyAlignment="1">
      <alignment horizontal="center"/>
    </xf>
    <xf numFmtId="0" fontId="2" fillId="12" borderId="25" xfId="0" applyFont="1" applyFill="1" applyBorder="1" applyAlignment="1">
      <alignment horizontal="center"/>
    </xf>
    <xf numFmtId="0" fontId="2" fillId="12" borderId="26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2" fillId="6" borderId="40" xfId="0" applyFont="1" applyFill="1" applyBorder="1" applyAlignment="1">
      <alignment horizontal="center" vertical="center"/>
    </xf>
    <xf numFmtId="0" fontId="2" fillId="6" borderId="41" xfId="0" applyFont="1" applyFill="1" applyBorder="1" applyAlignment="1">
      <alignment horizontal="center" vertical="center"/>
    </xf>
    <xf numFmtId="0" fontId="2" fillId="6" borderId="42" xfId="0" applyFon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1" fillId="9" borderId="2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6" borderId="26" xfId="0" applyFont="1" applyFill="1" applyBorder="1" applyAlignment="1">
      <alignment horizontal="center"/>
    </xf>
    <xf numFmtId="0" fontId="1" fillId="6" borderId="27" xfId="0" applyFont="1" applyFill="1" applyBorder="1" applyAlignment="1">
      <alignment horizontal="center" vertical="center" textRotation="90"/>
    </xf>
    <xf numFmtId="0" fontId="1" fillId="6" borderId="34" xfId="0" applyFont="1" applyFill="1" applyBorder="1" applyAlignment="1">
      <alignment horizontal="center" vertical="center" textRotation="90"/>
    </xf>
    <xf numFmtId="0" fontId="1" fillId="6" borderId="22" xfId="0" applyFont="1" applyFill="1" applyBorder="1" applyAlignment="1">
      <alignment horizontal="center" vertical="center" textRotation="90"/>
    </xf>
    <xf numFmtId="0" fontId="1" fillId="6" borderId="33" xfId="0" applyFont="1" applyFill="1" applyBorder="1" applyAlignment="1">
      <alignment horizontal="center" vertical="center" textRotation="90"/>
    </xf>
    <xf numFmtId="0" fontId="5" fillId="6" borderId="33" xfId="0" applyFont="1" applyFill="1" applyBorder="1" applyAlignment="1">
      <alignment horizontal="center" vertical="center" textRotation="90"/>
    </xf>
    <xf numFmtId="0" fontId="5" fillId="6" borderId="34" xfId="0" applyFont="1" applyFill="1" applyBorder="1" applyAlignment="1">
      <alignment horizontal="center" vertical="center" textRotation="90"/>
    </xf>
    <xf numFmtId="0" fontId="5" fillId="6" borderId="35" xfId="0" applyFont="1" applyFill="1" applyBorder="1" applyAlignment="1">
      <alignment horizontal="center" vertical="center" textRotation="90"/>
    </xf>
    <xf numFmtId="164" fontId="4" fillId="2" borderId="2" xfId="0" applyNumberFormat="1" applyFont="1" applyFill="1" applyBorder="1" applyAlignment="1">
      <alignment horizontal="center"/>
    </xf>
    <xf numFmtId="164" fontId="4" fillId="2" borderId="9" xfId="0" applyNumberFormat="1" applyFont="1" applyFill="1" applyBorder="1" applyAlignment="1">
      <alignment horizontal="center"/>
    </xf>
    <xf numFmtId="164" fontId="4" fillId="2" borderId="17" xfId="0" applyNumberFormat="1" applyFont="1" applyFill="1" applyBorder="1" applyAlignment="1">
      <alignment horizontal="center"/>
    </xf>
    <xf numFmtId="164" fontId="0" fillId="2" borderId="43" xfId="0" applyNumberFormat="1" applyFill="1" applyBorder="1" applyAlignment="1">
      <alignment horizontal="center"/>
    </xf>
    <xf numFmtId="164" fontId="0" fillId="2" borderId="29" xfId="0" applyNumberFormat="1" applyFill="1" applyBorder="1" applyAlignment="1">
      <alignment horizontal="center"/>
    </xf>
    <xf numFmtId="0" fontId="2" fillId="6" borderId="24" xfId="0" applyFont="1" applyFill="1" applyBorder="1" applyAlignment="1">
      <alignment horizontal="center" vertical="center"/>
    </xf>
    <xf numFmtId="0" fontId="2" fillId="6" borderId="25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0" fillId="8" borderId="3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164" fontId="4" fillId="3" borderId="2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164" fontId="4" fillId="3" borderId="17" xfId="0" applyNumberFormat="1" applyFon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164" fontId="0" fillId="3" borderId="3" xfId="0" applyNumberFormat="1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4" fontId="0" fillId="2" borderId="3" xfId="0" applyNumberFormat="1" applyFill="1" applyBorder="1" applyAlignment="1">
      <alignment horizontal="center"/>
    </xf>
    <xf numFmtId="0" fontId="0" fillId="8" borderId="28" xfId="0" applyFill="1" applyBorder="1" applyAlignment="1">
      <alignment horizontal="center" vertical="center"/>
    </xf>
    <xf numFmtId="0" fontId="0" fillId="8" borderId="2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37" xfId="0" applyFill="1" applyBorder="1" applyAlignment="1">
      <alignment horizontal="center" vertical="center"/>
    </xf>
    <xf numFmtId="0" fontId="0" fillId="11" borderId="18" xfId="0" applyFill="1" applyBorder="1" applyAlignment="1">
      <alignment horizontal="center" vertical="center"/>
    </xf>
    <xf numFmtId="0" fontId="0" fillId="11" borderId="19" xfId="0" applyFill="1" applyBorder="1" applyAlignment="1">
      <alignment horizontal="center" vertical="center"/>
    </xf>
    <xf numFmtId="0" fontId="1" fillId="9" borderId="16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/>
    </xf>
    <xf numFmtId="0" fontId="4" fillId="3" borderId="31" xfId="0" applyFont="1" applyFill="1" applyBorder="1" applyAlignment="1">
      <alignment horizontal="center"/>
    </xf>
    <xf numFmtId="0" fontId="4" fillId="3" borderId="32" xfId="0" applyFont="1" applyFill="1" applyBorder="1" applyAlignment="1">
      <alignment horizontal="center"/>
    </xf>
    <xf numFmtId="0" fontId="0" fillId="4" borderId="3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336178</xdr:colOff>
      <xdr:row>24</xdr:row>
      <xdr:rowOff>201706</xdr:rowOff>
    </xdr:from>
    <xdr:to>
      <xdr:col>8</xdr:col>
      <xdr:colOff>825015</xdr:colOff>
      <xdr:row>41</xdr:row>
      <xdr:rowOff>162400</xdr:rowOff>
    </xdr:to>
    <xdr:pic>
      <xdr:nvPicPr>
        <xdr:cNvPr id="3" name="Image 2" descr="Sans titre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580531" y="6589059"/>
          <a:ext cx="1867161" cy="3400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22"/>
  <sheetViews>
    <sheetView tabSelected="1" zoomScale="85" zoomScaleNormal="85" workbookViewId="0">
      <selection activeCell="B43" sqref="B43"/>
    </sheetView>
  </sheetViews>
  <sheetFormatPr defaultColWidth="9.140625" defaultRowHeight="15" x14ac:dyDescent="0.25"/>
  <cols>
    <col min="1" max="1" width="3.5703125" style="1" customWidth="1"/>
    <col min="2" max="2" width="38.140625" customWidth="1"/>
    <col min="4" max="4" width="10.42578125" customWidth="1"/>
    <col min="5" max="5" width="12.42578125" bestFit="1" customWidth="1"/>
    <col min="6" max="6" width="2.42578125" customWidth="1"/>
    <col min="7" max="7" width="3.85546875" customWidth="1"/>
    <col min="8" max="9" width="20.7109375" customWidth="1"/>
    <col min="11" max="11" width="9.140625" customWidth="1"/>
    <col min="12" max="12" width="4" customWidth="1"/>
    <col min="13" max="13" width="30.85546875" customWidth="1"/>
    <col min="14" max="14" width="13.42578125" customWidth="1"/>
    <col min="15" max="15" width="10" customWidth="1"/>
    <col min="16" max="16" width="9.28515625" customWidth="1"/>
    <col min="17" max="18" width="3.7109375" customWidth="1"/>
    <col min="19" max="19" width="14.28515625" customWidth="1"/>
    <col min="20" max="20" width="9.42578125" customWidth="1"/>
    <col min="21" max="21" width="7.5703125" customWidth="1"/>
    <col min="22" max="22" width="5.28515625" customWidth="1"/>
    <col min="23" max="23" width="3.85546875" customWidth="1"/>
  </cols>
  <sheetData>
    <row r="1" spans="1:23" ht="19.5" thickBot="1" x14ac:dyDescent="0.35">
      <c r="M1" s="134" t="s">
        <v>87</v>
      </c>
      <c r="N1" s="135"/>
      <c r="O1" s="135"/>
      <c r="P1" s="135"/>
      <c r="Q1" s="135"/>
      <c r="R1" s="135"/>
      <c r="S1" s="135"/>
      <c r="T1" s="135"/>
      <c r="U1" s="135"/>
      <c r="V1" s="136"/>
    </row>
    <row r="2" spans="1:23" ht="18.75" customHeight="1" thickBot="1" x14ac:dyDescent="0.35">
      <c r="A2" s="94" t="s">
        <v>15</v>
      </c>
      <c r="B2" s="94"/>
      <c r="C2" s="94"/>
      <c r="D2" s="94"/>
      <c r="E2" s="94"/>
      <c r="H2" s="94" t="s">
        <v>67</v>
      </c>
      <c r="I2" s="94"/>
      <c r="J2" s="94"/>
      <c r="K2" s="94"/>
      <c r="M2" s="115" t="s">
        <v>39</v>
      </c>
      <c r="N2" s="116"/>
      <c r="O2" s="116"/>
      <c r="P2" s="117"/>
      <c r="R2" s="115" t="s">
        <v>103</v>
      </c>
      <c r="S2" s="116"/>
      <c r="T2" s="116"/>
      <c r="U2" s="116"/>
      <c r="V2" s="117"/>
      <c r="W2" s="7"/>
    </row>
    <row r="3" spans="1:23" ht="15.75" customHeight="1" x14ac:dyDescent="0.25">
      <c r="A3" s="113" t="s">
        <v>10</v>
      </c>
      <c r="B3" s="111" t="s">
        <v>7</v>
      </c>
      <c r="C3" s="111"/>
      <c r="D3" s="39">
        <v>1701.8</v>
      </c>
      <c r="E3" s="6" t="s">
        <v>11</v>
      </c>
      <c r="G3" s="130" t="s">
        <v>39</v>
      </c>
      <c r="H3" s="150" t="s">
        <v>20</v>
      </c>
      <c r="I3" s="151"/>
      <c r="J3" s="85">
        <f>(D14*9.81*1*O19/1000)/O6</f>
        <v>0.99619207104464336</v>
      </c>
      <c r="K3" s="53" t="s">
        <v>40</v>
      </c>
      <c r="M3" s="127" t="s">
        <v>38</v>
      </c>
      <c r="N3" s="128"/>
      <c r="O3" s="58">
        <f>O4/O6</f>
        <v>0.99619207104464336</v>
      </c>
      <c r="P3" s="59" t="s">
        <v>32</v>
      </c>
      <c r="R3" s="90" t="s">
        <v>69</v>
      </c>
      <c r="S3" s="119" t="s">
        <v>48</v>
      </c>
      <c r="T3" s="119"/>
      <c r="U3" s="119"/>
      <c r="V3" s="120"/>
    </row>
    <row r="4" spans="1:23" x14ac:dyDescent="0.25">
      <c r="A4" s="113"/>
      <c r="B4" s="111" t="s">
        <v>8</v>
      </c>
      <c r="C4" s="111"/>
      <c r="D4" s="39">
        <v>1371.6</v>
      </c>
      <c r="E4" s="6" t="s">
        <v>11</v>
      </c>
      <c r="G4" s="131"/>
      <c r="H4" s="105" t="s">
        <v>72</v>
      </c>
      <c r="I4" s="105"/>
      <c r="J4" s="85">
        <f>J3*D35</f>
        <v>0.99619207104464336</v>
      </c>
      <c r="K4" s="53" t="s">
        <v>71</v>
      </c>
      <c r="M4" s="129" t="s">
        <v>30</v>
      </c>
      <c r="N4" s="105"/>
      <c r="O4" s="60">
        <f>D14*9.81*D35*O19/1000</f>
        <v>669.59077140000011</v>
      </c>
      <c r="P4" s="61" t="s">
        <v>31</v>
      </c>
      <c r="R4" s="91"/>
      <c r="S4" s="126" t="s">
        <v>47</v>
      </c>
      <c r="T4" s="126"/>
      <c r="U4" s="3">
        <f>U8+U12+U16</f>
        <v>27.263995487824307</v>
      </c>
      <c r="V4" s="31" t="s">
        <v>44</v>
      </c>
    </row>
    <row r="5" spans="1:23" ht="15.75" x14ac:dyDescent="0.25">
      <c r="A5" s="113"/>
      <c r="B5" s="111" t="s">
        <v>9</v>
      </c>
      <c r="C5" s="111"/>
      <c r="D5" s="39">
        <v>1371.6</v>
      </c>
      <c r="E5" s="6" t="s">
        <v>11</v>
      </c>
      <c r="G5" s="114" t="s">
        <v>81</v>
      </c>
      <c r="H5" s="118" t="s">
        <v>73</v>
      </c>
      <c r="I5" s="118"/>
      <c r="J5" s="24">
        <f>1/(2*PI())*SQRT((D24*1000)/D8)</f>
        <v>19.22673981832973</v>
      </c>
      <c r="K5" s="54" t="s">
        <v>13</v>
      </c>
      <c r="M5" s="139"/>
      <c r="N5" s="140"/>
      <c r="O5" s="140"/>
      <c r="P5" s="141"/>
      <c r="R5" s="91"/>
      <c r="S5" s="121" t="s">
        <v>49</v>
      </c>
      <c r="T5" s="121"/>
      <c r="U5" s="121"/>
      <c r="V5" s="122"/>
    </row>
    <row r="6" spans="1:23" ht="15" customHeight="1" x14ac:dyDescent="0.25">
      <c r="A6" s="93" t="s">
        <v>19</v>
      </c>
      <c r="B6" s="112" t="s">
        <v>0</v>
      </c>
      <c r="C6" s="112"/>
      <c r="D6" s="40">
        <v>292</v>
      </c>
      <c r="E6" s="17" t="s">
        <v>44</v>
      </c>
      <c r="G6" s="114"/>
      <c r="H6" s="118" t="s">
        <v>74</v>
      </c>
      <c r="I6" s="118"/>
      <c r="J6" s="24">
        <f>1/(2*PI())*SQRT((D25*1000)/D9)</f>
        <v>19.22673981832973</v>
      </c>
      <c r="K6" s="54" t="s">
        <v>13</v>
      </c>
      <c r="M6" s="146" t="s">
        <v>51</v>
      </c>
      <c r="N6" s="147"/>
      <c r="O6" s="62">
        <f>O9+O12</f>
        <v>672.15027188265287</v>
      </c>
      <c r="P6" s="63" t="s">
        <v>33</v>
      </c>
      <c r="R6" s="91"/>
      <c r="S6" s="125" t="s">
        <v>47</v>
      </c>
      <c r="T6" s="125"/>
      <c r="U6" s="4">
        <f>U10+U14+U18</f>
        <v>30.216319472805623</v>
      </c>
      <c r="V6" s="32" t="s">
        <v>44</v>
      </c>
    </row>
    <row r="7" spans="1:23" ht="15" customHeight="1" x14ac:dyDescent="0.25">
      <c r="A7" s="93"/>
      <c r="B7" s="112" t="s">
        <v>29</v>
      </c>
      <c r="C7" s="112"/>
      <c r="D7" s="41">
        <v>50</v>
      </c>
      <c r="E7" s="17" t="s">
        <v>57</v>
      </c>
      <c r="G7" s="114"/>
      <c r="H7" s="118" t="s">
        <v>76</v>
      </c>
      <c r="I7" s="118"/>
      <c r="J7" s="25">
        <f>2*SQRT(D24*1000*D8)</f>
        <v>2174.4930443668932</v>
      </c>
      <c r="K7" s="54" t="s">
        <v>77</v>
      </c>
      <c r="M7" s="129" t="s">
        <v>52</v>
      </c>
      <c r="N7" s="64" t="s">
        <v>93</v>
      </c>
      <c r="O7" s="23">
        <f>((D4/1000)^2*TAN(RADIANS(1))*(O15*1000))/2</f>
        <v>271.25651576162932</v>
      </c>
      <c r="P7" s="61" t="s">
        <v>33</v>
      </c>
      <c r="R7" s="91" t="s">
        <v>70</v>
      </c>
      <c r="S7" s="123" t="s">
        <v>48</v>
      </c>
      <c r="T7" s="123"/>
      <c r="U7" s="123"/>
      <c r="V7" s="124"/>
    </row>
    <row r="8" spans="1:23" x14ac:dyDescent="0.25">
      <c r="A8" s="93"/>
      <c r="B8" s="112" t="s">
        <v>79</v>
      </c>
      <c r="C8" s="112"/>
      <c r="D8" s="40">
        <v>9</v>
      </c>
      <c r="E8" s="17" t="s">
        <v>44</v>
      </c>
      <c r="F8" s="87"/>
      <c r="G8" s="114"/>
      <c r="H8" s="118" t="s">
        <v>78</v>
      </c>
      <c r="I8" s="118"/>
      <c r="J8" s="25">
        <f>2*SQRT(D25*1000*D9)</f>
        <v>2174.4930443668932</v>
      </c>
      <c r="K8" s="54" t="s">
        <v>77</v>
      </c>
      <c r="M8" s="129"/>
      <c r="N8" s="64" t="s">
        <v>94</v>
      </c>
      <c r="O8" s="23">
        <f>((D5/1000)^2*TAN(RADIANS(1))*O16*1000)/2</f>
        <v>310.00618215652651</v>
      </c>
      <c r="P8" s="61" t="s">
        <v>33</v>
      </c>
      <c r="R8" s="91"/>
      <c r="S8" s="126" t="s">
        <v>47</v>
      </c>
      <c r="T8" s="126"/>
      <c r="U8" s="3">
        <f>D8*2*D35*D12/D4</f>
        <v>2.84733595800525</v>
      </c>
      <c r="V8" s="31" t="s">
        <v>44</v>
      </c>
    </row>
    <row r="9" spans="1:23" ht="15.75" customHeight="1" x14ac:dyDescent="0.25">
      <c r="A9" s="93"/>
      <c r="B9" s="112" t="s">
        <v>80</v>
      </c>
      <c r="C9" s="112"/>
      <c r="D9" s="40">
        <v>9</v>
      </c>
      <c r="E9" s="17" t="s">
        <v>44</v>
      </c>
      <c r="F9" s="87"/>
      <c r="G9" s="114"/>
      <c r="H9" s="133" t="s">
        <v>60</v>
      </c>
      <c r="I9" s="133"/>
      <c r="J9" s="26">
        <f>1/(2*PI())*SQRT(((D20*1000)/D26^2)/((D14*D15/100)/2))</f>
        <v>2.5570959315418356</v>
      </c>
      <c r="K9" s="55" t="s">
        <v>13</v>
      </c>
      <c r="M9" s="129"/>
      <c r="N9" s="64" t="s">
        <v>35</v>
      </c>
      <c r="O9" s="23">
        <f>O7+O8</f>
        <v>581.26269791815582</v>
      </c>
      <c r="P9" s="61" t="s">
        <v>33</v>
      </c>
      <c r="R9" s="91"/>
      <c r="S9" s="121" t="s">
        <v>49</v>
      </c>
      <c r="T9" s="121"/>
      <c r="U9" s="121"/>
      <c r="V9" s="122"/>
    </row>
    <row r="10" spans="1:23" ht="15" customHeight="1" x14ac:dyDescent="0.25">
      <c r="A10" s="93"/>
      <c r="B10" s="108" t="s">
        <v>104</v>
      </c>
      <c r="C10" s="108"/>
      <c r="D10" s="42">
        <f>D8/(D9+D8)*100</f>
        <v>50</v>
      </c>
      <c r="E10" s="18" t="s">
        <v>57</v>
      </c>
      <c r="G10" s="114"/>
      <c r="H10" s="133" t="s">
        <v>61</v>
      </c>
      <c r="I10" s="133"/>
      <c r="J10" s="26">
        <f>1/(2*PI())*SQRT(((D21*1000)/D27^2)/((D14*(100-D15)/100)/2))</f>
        <v>2.7336449625327899</v>
      </c>
      <c r="K10" s="55" t="s">
        <v>13</v>
      </c>
      <c r="M10" s="148" t="s">
        <v>52</v>
      </c>
      <c r="N10" s="65" t="s">
        <v>36</v>
      </c>
      <c r="O10" s="66">
        <f>D22/D28^2</f>
        <v>45.443786982248518</v>
      </c>
      <c r="P10" s="67" t="s">
        <v>33</v>
      </c>
      <c r="R10" s="91"/>
      <c r="S10" s="125" t="s">
        <v>47</v>
      </c>
      <c r="T10" s="125"/>
      <c r="U10" s="4">
        <f>D9*2*D35*D13/D5</f>
        <v>2.84733595800525</v>
      </c>
      <c r="V10" s="32" t="s">
        <v>44</v>
      </c>
    </row>
    <row r="11" spans="1:23" ht="15.75" customHeight="1" x14ac:dyDescent="0.25">
      <c r="A11" s="93"/>
      <c r="B11" s="112" t="s">
        <v>1</v>
      </c>
      <c r="C11" s="112"/>
      <c r="D11" s="43">
        <v>270</v>
      </c>
      <c r="E11" s="17" t="s">
        <v>11</v>
      </c>
      <c r="F11" s="86"/>
      <c r="G11" s="114"/>
      <c r="H11" s="132" t="s">
        <v>82</v>
      </c>
      <c r="I11" s="132"/>
      <c r="J11" s="27">
        <f>2*SQRT(D20*1000/D26^2*D14*(D15/100)/2)</f>
        <v>2056.5385710223818</v>
      </c>
      <c r="K11" s="56" t="s">
        <v>77</v>
      </c>
      <c r="M11" s="148"/>
      <c r="N11" s="65" t="s">
        <v>37</v>
      </c>
      <c r="O11" s="66">
        <f>D23/D29^2</f>
        <v>45.443786982248518</v>
      </c>
      <c r="P11" s="67" t="s">
        <v>33</v>
      </c>
      <c r="R11" s="91" t="s">
        <v>99</v>
      </c>
      <c r="S11" s="123" t="s">
        <v>48</v>
      </c>
      <c r="T11" s="123"/>
      <c r="U11" s="123"/>
      <c r="V11" s="124"/>
    </row>
    <row r="12" spans="1:23" ht="15.75" customHeight="1" thickBot="1" x14ac:dyDescent="0.3">
      <c r="A12" s="93"/>
      <c r="B12" s="112" t="s">
        <v>24</v>
      </c>
      <c r="C12" s="112"/>
      <c r="D12" s="43">
        <v>216.96700000000001</v>
      </c>
      <c r="E12" s="17" t="s">
        <v>11</v>
      </c>
      <c r="F12" s="87"/>
      <c r="G12" s="114"/>
      <c r="H12" s="132" t="s">
        <v>83</v>
      </c>
      <c r="I12" s="132"/>
      <c r="J12" s="27">
        <f>2*SQRT(D21*1000/D27^2*D14*((100-D15)/100)/2)</f>
        <v>2198.527726544834</v>
      </c>
      <c r="K12" s="56" t="s">
        <v>77</v>
      </c>
      <c r="M12" s="149"/>
      <c r="N12" s="68" t="s">
        <v>35</v>
      </c>
      <c r="O12" s="69">
        <f>O10+O11</f>
        <v>90.887573964497037</v>
      </c>
      <c r="P12" s="70" t="s">
        <v>33</v>
      </c>
      <c r="R12" s="91"/>
      <c r="S12" s="126" t="s">
        <v>47</v>
      </c>
      <c r="T12" s="126"/>
      <c r="U12" s="3">
        <f>(D14*D35*O19*(O7+O10)/O6)/D4</f>
        <v>23.4474206846747</v>
      </c>
      <c r="V12" s="31" t="s">
        <v>44</v>
      </c>
    </row>
    <row r="13" spans="1:23" ht="15.75" customHeight="1" thickBot="1" x14ac:dyDescent="0.3">
      <c r="A13" s="93"/>
      <c r="B13" s="112" t="s">
        <v>25</v>
      </c>
      <c r="C13" s="112"/>
      <c r="D13" s="43">
        <v>216.96700000000001</v>
      </c>
      <c r="E13" s="17" t="s">
        <v>11</v>
      </c>
      <c r="F13" s="87"/>
      <c r="G13" s="114"/>
      <c r="H13" s="100" t="s">
        <v>96</v>
      </c>
      <c r="I13" s="101"/>
      <c r="J13" s="14">
        <f>1/(2*PI())*SQRT((((D24*1000)*(D20*1000/D26^2))/((D24*1000)+(D20*1000/D26^2)))/(D8+(D14*D15/100)/2))</f>
        <v>2.256567517154739</v>
      </c>
      <c r="K13" s="15" t="s">
        <v>13</v>
      </c>
      <c r="M13" s="71"/>
      <c r="N13" s="71"/>
      <c r="O13" s="71"/>
      <c r="P13" s="71"/>
      <c r="R13" s="91"/>
      <c r="S13" s="121" t="s">
        <v>49</v>
      </c>
      <c r="T13" s="121"/>
      <c r="U13" s="121"/>
      <c r="V13" s="122"/>
    </row>
    <row r="14" spans="1:23" ht="15.75" customHeight="1" thickBot="1" x14ac:dyDescent="0.3">
      <c r="A14" s="93"/>
      <c r="B14" s="108" t="s">
        <v>21</v>
      </c>
      <c r="C14" s="108"/>
      <c r="D14" s="44">
        <f>D6-2*D8-2*D9</f>
        <v>256</v>
      </c>
      <c r="E14" s="18" t="s">
        <v>44</v>
      </c>
      <c r="G14" s="114"/>
      <c r="H14" s="100" t="s">
        <v>97</v>
      </c>
      <c r="I14" s="101"/>
      <c r="J14" s="14">
        <f>1/(2*PI())*SQRT((((D25*1000)*(D21*1000/D27^2))/((D25*1000)+(D21*1000/D27^2)))/(D9+(D14*(100-D15)/100)/2))</f>
        <v>2.3933430539328735</v>
      </c>
      <c r="K14" s="15" t="s">
        <v>13</v>
      </c>
      <c r="M14" s="142" t="s">
        <v>26</v>
      </c>
      <c r="N14" s="143"/>
      <c r="O14" s="143"/>
      <c r="P14" s="144"/>
      <c r="R14" s="91"/>
      <c r="S14" s="125" t="s">
        <v>47</v>
      </c>
      <c r="T14" s="125"/>
      <c r="U14" s="4">
        <f>(D14*D35*O19*(O8+O11)/O6)/D5</f>
        <v>26.31631509835243</v>
      </c>
      <c r="V14" s="32" t="s">
        <v>44</v>
      </c>
    </row>
    <row r="15" spans="1:23" ht="15.75" customHeight="1" x14ac:dyDescent="0.25">
      <c r="A15" s="93"/>
      <c r="B15" s="109" t="s">
        <v>105</v>
      </c>
      <c r="C15" s="110"/>
      <c r="D15" s="42">
        <f>(D6*D7/100-D8*2)/D14*100</f>
        <v>50</v>
      </c>
      <c r="E15" s="18" t="s">
        <v>57</v>
      </c>
      <c r="G15" s="114"/>
      <c r="H15" s="100" t="s">
        <v>84</v>
      </c>
      <c r="I15" s="101"/>
      <c r="J15" s="28">
        <f>2*SQRT((((D24*1000)*(D20*1000/D26^2))/((D24*1000)+(D20*1000/D26^2)))*(D8+(D14*D15/100)/2))</f>
        <v>2070.0510527930251</v>
      </c>
      <c r="K15" s="15" t="s">
        <v>77</v>
      </c>
      <c r="M15" s="183" t="s">
        <v>88</v>
      </c>
      <c r="N15" s="184"/>
      <c r="O15" s="72">
        <f>D20/D26^2</f>
        <v>16.520901930088986</v>
      </c>
      <c r="P15" s="73" t="s">
        <v>27</v>
      </c>
      <c r="R15" s="91" t="s">
        <v>98</v>
      </c>
      <c r="S15" s="123" t="s">
        <v>48</v>
      </c>
      <c r="T15" s="123"/>
      <c r="U15" s="123"/>
      <c r="V15" s="124"/>
    </row>
    <row r="16" spans="1:23" x14ac:dyDescent="0.25">
      <c r="A16" s="93"/>
      <c r="B16" s="108" t="s">
        <v>43</v>
      </c>
      <c r="C16" s="18" t="s">
        <v>16</v>
      </c>
      <c r="D16" s="45">
        <f>(100-D7)/100*D3</f>
        <v>850.9</v>
      </c>
      <c r="E16" s="18" t="s">
        <v>11</v>
      </c>
      <c r="G16" s="114"/>
      <c r="H16" s="100" t="s">
        <v>85</v>
      </c>
      <c r="I16" s="101"/>
      <c r="J16" s="28">
        <f>2*SQRT((((D25*1000)*(D21*1000/D27^2))/((D25*1000)+(D21*1000/D27^2)))*(D9+(D14*(100-D15)/100)/2))</f>
        <v>2195.5214150806569</v>
      </c>
      <c r="K16" s="15" t="s">
        <v>77</v>
      </c>
      <c r="M16" s="181" t="s">
        <v>89</v>
      </c>
      <c r="N16" s="182"/>
      <c r="O16" s="14">
        <f>D21/D27^2</f>
        <v>18.880953767134361</v>
      </c>
      <c r="P16" s="74" t="s">
        <v>27</v>
      </c>
      <c r="R16" s="91"/>
      <c r="S16" s="126" t="s">
        <v>47</v>
      </c>
      <c r="T16" s="126"/>
      <c r="U16" s="3">
        <f>D14*(D15/100)*D35*D30/D4</f>
        <v>0.96923884514435699</v>
      </c>
      <c r="V16" s="31" t="s">
        <v>44</v>
      </c>
    </row>
    <row r="17" spans="1:26" ht="15" customHeight="1" x14ac:dyDescent="0.25">
      <c r="A17" s="93"/>
      <c r="B17" s="108"/>
      <c r="C17" s="18" t="s">
        <v>17</v>
      </c>
      <c r="D17" s="45">
        <v>0</v>
      </c>
      <c r="E17" s="18" t="s">
        <v>11</v>
      </c>
      <c r="G17" s="114"/>
      <c r="H17" s="103" t="s">
        <v>22</v>
      </c>
      <c r="I17" s="103"/>
      <c r="J17" s="29">
        <f>1/(2*PI())*SQRT((O6*180/PI())/O20)</f>
        <v>3.8100802566166965</v>
      </c>
      <c r="K17" s="57" t="s">
        <v>13</v>
      </c>
      <c r="M17" s="145" t="s">
        <v>64</v>
      </c>
      <c r="N17" s="111"/>
      <c r="O17" s="75">
        <f>D18-D30</f>
        <v>267.07176562499995</v>
      </c>
      <c r="P17" s="76" t="s">
        <v>11</v>
      </c>
      <c r="R17" s="91"/>
      <c r="S17" s="121" t="s">
        <v>49</v>
      </c>
      <c r="T17" s="121"/>
      <c r="U17" s="121"/>
      <c r="V17" s="122"/>
    </row>
    <row r="18" spans="1:26" ht="15.75" thickBot="1" x14ac:dyDescent="0.3">
      <c r="A18" s="93"/>
      <c r="B18" s="108"/>
      <c r="C18" s="18" t="s">
        <v>18</v>
      </c>
      <c r="D18" s="46">
        <f>(D6*D11-(2*D8*D12+2*D9*D13))/D14</f>
        <v>277.45776562499998</v>
      </c>
      <c r="E18" s="18" t="s">
        <v>11</v>
      </c>
      <c r="G18" s="114" t="s">
        <v>68</v>
      </c>
      <c r="H18" s="105" t="s">
        <v>14</v>
      </c>
      <c r="I18" s="105"/>
      <c r="J18" s="23">
        <f>U12/(U12+U14)*100</f>
        <v>47.117484882780623</v>
      </c>
      <c r="K18" s="53" t="s">
        <v>102</v>
      </c>
      <c r="M18" s="137" t="s">
        <v>65</v>
      </c>
      <c r="N18" s="138"/>
      <c r="O18" s="75">
        <f>D18-D31</f>
        <v>266.17776562500001</v>
      </c>
      <c r="P18" s="76" t="s">
        <v>11</v>
      </c>
      <c r="R18" s="92"/>
      <c r="S18" s="191" t="s">
        <v>47</v>
      </c>
      <c r="T18" s="191"/>
      <c r="U18" s="33">
        <f>(D14*(100-D15)/100)*D35*D31/D5</f>
        <v>1.0526684164479441</v>
      </c>
      <c r="V18" s="34" t="s">
        <v>44</v>
      </c>
    </row>
    <row r="19" spans="1:26" ht="15" customHeight="1" x14ac:dyDescent="0.25">
      <c r="A19" s="93"/>
      <c r="B19" s="112" t="s">
        <v>41</v>
      </c>
      <c r="C19" s="112"/>
      <c r="D19" s="30">
        <v>49</v>
      </c>
      <c r="E19" s="17" t="s">
        <v>45</v>
      </c>
      <c r="F19" s="86"/>
      <c r="G19" s="114"/>
      <c r="H19" s="105" t="s">
        <v>58</v>
      </c>
      <c r="I19" s="105"/>
      <c r="J19" s="23">
        <f>(U8+U12+U16)/(U4+U6)*100</f>
        <v>47.431882561009409</v>
      </c>
      <c r="K19" s="53" t="s">
        <v>102</v>
      </c>
      <c r="M19" s="137" t="s">
        <v>66</v>
      </c>
      <c r="N19" s="138"/>
      <c r="O19" s="77">
        <f>D18-(((D31-D30)/D3*((100-D15)/100*D3))+D30)</f>
        <v>266.62476562500001</v>
      </c>
      <c r="P19" s="76" t="s">
        <v>11</v>
      </c>
      <c r="R19" s="21"/>
    </row>
    <row r="20" spans="1:26" ht="18" customHeight="1" thickBot="1" x14ac:dyDescent="0.3">
      <c r="A20" s="96" t="s">
        <v>56</v>
      </c>
      <c r="B20" s="107" t="s">
        <v>28</v>
      </c>
      <c r="C20" s="107"/>
      <c r="D20" s="47">
        <v>30.646999999999998</v>
      </c>
      <c r="E20" s="48" t="s">
        <v>27</v>
      </c>
      <c r="G20" s="114"/>
      <c r="H20" s="105" t="s">
        <v>59</v>
      </c>
      <c r="I20" s="105"/>
      <c r="J20" s="23">
        <f>(U30+U34+U38)/(U26+U28)*100</f>
        <v>47.759883001387884</v>
      </c>
      <c r="K20" s="53" t="s">
        <v>102</v>
      </c>
      <c r="M20" s="185" t="s">
        <v>42</v>
      </c>
      <c r="N20" s="186"/>
      <c r="O20" s="78">
        <f>D19+D14*(O19/1000)^2</f>
        <v>67.198724005014057</v>
      </c>
      <c r="P20" s="79" t="s">
        <v>45</v>
      </c>
      <c r="R20" s="21"/>
    </row>
    <row r="21" spans="1:26" ht="15" customHeight="1" x14ac:dyDescent="0.25">
      <c r="A21" s="96"/>
      <c r="B21" s="107" t="s">
        <v>50</v>
      </c>
      <c r="C21" s="107"/>
      <c r="D21" s="47">
        <v>35.024999999999999</v>
      </c>
      <c r="E21" s="48" t="s">
        <v>27</v>
      </c>
      <c r="R21" s="21"/>
    </row>
    <row r="22" spans="1:26" ht="15" customHeight="1" thickBot="1" x14ac:dyDescent="0.35">
      <c r="A22" s="96"/>
      <c r="B22" s="106" t="s">
        <v>53</v>
      </c>
      <c r="C22" s="106"/>
      <c r="D22" s="49">
        <v>30</v>
      </c>
      <c r="E22" s="20" t="s">
        <v>33</v>
      </c>
      <c r="F22" s="87"/>
      <c r="H22" s="102" t="s">
        <v>86</v>
      </c>
      <c r="I22" s="89"/>
      <c r="J22" s="2"/>
      <c r="N22" s="12"/>
      <c r="O22" s="12"/>
      <c r="R22" s="21"/>
    </row>
    <row r="23" spans="1:26" ht="18.75" customHeight="1" thickBot="1" x14ac:dyDescent="0.35">
      <c r="A23" s="96"/>
      <c r="B23" s="106" t="s">
        <v>54</v>
      </c>
      <c r="C23" s="106"/>
      <c r="D23" s="49">
        <v>30</v>
      </c>
      <c r="E23" s="20" t="s">
        <v>33</v>
      </c>
      <c r="F23" s="86"/>
      <c r="H23" s="8">
        <f>((D6*D7/100)/2)-U4</f>
        <v>45.736004512175697</v>
      </c>
      <c r="I23" s="9">
        <f>((D6*D7/100)/2)+U4</f>
        <v>100.2639954878243</v>
      </c>
      <c r="J23" s="2"/>
      <c r="M23" s="134" t="s">
        <v>95</v>
      </c>
      <c r="N23" s="135"/>
      <c r="O23" s="135"/>
      <c r="P23" s="135"/>
      <c r="Q23" s="135"/>
      <c r="R23" s="135"/>
      <c r="S23" s="135"/>
      <c r="T23" s="135"/>
      <c r="U23" s="135"/>
      <c r="V23" s="136"/>
    </row>
    <row r="24" spans="1:26" ht="19.5" thickBot="1" x14ac:dyDescent="0.35">
      <c r="A24" s="96"/>
      <c r="B24" s="111" t="s">
        <v>55</v>
      </c>
      <c r="C24" s="111"/>
      <c r="D24" s="39">
        <v>131.345</v>
      </c>
      <c r="E24" s="6" t="s">
        <v>27</v>
      </c>
      <c r="H24" s="10">
        <f>((D6*(100-D7)/100)/2)-U6</f>
        <v>42.783680527194377</v>
      </c>
      <c r="I24" s="11">
        <f>((D6*(100-D7)/100)/2)+U6</f>
        <v>103.21631947280562</v>
      </c>
      <c r="M24" s="152" t="s">
        <v>39</v>
      </c>
      <c r="N24" s="153"/>
      <c r="O24" s="153"/>
      <c r="P24" s="154"/>
      <c r="R24" s="152" t="s">
        <v>103</v>
      </c>
      <c r="S24" s="153"/>
      <c r="T24" s="153"/>
      <c r="U24" s="153"/>
      <c r="V24" s="154"/>
    </row>
    <row r="25" spans="1:26" ht="15.75" x14ac:dyDescent="0.25">
      <c r="A25" s="96"/>
      <c r="B25" s="111" t="s">
        <v>75</v>
      </c>
      <c r="C25" s="111"/>
      <c r="D25" s="39">
        <v>131.345</v>
      </c>
      <c r="E25" s="6" t="s">
        <v>27</v>
      </c>
      <c r="M25" s="196" t="s">
        <v>38</v>
      </c>
      <c r="N25" s="197"/>
      <c r="O25" s="58">
        <f>(O26/O28)</f>
        <v>1.1141191269867172</v>
      </c>
      <c r="P25" s="59" t="s">
        <v>32</v>
      </c>
      <c r="R25" s="155" t="s">
        <v>69</v>
      </c>
      <c r="S25" s="193" t="s">
        <v>48</v>
      </c>
      <c r="T25" s="194"/>
      <c r="U25" s="194"/>
      <c r="V25" s="195"/>
    </row>
    <row r="26" spans="1:26" x14ac:dyDescent="0.25">
      <c r="A26" s="97" t="s">
        <v>6</v>
      </c>
      <c r="B26" s="104" t="s">
        <v>2</v>
      </c>
      <c r="C26" s="104"/>
      <c r="D26" s="50">
        <v>1.3620000000000001</v>
      </c>
      <c r="E26" s="16" t="s">
        <v>12</v>
      </c>
      <c r="M26" s="192" t="s">
        <v>30</v>
      </c>
      <c r="N26" s="151"/>
      <c r="O26" s="60">
        <f>D14*9.81*D35*O19/1000</f>
        <v>669.59077140000011</v>
      </c>
      <c r="P26" s="61" t="s">
        <v>31</v>
      </c>
      <c r="R26" s="156"/>
      <c r="S26" s="175" t="s">
        <v>47</v>
      </c>
      <c r="T26" s="176"/>
      <c r="U26" s="3">
        <f>U30+U34+U38</f>
        <v>27.452531174026106</v>
      </c>
      <c r="V26" s="31" t="s">
        <v>44</v>
      </c>
    </row>
    <row r="27" spans="1:26" ht="16.5" customHeight="1" x14ac:dyDescent="0.25">
      <c r="A27" s="97"/>
      <c r="B27" s="104" t="s">
        <v>3</v>
      </c>
      <c r="C27" s="104"/>
      <c r="D27" s="50">
        <v>1.3620000000000001</v>
      </c>
      <c r="E27" s="16" t="s">
        <v>12</v>
      </c>
      <c r="M27" s="139"/>
      <c r="N27" s="140"/>
      <c r="O27" s="140"/>
      <c r="P27" s="141"/>
      <c r="R27" s="156"/>
      <c r="S27" s="162" t="s">
        <v>49</v>
      </c>
      <c r="T27" s="163"/>
      <c r="U27" s="163"/>
      <c r="V27" s="164"/>
    </row>
    <row r="28" spans="1:26" x14ac:dyDescent="0.25">
      <c r="A28" s="97"/>
      <c r="B28" s="104" t="s">
        <v>4</v>
      </c>
      <c r="C28" s="104"/>
      <c r="D28" s="51">
        <v>0.8125</v>
      </c>
      <c r="E28" s="16" t="s">
        <v>12</v>
      </c>
      <c r="F28" s="86"/>
      <c r="M28" s="187" t="s">
        <v>51</v>
      </c>
      <c r="N28" s="188"/>
      <c r="O28" s="80">
        <f>O31+O34</f>
        <v>601.00464589545027</v>
      </c>
      <c r="P28" s="63" t="s">
        <v>33</v>
      </c>
      <c r="R28" s="157"/>
      <c r="S28" s="177" t="s">
        <v>47</v>
      </c>
      <c r="T28" s="178"/>
      <c r="U28" s="4">
        <f>U32+U36+U40</f>
        <v>30.02778378660382</v>
      </c>
      <c r="V28" s="32" t="s">
        <v>44</v>
      </c>
    </row>
    <row r="29" spans="1:26" ht="15.75" x14ac:dyDescent="0.25">
      <c r="A29" s="97"/>
      <c r="B29" s="104" t="s">
        <v>5</v>
      </c>
      <c r="C29" s="104"/>
      <c r="D29" s="51">
        <v>0.8125</v>
      </c>
      <c r="E29" s="16" t="s">
        <v>12</v>
      </c>
      <c r="F29" s="86"/>
      <c r="J29">
        <v>53.5</v>
      </c>
      <c r="M29" s="189" t="s">
        <v>52</v>
      </c>
      <c r="N29" s="64" t="s">
        <v>93</v>
      </c>
      <c r="O29" s="60">
        <f>((D4/1000)^2*TAN(1*PI()/180)*O40*1000)/2</f>
        <v>240.94931013612734</v>
      </c>
      <c r="P29" s="61" t="s">
        <v>33</v>
      </c>
      <c r="R29" s="158" t="s">
        <v>70</v>
      </c>
      <c r="S29" s="172" t="s">
        <v>48</v>
      </c>
      <c r="T29" s="173"/>
      <c r="U29" s="173"/>
      <c r="V29" s="174"/>
    </row>
    <row r="30" spans="1:26" ht="15" customHeight="1" x14ac:dyDescent="0.25">
      <c r="A30" s="98" t="s">
        <v>39</v>
      </c>
      <c r="B30" s="6" t="s">
        <v>62</v>
      </c>
      <c r="C30" s="6" t="s">
        <v>18</v>
      </c>
      <c r="D30" s="39">
        <v>10.385999999999999</v>
      </c>
      <c r="E30" s="6" t="s">
        <v>11</v>
      </c>
      <c r="M30" s="190"/>
      <c r="N30" s="64" t="s">
        <v>94</v>
      </c>
      <c r="O30" s="60">
        <f>((D5/1000)^2*TAN(1*PI()/180)*O41*1000)/2</f>
        <v>271.04345803299526</v>
      </c>
      <c r="P30" s="61" t="s">
        <v>33</v>
      </c>
      <c r="R30" s="156"/>
      <c r="S30" s="175" t="s">
        <v>47</v>
      </c>
      <c r="T30" s="176"/>
      <c r="U30" s="3">
        <f>D8*2*D35*D12/D4</f>
        <v>2.84733595800525</v>
      </c>
      <c r="V30" s="31" t="s">
        <v>44</v>
      </c>
    </row>
    <row r="31" spans="1:26" ht="15" customHeight="1" x14ac:dyDescent="0.25">
      <c r="A31" s="99"/>
      <c r="B31" s="6" t="s">
        <v>63</v>
      </c>
      <c r="C31" s="6" t="s">
        <v>18</v>
      </c>
      <c r="D31" s="52">
        <v>11.28</v>
      </c>
      <c r="E31" s="6" t="s">
        <v>11</v>
      </c>
      <c r="M31" s="190"/>
      <c r="N31" s="81" t="s">
        <v>35</v>
      </c>
      <c r="O31" s="82">
        <f>O29+O30</f>
        <v>511.9927681691226</v>
      </c>
      <c r="P31" s="83" t="s">
        <v>33</v>
      </c>
      <c r="R31" s="156"/>
      <c r="S31" s="162" t="s">
        <v>49</v>
      </c>
      <c r="T31" s="163"/>
      <c r="U31" s="163"/>
      <c r="V31" s="164"/>
      <c r="Z31">
        <v>1.23</v>
      </c>
    </row>
    <row r="32" spans="1:26" x14ac:dyDescent="0.25">
      <c r="M32" s="148" t="s">
        <v>52</v>
      </c>
      <c r="N32" s="65" t="s">
        <v>36</v>
      </c>
      <c r="O32" s="27">
        <f>((D22/D28^2)*O35)/((D22/D28^2)+O35)</f>
        <v>44.505938863163834</v>
      </c>
      <c r="P32" s="67" t="s">
        <v>33</v>
      </c>
      <c r="R32" s="157"/>
      <c r="S32" s="177" t="s">
        <v>47</v>
      </c>
      <c r="T32" s="178"/>
      <c r="U32" s="4">
        <f>D9*2*D35*D13/D5</f>
        <v>2.84733595800525</v>
      </c>
      <c r="V32" s="32" t="s">
        <v>44</v>
      </c>
      <c r="Z32">
        <v>0.8125</v>
      </c>
    </row>
    <row r="33" spans="1:22" ht="15.75" x14ac:dyDescent="0.25">
      <c r="A33" s="22"/>
      <c r="M33" s="148"/>
      <c r="N33" s="65" t="s">
        <v>37</v>
      </c>
      <c r="O33" s="27">
        <f>((D23/D29^2)*O36)/((D23/D29^2)+O36)</f>
        <v>44.505938863163834</v>
      </c>
      <c r="P33" s="67" t="s">
        <v>33</v>
      </c>
      <c r="R33" s="158" t="s">
        <v>99</v>
      </c>
      <c r="S33" s="172" t="s">
        <v>48</v>
      </c>
      <c r="T33" s="173"/>
      <c r="U33" s="173"/>
      <c r="V33" s="174"/>
    </row>
    <row r="34" spans="1:22" ht="18.75" x14ac:dyDescent="0.3">
      <c r="A34" s="94" t="s">
        <v>34</v>
      </c>
      <c r="B34" s="94"/>
      <c r="C34" s="94"/>
      <c r="D34" s="94"/>
      <c r="E34" s="94"/>
      <c r="M34" s="148"/>
      <c r="N34" s="65" t="s">
        <v>35</v>
      </c>
      <c r="O34" s="27">
        <f>O32+O33</f>
        <v>89.011877726327668</v>
      </c>
      <c r="P34" s="67" t="s">
        <v>33</v>
      </c>
      <c r="R34" s="156"/>
      <c r="S34" s="175" t="s">
        <v>47</v>
      </c>
      <c r="T34" s="176"/>
      <c r="U34" s="3">
        <f>D14*D35*O19*((O29+O32)/O28)/D4</f>
        <v>23.635956370876499</v>
      </c>
      <c r="V34" s="31" t="s">
        <v>44</v>
      </c>
    </row>
    <row r="35" spans="1:22" ht="15.75" x14ac:dyDescent="0.25">
      <c r="A35" s="95" t="s">
        <v>23</v>
      </c>
      <c r="B35" s="95"/>
      <c r="C35" s="95"/>
      <c r="D35" s="5">
        <v>1</v>
      </c>
      <c r="E35" s="19" t="s">
        <v>46</v>
      </c>
      <c r="M35" s="148" t="s">
        <v>52</v>
      </c>
      <c r="N35" s="65" t="s">
        <v>100</v>
      </c>
      <c r="O35" s="27">
        <f>((D4/1000)^2*TAN(RADIANS(1))*D24*1000)/2</f>
        <v>2156.5521793833018</v>
      </c>
      <c r="P35" s="67" t="s">
        <v>33</v>
      </c>
      <c r="R35" s="156"/>
      <c r="S35" s="162" t="s">
        <v>49</v>
      </c>
      <c r="T35" s="163"/>
      <c r="U35" s="163"/>
      <c r="V35" s="164"/>
    </row>
    <row r="36" spans="1:22" x14ac:dyDescent="0.25">
      <c r="M36" s="148"/>
      <c r="N36" s="65" t="s">
        <v>101</v>
      </c>
      <c r="O36" s="27">
        <f>((D5/1000)^2*TAN(RADIANS(1))*D25*1000)/2</f>
        <v>2156.5521793833018</v>
      </c>
      <c r="P36" s="67" t="s">
        <v>33</v>
      </c>
      <c r="R36" s="157"/>
      <c r="S36" s="177" t="s">
        <v>47</v>
      </c>
      <c r="T36" s="178"/>
      <c r="U36" s="4">
        <f>D14*D35*O19*((O30+O33)/O28)/D5</f>
        <v>26.127779412150627</v>
      </c>
      <c r="V36" s="32" t="s">
        <v>44</v>
      </c>
    </row>
    <row r="37" spans="1:22" ht="19.5" thickBot="1" x14ac:dyDescent="0.35">
      <c r="A37" s="89" t="s">
        <v>92</v>
      </c>
      <c r="B37" s="89"/>
      <c r="C37" s="89"/>
      <c r="D37" s="89"/>
      <c r="E37" s="89"/>
      <c r="M37" s="149"/>
      <c r="N37" s="68" t="s">
        <v>35</v>
      </c>
      <c r="O37" s="84">
        <f>O35+O36</f>
        <v>4313.1043587666036</v>
      </c>
      <c r="P37" s="70" t="s">
        <v>33</v>
      </c>
      <c r="R37" s="159" t="s">
        <v>98</v>
      </c>
      <c r="S37" s="172" t="s">
        <v>48</v>
      </c>
      <c r="T37" s="173"/>
      <c r="U37" s="173"/>
      <c r="V37" s="174"/>
    </row>
    <row r="38" spans="1:22" ht="15" customHeight="1" thickBot="1" x14ac:dyDescent="0.3">
      <c r="A38" s="88" t="str">
        <f>IF(OR(H24&lt;0,H23&lt;0,I23&lt;0,I24&lt;0),"One wheel is is the air! Calculations are false!","")</f>
        <v/>
      </c>
      <c r="B38" s="88"/>
      <c r="C38" s="88"/>
      <c r="D38" s="88"/>
      <c r="E38" s="88"/>
      <c r="R38" s="160"/>
      <c r="S38" s="175" t="s">
        <v>47</v>
      </c>
      <c r="T38" s="176"/>
      <c r="U38" s="3">
        <f>D14*(D15/100)*D35*D30/D4</f>
        <v>0.96923884514435699</v>
      </c>
      <c r="V38" s="31" t="s">
        <v>44</v>
      </c>
    </row>
    <row r="39" spans="1:22" ht="15" customHeight="1" thickBot="1" x14ac:dyDescent="0.3">
      <c r="A39" s="88"/>
      <c r="B39" s="88"/>
      <c r="C39" s="88"/>
      <c r="D39" s="88"/>
      <c r="E39" s="88"/>
      <c r="M39" s="167" t="s">
        <v>26</v>
      </c>
      <c r="N39" s="168"/>
      <c r="O39" s="168"/>
      <c r="P39" s="169"/>
      <c r="R39" s="160"/>
      <c r="S39" s="162" t="s">
        <v>49</v>
      </c>
      <c r="T39" s="163"/>
      <c r="U39" s="163"/>
      <c r="V39" s="164"/>
    </row>
    <row r="40" spans="1:22" ht="15" customHeight="1" thickBot="1" x14ac:dyDescent="0.3">
      <c r="G40" s="13"/>
      <c r="M40" s="170" t="s">
        <v>90</v>
      </c>
      <c r="N40" s="171"/>
      <c r="O40" s="35">
        <f>((D20/D26^2)*D24)/((D20/D26^2)+D24)</f>
        <v>14.675038908114763</v>
      </c>
      <c r="P40" s="36" t="s">
        <v>27</v>
      </c>
      <c r="R40" s="161"/>
      <c r="S40" s="165" t="s">
        <v>47</v>
      </c>
      <c r="T40" s="166"/>
      <c r="U40" s="33">
        <f>(D14*(100-D15)/100)*D35*D31/D5</f>
        <v>1.0526684164479441</v>
      </c>
      <c r="V40" s="34" t="s">
        <v>44</v>
      </c>
    </row>
    <row r="41" spans="1:22" ht="18" customHeight="1" thickBot="1" x14ac:dyDescent="0.3">
      <c r="G41" s="13"/>
      <c r="M41" s="179" t="s">
        <v>91</v>
      </c>
      <c r="N41" s="180"/>
      <c r="O41" s="37">
        <f>((D21/D27^2)*D25)/((D21/D27^2)+D25)</f>
        <v>16.507925630403328</v>
      </c>
      <c r="P41" s="38" t="s">
        <v>27</v>
      </c>
      <c r="R41" s="21"/>
    </row>
    <row r="42" spans="1:22" ht="15" customHeight="1" x14ac:dyDescent="0.25">
      <c r="G42" s="13"/>
    </row>
    <row r="43" spans="1:22" x14ac:dyDescent="0.25">
      <c r="G43" s="13"/>
    </row>
    <row r="44" spans="1:22" x14ac:dyDescent="0.25">
      <c r="D44" s="30">
        <v>9.7899999999999991</v>
      </c>
    </row>
    <row r="68" ht="15" customHeight="1" x14ac:dyDescent="0.25"/>
    <row r="121" spans="3:3" x14ac:dyDescent="0.25">
      <c r="C121" s="2"/>
    </row>
    <row r="122" spans="3:3" x14ac:dyDescent="0.25">
      <c r="C122" s="2"/>
    </row>
  </sheetData>
  <mergeCells count="127">
    <mergeCell ref="M41:N41"/>
    <mergeCell ref="M35:M37"/>
    <mergeCell ref="M16:N16"/>
    <mergeCell ref="S17:V17"/>
    <mergeCell ref="M15:N15"/>
    <mergeCell ref="M20:N20"/>
    <mergeCell ref="M28:N28"/>
    <mergeCell ref="M29:M31"/>
    <mergeCell ref="M32:M34"/>
    <mergeCell ref="S33:V33"/>
    <mergeCell ref="S34:T34"/>
    <mergeCell ref="S35:V35"/>
    <mergeCell ref="S36:T36"/>
    <mergeCell ref="S18:T18"/>
    <mergeCell ref="S32:T32"/>
    <mergeCell ref="S31:V31"/>
    <mergeCell ref="S26:T26"/>
    <mergeCell ref="M26:N26"/>
    <mergeCell ref="S25:V25"/>
    <mergeCell ref="M25:N25"/>
    <mergeCell ref="H3:I3"/>
    <mergeCell ref="H2:K2"/>
    <mergeCell ref="R24:V24"/>
    <mergeCell ref="M24:P24"/>
    <mergeCell ref="M23:V23"/>
    <mergeCell ref="R25:R28"/>
    <mergeCell ref="R29:R32"/>
    <mergeCell ref="R33:R36"/>
    <mergeCell ref="R37:R40"/>
    <mergeCell ref="S39:V39"/>
    <mergeCell ref="S40:T40"/>
    <mergeCell ref="S15:V15"/>
    <mergeCell ref="S13:V13"/>
    <mergeCell ref="S16:T16"/>
    <mergeCell ref="S14:T14"/>
    <mergeCell ref="M39:P39"/>
    <mergeCell ref="M40:N40"/>
    <mergeCell ref="S37:V37"/>
    <mergeCell ref="S38:T38"/>
    <mergeCell ref="S30:T30"/>
    <mergeCell ref="S29:V29"/>
    <mergeCell ref="S28:T28"/>
    <mergeCell ref="S27:V27"/>
    <mergeCell ref="M27:P27"/>
    <mergeCell ref="M1:V1"/>
    <mergeCell ref="M19:N19"/>
    <mergeCell ref="S12:T12"/>
    <mergeCell ref="M2:P2"/>
    <mergeCell ref="M5:P5"/>
    <mergeCell ref="M18:N18"/>
    <mergeCell ref="M14:P14"/>
    <mergeCell ref="M17:N17"/>
    <mergeCell ref="M7:M9"/>
    <mergeCell ref="M6:N6"/>
    <mergeCell ref="M10:M12"/>
    <mergeCell ref="G18:G20"/>
    <mergeCell ref="R2:V2"/>
    <mergeCell ref="H4:I4"/>
    <mergeCell ref="H5:I5"/>
    <mergeCell ref="H6:I6"/>
    <mergeCell ref="S3:V3"/>
    <mergeCell ref="S5:V5"/>
    <mergeCell ref="S7:V7"/>
    <mergeCell ref="S9:V9"/>
    <mergeCell ref="S11:V11"/>
    <mergeCell ref="S10:T10"/>
    <mergeCell ref="S4:T4"/>
    <mergeCell ref="S6:T6"/>
    <mergeCell ref="S8:T8"/>
    <mergeCell ref="M3:N3"/>
    <mergeCell ref="M4:N4"/>
    <mergeCell ref="G3:G4"/>
    <mergeCell ref="G5:G17"/>
    <mergeCell ref="H7:I7"/>
    <mergeCell ref="H8:I8"/>
    <mergeCell ref="H11:I11"/>
    <mergeCell ref="H12:I12"/>
    <mergeCell ref="H9:I9"/>
    <mergeCell ref="H10:I10"/>
    <mergeCell ref="B26:C26"/>
    <mergeCell ref="B19:C19"/>
    <mergeCell ref="B3:C3"/>
    <mergeCell ref="B4:C4"/>
    <mergeCell ref="B5:C5"/>
    <mergeCell ref="B8:C8"/>
    <mergeCell ref="B9:C9"/>
    <mergeCell ref="B11:C11"/>
    <mergeCell ref="B12:C12"/>
    <mergeCell ref="A2:E2"/>
    <mergeCell ref="B22:C22"/>
    <mergeCell ref="B23:C23"/>
    <mergeCell ref="B21:C21"/>
    <mergeCell ref="B20:C20"/>
    <mergeCell ref="B10:C10"/>
    <mergeCell ref="B15:C15"/>
    <mergeCell ref="B16:B18"/>
    <mergeCell ref="B25:C25"/>
    <mergeCell ref="B24:C24"/>
    <mergeCell ref="B13:C13"/>
    <mergeCell ref="B6:C6"/>
    <mergeCell ref="B7:C7"/>
    <mergeCell ref="B14:C14"/>
    <mergeCell ref="A3:A5"/>
    <mergeCell ref="A38:E39"/>
    <mergeCell ref="A37:E37"/>
    <mergeCell ref="R3:R6"/>
    <mergeCell ref="R7:R10"/>
    <mergeCell ref="R11:R14"/>
    <mergeCell ref="R15:R18"/>
    <mergeCell ref="A6:A19"/>
    <mergeCell ref="A34:E34"/>
    <mergeCell ref="A35:C35"/>
    <mergeCell ref="A20:A25"/>
    <mergeCell ref="A26:A29"/>
    <mergeCell ref="A30:A31"/>
    <mergeCell ref="H16:I16"/>
    <mergeCell ref="H22:I22"/>
    <mergeCell ref="H17:I17"/>
    <mergeCell ref="H13:I13"/>
    <mergeCell ref="H14:I14"/>
    <mergeCell ref="H15:I15"/>
    <mergeCell ref="B28:C28"/>
    <mergeCell ref="B27:C27"/>
    <mergeCell ref="B29:C29"/>
    <mergeCell ref="H18:I18"/>
    <mergeCell ref="H19:I19"/>
    <mergeCell ref="H20:I20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 transfer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2013-07-25T00:46:14Z</dcterms:modified>
</cp:coreProperties>
</file>