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4.xml" ContentType="application/vnd.openxmlformats-officedocument.spreadsheetml.work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worksheets/sheet5.xml" ContentType="application/vnd.openxmlformats-officedocument.spreadsheetml.worksheet+xml"/>
  <Override PartName="/xl/chartsheets/sheet18.xml" ContentType="application/vnd.openxmlformats-officedocument.spreadsheetml.chartsheet+xml"/>
  <Override PartName="/xl/chartsheets/sheet19.xml" ContentType="application/vnd.openxmlformats-officedocument.spreadsheetml.chartsheet+xml"/>
  <Override PartName="/xl/chartsheets/sheet20.xml" ContentType="application/vnd.openxmlformats-officedocument.spreadsheetml.chartsheet+xml"/>
  <Override PartName="/xl/chartsheets/sheet21.xml" ContentType="application/vnd.openxmlformats-officedocument.spreadsheetml.chartsheet+xml"/>
  <Override PartName="/xl/chartsheets/sheet22.xml" ContentType="application/vnd.openxmlformats-officedocument.spreadsheetml.chartsheet+xml"/>
  <Override PartName="/xl/chartsheets/sheet23.xml" ContentType="application/vnd.openxmlformats-officedocument.spreadsheetml.chartsheet+xml"/>
  <Override PartName="/xl/chartsheets/sheet24.xml" ContentType="application/vnd.openxmlformats-officedocument.spreadsheetml.chartsheet+xml"/>
  <Override PartName="/xl/chartsheets/sheet25.xml" ContentType="application/vnd.openxmlformats-officedocument.spreadsheetml.chartsheet+xml"/>
  <Override PartName="/xl/chartsheets/sheet26.xml" ContentType="application/vnd.openxmlformats-officedocument.spreadsheetml.chartsheet+xml"/>
  <Override PartName="/xl/chartsheets/sheet27.xml" ContentType="application/vnd.openxmlformats-officedocument.spreadsheetml.chartsheet+xml"/>
  <Override PartName="/xl/chartsheets/sheet28.xml" ContentType="application/vnd.openxmlformats-officedocument.spreadsheetml.chartsheet+xml"/>
  <Override PartName="/xl/chartsheets/sheet29.xml" ContentType="application/vnd.openxmlformats-officedocument.spreadsheetml.chartsheet+xml"/>
  <Override PartName="/xl/chartsheets/sheet30.xml" ContentType="application/vnd.openxmlformats-officedocument.spreadsheetml.chartsheet+xml"/>
  <Override PartName="/xl/chartsheets/sheet31.xml" ContentType="application/vnd.openxmlformats-officedocument.spreadsheetml.chartsheet+xml"/>
  <Override PartName="/xl/chartsheets/sheet3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33.xml" ContentType="application/vnd.openxmlformats-officedocument.spreadsheetml.chartsheet+xml"/>
  <Override PartName="/xl/chartsheets/sheet34.xml" ContentType="application/vnd.openxmlformats-officedocument.spreadsheetml.chartsheet+xml"/>
  <Override PartName="/xl/chartsheets/sheet35.xml" ContentType="application/vnd.openxmlformats-officedocument.spreadsheetml.chartsheet+xml"/>
  <Override PartName="/xl/chartsheets/sheet36.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heets/sheet37.xml" ContentType="application/vnd.openxmlformats-officedocument.spreadsheetml.chart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38.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hartsheets/sheet39.xml" ContentType="application/vnd.openxmlformats-officedocument.spreadsheetml.chart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omments3.xml" ContentType="application/vnd.openxmlformats-officedocument.spreadsheetml.comments+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comments4.xml" ContentType="application/vnd.openxmlformats-officedocument.spreadsheetml.comments+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23.xml" ContentType="application/vnd.openxmlformats-officedocument.drawingml.chart+xml"/>
  <Override PartName="/xl/drawings/drawing25.xml" ContentType="application/vnd.openxmlformats-officedocument.drawing+xml"/>
  <Override PartName="/xl/charts/chart24.xml" ContentType="application/vnd.openxmlformats-officedocument.drawingml.chart+xml"/>
  <Override PartName="/xl/drawings/drawing26.xml" ContentType="application/vnd.openxmlformats-officedocument.drawing+xml"/>
  <Override PartName="/xl/charts/chart25.xml" ContentType="application/vnd.openxmlformats-officedocument.drawingml.chart+xml"/>
  <Override PartName="/xl/drawings/drawing27.xml" ContentType="application/vnd.openxmlformats-officedocument.drawing+xml"/>
  <Override PartName="/xl/charts/chart26.xml" ContentType="application/vnd.openxmlformats-officedocument.drawingml.chart+xml"/>
  <Override PartName="/xl/drawings/drawing28.xml" ContentType="application/vnd.openxmlformats-officedocument.drawing+xml"/>
  <Override PartName="/xl/charts/chart27.xml" ContentType="application/vnd.openxmlformats-officedocument.drawingml.chart+xml"/>
  <Override PartName="/xl/drawings/drawing29.xml" ContentType="application/vnd.openxmlformats-officedocument.drawing+xml"/>
  <Override PartName="/xl/charts/chart28.xml" ContentType="application/vnd.openxmlformats-officedocument.drawingml.chart+xml"/>
  <Override PartName="/xl/drawings/drawing30.xml" ContentType="application/vnd.openxmlformats-officedocument.drawing+xml"/>
  <Override PartName="/xl/charts/chart29.xml" ContentType="application/vnd.openxmlformats-officedocument.drawingml.chart+xml"/>
  <Override PartName="/xl/drawings/drawing31.xml" ContentType="application/vnd.openxmlformats-officedocument.drawing+xml"/>
  <Override PartName="/xl/charts/chart30.xml" ContentType="application/vnd.openxmlformats-officedocument.drawingml.chart+xml"/>
  <Override PartName="/xl/drawings/drawing32.xml" ContentType="application/vnd.openxmlformats-officedocument.drawing+xml"/>
  <Override PartName="/xl/charts/chart31.xml" ContentType="application/vnd.openxmlformats-officedocument.drawingml.chart+xml"/>
  <Override PartName="/xl/drawings/drawing33.xml" ContentType="application/vnd.openxmlformats-officedocument.drawing+xml"/>
  <Override PartName="/xl/charts/chart32.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4.xml" ContentType="application/vnd.openxmlformats-officedocument.drawing+xml"/>
  <Override PartName="/xl/charts/chart33.xml" ContentType="application/vnd.openxmlformats-officedocument.drawingml.chart+xml"/>
  <Override PartName="/xl/drawings/drawing35.xml" ContentType="application/vnd.openxmlformats-officedocument.drawing+xml"/>
  <Override PartName="/xl/charts/chart34.xml" ContentType="application/vnd.openxmlformats-officedocument.drawingml.chart+xml"/>
  <Override PartName="/xl/drawings/drawing36.xml" ContentType="application/vnd.openxmlformats-officedocument.drawing+xml"/>
  <Override PartName="/xl/charts/chart35.xml" ContentType="application/vnd.openxmlformats-officedocument.drawingml.chart+xml"/>
  <Override PartName="/xl/drawings/drawing37.xml" ContentType="application/vnd.openxmlformats-officedocument.drawing+xml"/>
  <Override PartName="/xl/charts/chart36.xml" ContentType="application/vnd.openxmlformats-officedocument.drawingml.chart+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drawings/drawing38.xml" ContentType="application/vnd.openxmlformats-officedocument.drawing+xml"/>
  <Override PartName="/xl/charts/chart37.xml" ContentType="application/vnd.openxmlformats-officedocument.drawingml.chart+xml"/>
  <Override PartName="/xl/comments12.xml" ContentType="application/vnd.openxmlformats-officedocument.spreadsheetml.comments+xml"/>
  <Override PartName="/xl/drawings/drawing39.xml" ContentType="application/vnd.openxmlformats-officedocument.drawing+xml"/>
  <Override PartName="/xl/charts/chart38.xml" ContentType="application/vnd.openxmlformats-officedocument.drawingml.chart+xml"/>
  <Override PartName="/xl/comments13.xml" ContentType="application/vnd.openxmlformats-officedocument.spreadsheetml.comments+xml"/>
  <Override PartName="/xl/drawings/drawing40.xml" ContentType="application/vnd.openxmlformats-officedocument.drawing+xml"/>
  <Override PartName="/xl/charts/chart3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20" windowWidth="11430" windowHeight="6240" tabRatio="801" activeTab="1"/>
  </bookViews>
  <sheets>
    <sheet name="crédits" sheetId="105" r:id="rId1"/>
    <sheet name="data2018" sheetId="1" r:id="rId2"/>
    <sheet name="dicovar" sheetId="74" r:id="rId3"/>
    <sheet name="hsmic100km" sheetId="102" r:id="rId4"/>
    <sheet name="nb_hsmicne_km_annuel" sheetId="107" r:id="rId5"/>
    <sheet name="km_par_heure_smic" sheetId="106" r:id="rId6"/>
    <sheet name="minutesmicarbu" sheetId="101" r:id="rId7"/>
    <sheet name="Prix_relatif_navigo_carbu" sheetId="82" r:id="rId8"/>
    <sheet name="prix_carbu" sheetId="28" r:id="rId9"/>
    <sheet name="Prix_carbu_coupon" sheetId="79" r:id="rId10"/>
    <sheet name="temps_SMIC_carburant" sheetId="94" r:id="rId11"/>
    <sheet name="Prix relatif log_carburant" sheetId="89" r:id="rId12"/>
    <sheet name="INSEE_NOTAIRES" sheetId="63" r:id="rId13"/>
    <sheet name="Prix relatif loyers_carbu" sheetId="90" r:id="rId14"/>
    <sheet name="Prix_relatif_ICC_carbu" sheetId="91" r:id="rId15"/>
    <sheet name="Prix_reels_logcarb" sheetId="93" r:id="rId16"/>
    <sheet name="Prix_relatifs_en_carbu" sheetId="92" r:id="rId17"/>
    <sheet name="prix_carbu_nomi_reel" sheetId="61" r:id="rId18"/>
    <sheet name="Ipcarb_icc_reels" sheetId="56" r:id="rId19"/>
    <sheet name="Evol_CUs" sheetId="52" r:id="rId20"/>
    <sheet name="Pcarb_ICC" sheetId="49" r:id="rId21"/>
    <sheet name="data_menages" sheetId="95" r:id="rId22"/>
    <sheet name="parts_budgetaires" sheetId="96" r:id="rId23"/>
    <sheet name="prix_reels" sheetId="97" r:id="rId24"/>
    <sheet name="volatilité_prix" sheetId="98" r:id="rId25"/>
    <sheet name="volatilité_parts_budgetaires" sheetId="99" r:id="rId26"/>
    <sheet name="Prix comparés" sheetId="34" r:id="rId27"/>
    <sheet name="indices_de_prix_2005" sheetId="38" r:id="rId28"/>
    <sheet name="Prix_reels_05" sheetId="57" r:id="rId29"/>
    <sheet name="TCNOM" sheetId="42" r:id="rId30"/>
    <sheet name="TCREEL" sheetId="43" r:id="rId31"/>
    <sheet name="TCREELPC" sheetId="44" r:id="rId32"/>
    <sheet name="TCREELPM" sheetId="45" r:id="rId33"/>
    <sheet name="ECART" sheetId="46" r:id="rId34"/>
    <sheet name="ECARTpc" sheetId="47" r:id="rId35"/>
    <sheet name="ECARTpm" sheetId="73" r:id="rId36"/>
    <sheet name="TCRDBMEN" sheetId="48" r:id="rId37"/>
    <sheet name="taux croissance" sheetId="41" r:id="rId38"/>
    <sheet name="DEPLOGAUT" sheetId="26" r:id="rId39"/>
    <sheet name="ZIA_quantites_physiques" sheetId="35" r:id="rId40"/>
    <sheet name="CONSO_CPDP" sheetId="39" r:id="rId41"/>
    <sheet name="Ecart-CPDP_INSEE" sheetId="60" r:id="rId42"/>
    <sheet name="Parts_log_transp" sheetId="68" r:id="rId43"/>
    <sheet name="LOG-TRANS-RATIO" sheetId="27" r:id="rId44"/>
    <sheet name="Prix_voitures_neuves" sheetId="24" r:id="rId45"/>
    <sheet name="reconstruction parcours moyens" sheetId="69" r:id="rId46"/>
    <sheet name="Occupation_territoire" sheetId="72" r:id="rId47"/>
    <sheet name="TERUTI92-04" sheetId="58" r:id="rId48"/>
    <sheet name="teruti 2006-2014" sheetId="55" r:id="rId49"/>
    <sheet name="densité_urbaine_carburant" sheetId="75" r:id="rId50"/>
    <sheet name="calcul prix carbus" sheetId="62" r:id="rId51"/>
    <sheet name="indice carbu" sheetId="40" r:id="rId52"/>
    <sheet name="I_PRIX_REELS" sheetId="64" r:id="rId53"/>
    <sheet name="calcul quantités_prix_2005_2009" sheetId="53" r:id="rId54"/>
    <sheet name="ICC53-10" sheetId="59" r:id="rId55"/>
    <sheet name="INSEE prix carbu" sheetId="54" r:id="rId56"/>
    <sheet name="SMIC brut" sheetId="100" r:id="rId57"/>
    <sheet name="Graf_prix_carbu_km_veh" sheetId="104" r:id="rId58"/>
    <sheet name="prix_km" sheetId="103" r:id="rId59"/>
  </sheets>
  <definedNames>
    <definedName name="chiffre" localSheetId="46">Occupation_territoire!#REF!</definedName>
    <definedName name="entete_colonne" localSheetId="46">Occupation_territoire!#REF!,Occupation_territoire!#REF!</definedName>
    <definedName name="entete_ligne" localSheetId="46">Occupation_territoire!#REF!</definedName>
    <definedName name="intertitre" localSheetId="46">Occupation_territoire!#REF!,Occupation_territoire!#REF!</definedName>
    <definedName name="note" localSheetId="46">Occupation_territoire!#REF!</definedName>
    <definedName name="source" localSheetId="46">Occupation_territoire!#REF!</definedName>
    <definedName name="titre" localSheetId="46">Occupation_territoire!#REF!</definedName>
    <definedName name="total" localSheetId="46">Occupation_territoire!#REF!,Occupation_territoire!#REF!</definedName>
    <definedName name="unite" localSheetId="46">Occupation_territoire!#REF!</definedName>
    <definedName name="ventilation" localSheetId="46">Occupation_territoire!#REF!,Occupation_territoire!#REF!</definedName>
    <definedName name="ZF_Pan" localSheetId="2">#REF!</definedName>
    <definedName name="ZF_Pan">#REF!</definedName>
  </definedNames>
  <calcPr calcId="145621"/>
</workbook>
</file>

<file path=xl/calcChain.xml><?xml version="1.0" encoding="utf-8"?>
<calcChain xmlns="http://schemas.openxmlformats.org/spreadsheetml/2006/main">
  <c r="FD60" i="1" l="1"/>
  <c r="FD59" i="1"/>
  <c r="FD58" i="1"/>
  <c r="FD57" i="1"/>
  <c r="FD56" i="1"/>
  <c r="FD55" i="1"/>
  <c r="FD54" i="1"/>
  <c r="FD53" i="1"/>
  <c r="FD52" i="1"/>
  <c r="FD51" i="1"/>
  <c r="FD50" i="1"/>
  <c r="FD49" i="1"/>
  <c r="FD48" i="1"/>
  <c r="FD47" i="1"/>
  <c r="FD46" i="1"/>
  <c r="FD45" i="1"/>
  <c r="FD44" i="1"/>
  <c r="FD43" i="1"/>
  <c r="FD42" i="1"/>
  <c r="FD41" i="1"/>
  <c r="FD40" i="1"/>
  <c r="FD39" i="1"/>
  <c r="FD38" i="1"/>
  <c r="FD37" i="1"/>
  <c r="FD36" i="1"/>
  <c r="FD35" i="1"/>
  <c r="FD34" i="1"/>
  <c r="FD33" i="1"/>
  <c r="FD32" i="1"/>
  <c r="FD31" i="1"/>
  <c r="FD30" i="1"/>
  <c r="FD29" i="1"/>
  <c r="FD28" i="1"/>
  <c r="FD27" i="1"/>
  <c r="FD26" i="1"/>
  <c r="FD25" i="1"/>
  <c r="FD24" i="1"/>
  <c r="FD23" i="1"/>
  <c r="FD22" i="1"/>
  <c r="FD21" i="1"/>
  <c r="FD20" i="1"/>
  <c r="FD19" i="1"/>
  <c r="FD18" i="1"/>
  <c r="FD17" i="1"/>
  <c r="FD16" i="1"/>
  <c r="FD15" i="1"/>
  <c r="FD14" i="1"/>
  <c r="FD13" i="1"/>
  <c r="FD12" i="1"/>
  <c r="FD11" i="1"/>
  <c r="FD10" i="1"/>
  <c r="FD9" i="1"/>
  <c r="FD8" i="1"/>
  <c r="FD7" i="1"/>
  <c r="FD6" i="1"/>
  <c r="FD5" i="1"/>
  <c r="FD4" i="1"/>
  <c r="FD3" i="1"/>
  <c r="FD2"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c r="FC12" i="1"/>
  <c r="FC11" i="1"/>
  <c r="FC10" i="1"/>
  <c r="FC9" i="1"/>
  <c r="FC8" i="1"/>
  <c r="FC7" i="1"/>
  <c r="FC6" i="1"/>
  <c r="FC5" i="1"/>
  <c r="FC4" i="1"/>
  <c r="FC3" i="1"/>
  <c r="FC2" i="1"/>
  <c r="EK60" i="1" l="1"/>
  <c r="EK59" i="1"/>
  <c r="EJ60" i="1"/>
  <c r="ES60" i="1"/>
  <c r="ES59" i="1"/>
  <c r="ES58" i="1"/>
  <c r="ET58" i="1"/>
  <c r="ET57" i="1"/>
  <c r="CC60" i="1"/>
  <c r="FA60" i="1" s="1"/>
  <c r="EU58" i="1" l="1"/>
  <c r="EG60" i="1"/>
  <c r="EH60" i="1" s="1"/>
  <c r="FB60" i="1" s="1"/>
  <c r="EV60" i="1"/>
  <c r="BY59" i="1"/>
  <c r="DF59" i="1" s="1"/>
  <c r="M34" i="59"/>
  <c r="M35" i="59"/>
  <c r="M36" i="59"/>
  <c r="M37" i="59"/>
  <c r="DK58" i="1"/>
  <c r="DK57" i="1"/>
  <c r="DL58" i="1" s="1"/>
  <c r="DG58" i="1"/>
  <c r="DF58" i="1"/>
  <c r="EI58" i="1" s="1"/>
  <c r="EK58" i="1" s="1"/>
  <c r="DG57" i="1"/>
  <c r="DF57" i="1"/>
  <c r="DE58" i="1"/>
  <c r="DD58" i="1"/>
  <c r="DI59" i="1" s="1"/>
  <c r="DE57" i="1"/>
  <c r="DD57" i="1"/>
  <c r="DE56" i="1"/>
  <c r="DD56" i="1"/>
  <c r="DE55" i="1"/>
  <c r="DD55" i="1"/>
  <c r="DE54" i="1"/>
  <c r="DD54" i="1"/>
  <c r="DE53" i="1"/>
  <c r="DD53" i="1"/>
  <c r="DE52" i="1"/>
  <c r="DD52" i="1"/>
  <c r="DE51" i="1"/>
  <c r="DD51" i="1"/>
  <c r="DE50" i="1"/>
  <c r="DD50" i="1"/>
  <c r="DE49" i="1"/>
  <c r="DD49" i="1"/>
  <c r="DE48" i="1"/>
  <c r="DD48" i="1"/>
  <c r="DE47" i="1"/>
  <c r="DD47" i="1"/>
  <c r="DE46" i="1"/>
  <c r="DD46" i="1"/>
  <c r="DE45" i="1"/>
  <c r="DD45" i="1"/>
  <c r="DE44" i="1"/>
  <c r="DD44" i="1"/>
  <c r="DE43" i="1"/>
  <c r="DD43" i="1"/>
  <c r="DE42" i="1"/>
  <c r="DD42" i="1"/>
  <c r="DE41" i="1"/>
  <c r="DD41" i="1"/>
  <c r="DE40" i="1"/>
  <c r="DD40" i="1"/>
  <c r="DE39" i="1"/>
  <c r="DD39" i="1"/>
  <c r="DE38" i="1"/>
  <c r="DD38" i="1"/>
  <c r="DE37" i="1"/>
  <c r="DD37" i="1"/>
  <c r="DE36" i="1"/>
  <c r="DD36" i="1"/>
  <c r="DE35" i="1"/>
  <c r="DD35" i="1"/>
  <c r="DE34" i="1"/>
  <c r="DD34" i="1"/>
  <c r="DE33" i="1"/>
  <c r="DD33" i="1"/>
  <c r="DE32" i="1"/>
  <c r="DD32" i="1"/>
  <c r="DE31" i="1"/>
  <c r="DD31" i="1"/>
  <c r="DE30" i="1"/>
  <c r="DD30" i="1"/>
  <c r="DE29" i="1"/>
  <c r="DD29" i="1"/>
  <c r="DE28" i="1"/>
  <c r="DD28" i="1"/>
  <c r="DE27" i="1"/>
  <c r="DD27" i="1"/>
  <c r="DE26" i="1"/>
  <c r="DD26" i="1"/>
  <c r="DE25" i="1"/>
  <c r="DD25" i="1"/>
  <c r="DE24" i="1"/>
  <c r="DD24" i="1"/>
  <c r="DE23" i="1"/>
  <c r="DD23" i="1"/>
  <c r="DE22" i="1"/>
  <c r="DD22" i="1"/>
  <c r="DE21" i="1"/>
  <c r="DD21" i="1"/>
  <c r="DE20" i="1"/>
  <c r="DD20" i="1"/>
  <c r="DE19" i="1"/>
  <c r="DD19" i="1"/>
  <c r="DE18" i="1"/>
  <c r="DD18" i="1"/>
  <c r="DE17" i="1"/>
  <c r="DD17" i="1"/>
  <c r="DE16" i="1"/>
  <c r="DD16" i="1"/>
  <c r="DE15" i="1"/>
  <c r="DD15" i="1"/>
  <c r="DE14" i="1"/>
  <c r="DD14" i="1"/>
  <c r="DE13" i="1"/>
  <c r="DD13" i="1"/>
  <c r="DE12" i="1"/>
  <c r="DD12" i="1"/>
  <c r="DE11" i="1"/>
  <c r="DD11" i="1"/>
  <c r="DE10" i="1"/>
  <c r="DD10" i="1"/>
  <c r="DE9" i="1"/>
  <c r="DD9" i="1"/>
  <c r="DE8" i="1"/>
  <c r="DD8" i="1"/>
  <c r="DE7" i="1"/>
  <c r="DD7" i="1"/>
  <c r="DE6" i="1"/>
  <c r="DD6" i="1"/>
  <c r="DE5" i="1"/>
  <c r="DD5" i="1"/>
  <c r="DE4" i="1"/>
  <c r="DD4" i="1"/>
  <c r="DE3" i="1"/>
  <c r="DD3" i="1"/>
  <c r="DE2" i="1"/>
  <c r="DD2" i="1"/>
  <c r="DA58" i="1"/>
  <c r="DA57" i="1"/>
  <c r="CY58" i="1"/>
  <c r="CY57" i="1"/>
  <c r="O34" i="63"/>
  <c r="O33" i="63"/>
  <c r="P33" i="63" s="1"/>
  <c r="O32" i="63"/>
  <c r="O31" i="63"/>
  <c r="O30" i="63"/>
  <c r="M34" i="63"/>
  <c r="M33" i="63"/>
  <c r="M32" i="63"/>
  <c r="N33" i="63" s="1"/>
  <c r="M31" i="63"/>
  <c r="M30" i="63"/>
  <c r="S97" i="63"/>
  <c r="S93" i="63"/>
  <c r="S89" i="63"/>
  <c r="S85" i="63"/>
  <c r="S81" i="63"/>
  <c r="CM59" i="1"/>
  <c r="CN59" i="1" s="1"/>
  <c r="CM58" i="1"/>
  <c r="CO58" i="1" s="1"/>
  <c r="CM57" i="1"/>
  <c r="CO57" i="1" s="1"/>
  <c r="CM56" i="1"/>
  <c r="CO56" i="1" s="1"/>
  <c r="CC59" i="1"/>
  <c r="FA59" i="1" s="1"/>
  <c r="CH58" i="1"/>
  <c r="CF58" i="1"/>
  <c r="CC58" i="1"/>
  <c r="FA58" i="1" s="1"/>
  <c r="CH57" i="1"/>
  <c r="CG58" i="1" s="1"/>
  <c r="CF57" i="1"/>
  <c r="CC57" i="1"/>
  <c r="FA57" i="1" s="1"/>
  <c r="BX58" i="1"/>
  <c r="BX57" i="1"/>
  <c r="BW58" i="1"/>
  <c r="BW57" i="1"/>
  <c r="BU58" i="1"/>
  <c r="BU57" i="1"/>
  <c r="BS58" i="1"/>
  <c r="BS57" i="1"/>
  <c r="BQ58" i="1"/>
  <c r="BQ57" i="1"/>
  <c r="BP58" i="1"/>
  <c r="BP57" i="1"/>
  <c r="BN58" i="1"/>
  <c r="BN57" i="1"/>
  <c r="BN56" i="1"/>
  <c r="BN55" i="1"/>
  <c r="BN54" i="1"/>
  <c r="BN53" i="1"/>
  <c r="BN52" i="1"/>
  <c r="BN51" i="1"/>
  <c r="BN50" i="1"/>
  <c r="BN49" i="1"/>
  <c r="BN48" i="1"/>
  <c r="BN47" i="1"/>
  <c r="BN46" i="1"/>
  <c r="BN45" i="1"/>
  <c r="BN44" i="1"/>
  <c r="BN43" i="1"/>
  <c r="BN42" i="1"/>
  <c r="BN41" i="1"/>
  <c r="BN40" i="1"/>
  <c r="BN39" i="1"/>
  <c r="BN38" i="1"/>
  <c r="BN37" i="1"/>
  <c r="BN36" i="1"/>
  <c r="BN35" i="1"/>
  <c r="BN34" i="1"/>
  <c r="BN33" i="1"/>
  <c r="BN32" i="1"/>
  <c r="BN31" i="1"/>
  <c r="BN30" i="1"/>
  <c r="BN29" i="1"/>
  <c r="BN28" i="1"/>
  <c r="BN27" i="1"/>
  <c r="BN26" i="1"/>
  <c r="BN25" i="1"/>
  <c r="BN24" i="1"/>
  <c r="BN23" i="1"/>
  <c r="BN22" i="1"/>
  <c r="BN21" i="1"/>
  <c r="BN20" i="1"/>
  <c r="BN19" i="1"/>
  <c r="BN18" i="1"/>
  <c r="BN17" i="1"/>
  <c r="BN16" i="1"/>
  <c r="BN15" i="1"/>
  <c r="BN14" i="1"/>
  <c r="BN13" i="1"/>
  <c r="BN12" i="1"/>
  <c r="BN11" i="1"/>
  <c r="BN10" i="1"/>
  <c r="BN9" i="1"/>
  <c r="BN8" i="1"/>
  <c r="BN7" i="1"/>
  <c r="BN6" i="1"/>
  <c r="BN5" i="1"/>
  <c r="BN4" i="1"/>
  <c r="BN3" i="1"/>
  <c r="BN2" i="1"/>
  <c r="BI58" i="1"/>
  <c r="BI57" i="1"/>
  <c r="BL57" i="1" s="1"/>
  <c r="BI56" i="1"/>
  <c r="BI55"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 r="BL2" i="1" s="1"/>
  <c r="BK2" i="1"/>
  <c r="BP2" i="1"/>
  <c r="BQ2" i="1"/>
  <c r="BS2" i="1"/>
  <c r="BU2" i="1"/>
  <c r="BW2" i="1"/>
  <c r="BX2" i="1"/>
  <c r="CC2" i="1"/>
  <c r="CF2" i="1"/>
  <c r="CH2" i="1"/>
  <c r="CM2" i="1"/>
  <c r="CO2" i="1" s="1"/>
  <c r="CN2" i="1"/>
  <c r="CY2" i="1"/>
  <c r="DF2" i="1"/>
  <c r="DG2" i="1"/>
  <c r="DK2" i="1"/>
  <c r="BL58" i="1"/>
  <c r="BK58" i="1"/>
  <c r="BJ58" i="1"/>
  <c r="BH58" i="1"/>
  <c r="BC58" i="1"/>
  <c r="BF58" i="1" s="1"/>
  <c r="BK57" i="1"/>
  <c r="BH57" i="1"/>
  <c r="BC57" i="1"/>
  <c r="BF57" i="1" s="1"/>
  <c r="BA58" i="1"/>
  <c r="AY58" i="1"/>
  <c r="AW58" i="1"/>
  <c r="AV58" i="1"/>
  <c r="BA57" i="1"/>
  <c r="AY57" i="1"/>
  <c r="AW57" i="1"/>
  <c r="AV57" i="1"/>
  <c r="AT58" i="1"/>
  <c r="AT57" i="1"/>
  <c r="AJ58" i="1"/>
  <c r="AM58" i="1" s="1"/>
  <c r="AJ57" i="1"/>
  <c r="AM57" i="1" s="1"/>
  <c r="AJ56" i="1"/>
  <c r="AM56" i="1" s="1"/>
  <c r="AJ55" i="1"/>
  <c r="AI58" i="1"/>
  <c r="AL58" i="1" s="1"/>
  <c r="AI57" i="1"/>
  <c r="AL57" i="1" s="1"/>
  <c r="AI56" i="1"/>
  <c r="AL56" i="1" s="1"/>
  <c r="AH59" i="1"/>
  <c r="AK58" i="1" s="1"/>
  <c r="AO58" i="1" s="1"/>
  <c r="AH58" i="1"/>
  <c r="AK57" i="1" s="1"/>
  <c r="AO57" i="1" s="1"/>
  <c r="AH57" i="1"/>
  <c r="AK56" i="1" s="1"/>
  <c r="Z59" i="1"/>
  <c r="S59" i="1"/>
  <c r="R59" i="1"/>
  <c r="O59" i="1"/>
  <c r="Z58" i="1"/>
  <c r="AD58" i="1" s="1"/>
  <c r="S58" i="1"/>
  <c r="R58" i="1"/>
  <c r="O58" i="1"/>
  <c r="P58" i="1" s="1"/>
  <c r="Z57" i="1"/>
  <c r="AD57" i="1" s="1"/>
  <c r="S57" i="1"/>
  <c r="R57" i="1"/>
  <c r="O57" i="1"/>
  <c r="X57" i="1" s="1"/>
  <c r="M59" i="1"/>
  <c r="M58" i="1"/>
  <c r="M57" i="1"/>
  <c r="K59" i="1"/>
  <c r="K58" i="1"/>
  <c r="K57" i="1"/>
  <c r="G58" i="1"/>
  <c r="G57" i="1"/>
  <c r="D59" i="1"/>
  <c r="D58" i="1"/>
  <c r="D57" i="1"/>
  <c r="EG2" i="1" l="1"/>
  <c r="DI57" i="1"/>
  <c r="N31" i="63"/>
  <c r="N34" i="63"/>
  <c r="P34" i="63"/>
  <c r="CF59" i="1"/>
  <c r="CE59" i="1" s="1"/>
  <c r="P31" i="63"/>
  <c r="CR56" i="1" s="1"/>
  <c r="P32" i="63"/>
  <c r="DJ59" i="1"/>
  <c r="AZ58" i="1"/>
  <c r="BJ57" i="1"/>
  <c r="EV57" i="1"/>
  <c r="CD59" i="1"/>
  <c r="EV59" i="1"/>
  <c r="DI58" i="1"/>
  <c r="EE59" i="1"/>
  <c r="EI57" i="1"/>
  <c r="EJ57" i="1" s="1"/>
  <c r="EG57" i="1"/>
  <c r="DK59" i="1"/>
  <c r="DL59" i="1" s="1"/>
  <c r="EW60" i="1"/>
  <c r="CD58" i="1"/>
  <c r="EV58" i="1"/>
  <c r="EW58" i="1" s="1"/>
  <c r="DJ58" i="1"/>
  <c r="ED57" i="1"/>
  <c r="EF57" i="1" s="1"/>
  <c r="EG58" i="1"/>
  <c r="CJ57" i="1"/>
  <c r="EE57" i="1"/>
  <c r="ED58" i="1"/>
  <c r="EF58" i="1" s="1"/>
  <c r="EG59" i="1"/>
  <c r="CH59" i="1"/>
  <c r="CG59" i="1" s="1"/>
  <c r="AX58" i="1"/>
  <c r="DH58" i="1"/>
  <c r="EE58" i="1"/>
  <c r="ED59" i="1"/>
  <c r="EF59" i="1" s="1"/>
  <c r="EL59" i="1" s="1"/>
  <c r="EJ59" i="1"/>
  <c r="ET59" i="1"/>
  <c r="EU59" i="1" s="1"/>
  <c r="DG59" i="1"/>
  <c r="DH59" i="1"/>
  <c r="EJ58" i="1"/>
  <c r="N32" i="63"/>
  <c r="CN58" i="1"/>
  <c r="CN56" i="1"/>
  <c r="CN57" i="1"/>
  <c r="CJ58" i="1"/>
  <c r="CE58" i="1"/>
  <c r="V58" i="1"/>
  <c r="U58" i="1"/>
  <c r="X58" i="1"/>
  <c r="Y58" i="1" s="1"/>
  <c r="CJ2" i="1"/>
  <c r="Q58" i="1"/>
  <c r="T58" i="1"/>
  <c r="AN58" i="1"/>
  <c r="AN57" i="1"/>
  <c r="BE57" i="1"/>
  <c r="BD58" i="1"/>
  <c r="BE58" i="1"/>
  <c r="AE58" i="1"/>
  <c r="AA58" i="1"/>
  <c r="P57" i="1"/>
  <c r="AB58" i="1"/>
  <c r="Q57" i="1"/>
  <c r="P59" i="1"/>
  <c r="Q59" i="1"/>
  <c r="V57" i="1"/>
  <c r="T59" i="1"/>
  <c r="U59" i="1"/>
  <c r="V59" i="1"/>
  <c r="AB57" i="1"/>
  <c r="AA59" i="1"/>
  <c r="AB59" i="1"/>
  <c r="O60" i="40"/>
  <c r="O59" i="40"/>
  <c r="O58" i="40"/>
  <c r="O57" i="40"/>
  <c r="O56" i="40"/>
  <c r="O55" i="40"/>
  <c r="O54" i="40"/>
  <c r="AN57" i="35"/>
  <c r="AN56" i="35"/>
  <c r="AN55" i="35"/>
  <c r="AD57" i="35"/>
  <c r="AC57" i="35"/>
  <c r="AB57" i="35"/>
  <c r="AA57" i="35"/>
  <c r="Z57" i="35"/>
  <c r="AD56" i="35"/>
  <c r="AC56" i="35"/>
  <c r="AB56" i="35"/>
  <c r="AA56" i="35"/>
  <c r="Z56" i="35"/>
  <c r="AD55" i="35"/>
  <c r="AC55" i="35"/>
  <c r="AB55" i="35"/>
  <c r="AA55" i="35"/>
  <c r="Z55" i="35"/>
  <c r="N57" i="35"/>
  <c r="M57" i="35"/>
  <c r="L57" i="35"/>
  <c r="J57" i="35"/>
  <c r="I57" i="35"/>
  <c r="H57" i="35"/>
  <c r="J56" i="35"/>
  <c r="N56" i="35" s="1"/>
  <c r="I56" i="35"/>
  <c r="H56" i="35"/>
  <c r="M56" i="35" s="1"/>
  <c r="J55" i="35"/>
  <c r="N55" i="35" s="1"/>
  <c r="I55" i="35"/>
  <c r="H55" i="35"/>
  <c r="L55" i="35" s="1"/>
  <c r="J54" i="35"/>
  <c r="N18" i="53"/>
  <c r="K57" i="35" s="1"/>
  <c r="N17" i="53"/>
  <c r="K56" i="35" s="1"/>
  <c r="N16" i="53"/>
  <c r="K55" i="35" s="1"/>
  <c r="N15" i="53"/>
  <c r="CJ59" i="1" l="1"/>
  <c r="CI59" i="1" s="1"/>
  <c r="EH59" i="1"/>
  <c r="EH58" i="1"/>
  <c r="EH57" i="1"/>
  <c r="EH2" i="1"/>
  <c r="FE2" i="1"/>
  <c r="EK57" i="1"/>
  <c r="M55" i="35"/>
  <c r="Q55" i="35" s="1"/>
  <c r="L56" i="35"/>
  <c r="Q56" i="35" s="1"/>
  <c r="Q57" i="35"/>
  <c r="CK59" i="1"/>
  <c r="CR57" i="1"/>
  <c r="EP59" i="1"/>
  <c r="EQ59" i="1" s="1"/>
  <c r="W59" i="1"/>
  <c r="EM58" i="1"/>
  <c r="EL58" i="1"/>
  <c r="EP58" i="1"/>
  <c r="EQ58" i="1" s="1"/>
  <c r="EW59" i="1"/>
  <c r="EM57" i="1"/>
  <c r="EL57" i="1"/>
  <c r="EP57" i="1"/>
  <c r="EQ57" i="1" s="1"/>
  <c r="CI58" i="1"/>
  <c r="CK58" i="1"/>
  <c r="AC59" i="1"/>
  <c r="AQ57" i="1"/>
  <c r="AP57" i="1"/>
  <c r="AQ58" i="1"/>
  <c r="AP58" i="1"/>
  <c r="AO56" i="1"/>
  <c r="AC58" i="1"/>
  <c r="W58" i="1"/>
  <c r="G57" i="35"/>
  <c r="O57" i="35" s="1"/>
  <c r="F57" i="35"/>
  <c r="G56" i="35"/>
  <c r="O56" i="35" s="1"/>
  <c r="F56" i="35"/>
  <c r="G55" i="35"/>
  <c r="O55" i="35" s="1"/>
  <c r="F55" i="35"/>
  <c r="P58" i="40"/>
  <c r="Q58" i="40"/>
  <c r="P59" i="40"/>
  <c r="Q59" i="40"/>
  <c r="P60" i="40"/>
  <c r="Q60" i="40"/>
  <c r="F58" i="40"/>
  <c r="M58" i="40" s="1"/>
  <c r="S58" i="40" s="1"/>
  <c r="H57" i="40"/>
  <c r="G57" i="40"/>
  <c r="F57" i="40"/>
  <c r="H56" i="40"/>
  <c r="H52" i="40"/>
  <c r="G52" i="40"/>
  <c r="F52" i="40"/>
  <c r="H51" i="40"/>
  <c r="G51" i="40"/>
  <c r="F51" i="40"/>
  <c r="H50" i="40"/>
  <c r="G50" i="40"/>
  <c r="F50" i="40"/>
  <c r="H49" i="40"/>
  <c r="G49" i="40"/>
  <c r="F49" i="40"/>
  <c r="H48" i="40"/>
  <c r="G48" i="40"/>
  <c r="F48" i="40"/>
  <c r="H47" i="40"/>
  <c r="G47" i="40"/>
  <c r="F47" i="40"/>
  <c r="H46" i="40"/>
  <c r="G46" i="40"/>
  <c r="F46" i="40"/>
  <c r="G42" i="40"/>
  <c r="F42" i="40"/>
  <c r="H41" i="40"/>
  <c r="G41" i="40"/>
  <c r="F41" i="40"/>
  <c r="H40" i="40"/>
  <c r="G40" i="40"/>
  <c r="F40" i="40"/>
  <c r="H39" i="40"/>
  <c r="G39" i="40"/>
  <c r="F39" i="40"/>
  <c r="H38" i="40"/>
  <c r="G38" i="40"/>
  <c r="F38" i="40"/>
  <c r="H37" i="40"/>
  <c r="G37" i="40"/>
  <c r="F37" i="40"/>
  <c r="H36" i="40"/>
  <c r="G36" i="40"/>
  <c r="F36" i="40"/>
  <c r="H35" i="40"/>
  <c r="G35" i="40"/>
  <c r="G26" i="40"/>
  <c r="F26" i="40"/>
  <c r="H25" i="40"/>
  <c r="G25" i="40"/>
  <c r="F25" i="40"/>
  <c r="H24" i="40"/>
  <c r="H20" i="40"/>
  <c r="G20" i="40"/>
  <c r="F20" i="40"/>
  <c r="H19" i="40"/>
  <c r="G19" i="40"/>
  <c r="F19" i="40"/>
  <c r="H18" i="40"/>
  <c r="G18" i="40"/>
  <c r="F18" i="40"/>
  <c r="H17" i="40"/>
  <c r="G17" i="40"/>
  <c r="F17" i="40"/>
  <c r="H16" i="40"/>
  <c r="G16" i="40"/>
  <c r="F16" i="40"/>
  <c r="H15" i="40"/>
  <c r="G15" i="40"/>
  <c r="F15" i="40"/>
  <c r="H14" i="40"/>
  <c r="G14" i="40"/>
  <c r="F14" i="40"/>
  <c r="F10" i="40"/>
  <c r="H9" i="40"/>
  <c r="G9" i="40"/>
  <c r="F9" i="40"/>
  <c r="H8" i="40"/>
  <c r="G8" i="40"/>
  <c r="F8" i="40"/>
  <c r="H7" i="40"/>
  <c r="G7" i="40"/>
  <c r="F7" i="40"/>
  <c r="H6" i="40"/>
  <c r="G6" i="40"/>
  <c r="F6" i="40"/>
  <c r="E60" i="40"/>
  <c r="F60" i="40" s="1"/>
  <c r="E59" i="40"/>
  <c r="G59" i="40" s="1"/>
  <c r="E58" i="40"/>
  <c r="G58" i="40" s="1"/>
  <c r="E57" i="40"/>
  <c r="E56" i="40"/>
  <c r="G56" i="40" s="1"/>
  <c r="E55" i="40"/>
  <c r="F55" i="40" s="1"/>
  <c r="E54" i="40"/>
  <c r="H54" i="40" s="1"/>
  <c r="E53" i="40"/>
  <c r="F53" i="40" s="1"/>
  <c r="E52" i="40"/>
  <c r="E51" i="40"/>
  <c r="E50" i="40"/>
  <c r="E49" i="40"/>
  <c r="E48" i="40"/>
  <c r="E47" i="40"/>
  <c r="E46" i="40"/>
  <c r="E45" i="40"/>
  <c r="H45" i="40" s="1"/>
  <c r="E44" i="40"/>
  <c r="H44" i="40" s="1"/>
  <c r="E43" i="40"/>
  <c r="G43" i="40" s="1"/>
  <c r="E42" i="40"/>
  <c r="H42" i="40" s="1"/>
  <c r="E41" i="40"/>
  <c r="E40" i="40"/>
  <c r="E39" i="40"/>
  <c r="E38" i="40"/>
  <c r="E37" i="40"/>
  <c r="E36" i="40"/>
  <c r="E35" i="40"/>
  <c r="F35" i="40" s="1"/>
  <c r="E34" i="40"/>
  <c r="H34" i="40" s="1"/>
  <c r="E33" i="40"/>
  <c r="H33" i="40" s="1"/>
  <c r="E32" i="40"/>
  <c r="G32" i="40" s="1"/>
  <c r="E31" i="40"/>
  <c r="F31" i="40" s="1"/>
  <c r="E30" i="40"/>
  <c r="H30" i="40" s="1"/>
  <c r="E29" i="40"/>
  <c r="F29" i="40" s="1"/>
  <c r="E28" i="40"/>
  <c r="H28" i="40" s="1"/>
  <c r="E27" i="40"/>
  <c r="G27" i="40" s="1"/>
  <c r="E26" i="40"/>
  <c r="H26" i="40" s="1"/>
  <c r="E25" i="40"/>
  <c r="E24" i="40"/>
  <c r="G24" i="40" s="1"/>
  <c r="E23" i="40"/>
  <c r="G23" i="40" s="1"/>
  <c r="E22" i="40"/>
  <c r="G22" i="40" s="1"/>
  <c r="E21" i="40"/>
  <c r="F21" i="40" s="1"/>
  <c r="E20" i="40"/>
  <c r="E19" i="40"/>
  <c r="E18" i="40"/>
  <c r="E17" i="40"/>
  <c r="E16" i="40"/>
  <c r="E15" i="40"/>
  <c r="E14" i="40"/>
  <c r="E13" i="40"/>
  <c r="H13" i="40" s="1"/>
  <c r="E12" i="40"/>
  <c r="G12" i="40" s="1"/>
  <c r="E11" i="40"/>
  <c r="F11" i="40" s="1"/>
  <c r="E10" i="40"/>
  <c r="H10" i="40" s="1"/>
  <c r="E9" i="40"/>
  <c r="E8" i="40"/>
  <c r="E7" i="40"/>
  <c r="E6" i="40"/>
  <c r="FB58" i="1" l="1"/>
  <c r="FB59" i="1"/>
  <c r="FB57" i="1"/>
  <c r="H27" i="40"/>
  <c r="G28" i="40"/>
  <c r="F27" i="40"/>
  <c r="AE55" i="35"/>
  <c r="P55" i="35"/>
  <c r="G21" i="40"/>
  <c r="F22" i="40"/>
  <c r="G31" i="40"/>
  <c r="G10" i="40"/>
  <c r="F32" i="40"/>
  <c r="G11" i="40"/>
  <c r="G29" i="40"/>
  <c r="H29" i="40"/>
  <c r="AE56" i="35"/>
  <c r="P56" i="35"/>
  <c r="H31" i="40"/>
  <c r="AE57" i="35"/>
  <c r="P57" i="35"/>
  <c r="H21" i="40"/>
  <c r="F43" i="40"/>
  <c r="H32" i="40"/>
  <c r="F54" i="40"/>
  <c r="H11" i="40"/>
  <c r="H43" i="40"/>
  <c r="H22" i="40"/>
  <c r="F23" i="40"/>
  <c r="H12" i="40"/>
  <c r="F34" i="40"/>
  <c r="G55" i="40"/>
  <c r="F13" i="40"/>
  <c r="H23" i="40"/>
  <c r="G34" i="40"/>
  <c r="F45" i="40"/>
  <c r="H55" i="40"/>
  <c r="F28" i="40"/>
  <c r="F30" i="40"/>
  <c r="G30" i="40"/>
  <c r="G53" i="40"/>
  <c r="H53" i="40"/>
  <c r="G54" i="40"/>
  <c r="G44" i="40"/>
  <c r="G45" i="40"/>
  <c r="F56" i="40"/>
  <c r="CR58" i="1"/>
  <c r="CU57" i="1"/>
  <c r="CT57" i="1"/>
  <c r="CV57" i="1"/>
  <c r="CS57" i="1"/>
  <c r="CX57" i="1"/>
  <c r="F33" i="40"/>
  <c r="F12" i="40"/>
  <c r="G33" i="40"/>
  <c r="F44" i="40"/>
  <c r="G13" i="40"/>
  <c r="F24" i="40"/>
  <c r="F59" i="40"/>
  <c r="H58" i="40"/>
  <c r="H60" i="40"/>
  <c r="L58" i="40"/>
  <c r="R58" i="40" s="1"/>
  <c r="H59" i="40"/>
  <c r="G60" i="40"/>
  <c r="M60" i="40" s="1"/>
  <c r="S60" i="40" s="1"/>
  <c r="EO56" i="1"/>
  <c r="EN56" i="1"/>
  <c r="EO55" i="1"/>
  <c r="EN55" i="1"/>
  <c r="EO54" i="1"/>
  <c r="EN54" i="1"/>
  <c r="EO53" i="1"/>
  <c r="EN53" i="1"/>
  <c r="EO52" i="1"/>
  <c r="EN52" i="1"/>
  <c r="EO51" i="1"/>
  <c r="EN51" i="1"/>
  <c r="EO50" i="1"/>
  <c r="EN50" i="1"/>
  <c r="EO49" i="1"/>
  <c r="EN49" i="1"/>
  <c r="EO48" i="1"/>
  <c r="EN48" i="1"/>
  <c r="DP56" i="1"/>
  <c r="DP55" i="1"/>
  <c r="DP54" i="1"/>
  <c r="DP53" i="1"/>
  <c r="AR12" i="55"/>
  <c r="AQ12" i="55"/>
  <c r="AP12" i="55"/>
  <c r="AO12" i="55"/>
  <c r="AN12" i="55"/>
  <c r="AM12" i="55"/>
  <c r="AL12" i="55"/>
  <c r="AK12" i="55"/>
  <c r="AJ12" i="55"/>
  <c r="AI12" i="55"/>
  <c r="AH12" i="55"/>
  <c r="AG12" i="55"/>
  <c r="AF12" i="55"/>
  <c r="AR11" i="55"/>
  <c r="AQ11" i="55"/>
  <c r="AP11" i="55"/>
  <c r="AO11" i="55"/>
  <c r="AN11" i="55"/>
  <c r="AM11" i="55"/>
  <c r="AL11" i="55"/>
  <c r="AK11" i="55"/>
  <c r="AJ11" i="55"/>
  <c r="AI11" i="55"/>
  <c r="AH11" i="55"/>
  <c r="AG11" i="55"/>
  <c r="AF11" i="55"/>
  <c r="AR10" i="55"/>
  <c r="AQ10" i="55"/>
  <c r="AP10" i="55"/>
  <c r="AO10" i="55"/>
  <c r="AN10" i="55"/>
  <c r="AM10" i="55"/>
  <c r="AL10" i="55"/>
  <c r="AK10" i="55"/>
  <c r="AH10" i="55"/>
  <c r="AG10" i="55"/>
  <c r="AF10" i="55"/>
  <c r="AR9" i="55"/>
  <c r="AQ9" i="55"/>
  <c r="AP9" i="55"/>
  <c r="AO9" i="55"/>
  <c r="AR8" i="55"/>
  <c r="AQ8" i="55"/>
  <c r="AP8" i="55"/>
  <c r="AO8" i="55"/>
  <c r="AN8" i="55"/>
  <c r="AM8" i="55"/>
  <c r="AL8" i="55"/>
  <c r="AK8" i="55"/>
  <c r="AH8" i="55"/>
  <c r="AG8" i="55"/>
  <c r="AF8" i="55"/>
  <c r="AR7" i="55"/>
  <c r="AQ7" i="55"/>
  <c r="AP7" i="55"/>
  <c r="AO7" i="55"/>
  <c r="AN7" i="55"/>
  <c r="AM7" i="55"/>
  <c r="AL7" i="55"/>
  <c r="AK7" i="55"/>
  <c r="AJ7" i="55"/>
  <c r="AI7" i="55"/>
  <c r="AH7" i="55"/>
  <c r="AG7" i="55"/>
  <c r="AF7" i="55"/>
  <c r="AR6" i="55"/>
  <c r="AQ6" i="55"/>
  <c r="AP6" i="55"/>
  <c r="AO6" i="55"/>
  <c r="AN6" i="55"/>
  <c r="AM6" i="55"/>
  <c r="AL6" i="55"/>
  <c r="AK6" i="55"/>
  <c r="AH6" i="55"/>
  <c r="AG6" i="55"/>
  <c r="AF6" i="55"/>
  <c r="AR5" i="55"/>
  <c r="AQ5" i="55"/>
  <c r="AP5" i="55"/>
  <c r="AO5" i="55"/>
  <c r="AN5" i="55"/>
  <c r="AM5" i="55"/>
  <c r="AL5" i="55"/>
  <c r="AK5" i="55"/>
  <c r="AJ5" i="55"/>
  <c r="AI5" i="55"/>
  <c r="AH5" i="55"/>
  <c r="AG5" i="55"/>
  <c r="AF5" i="55"/>
  <c r="AR4" i="55"/>
  <c r="AQ4" i="55"/>
  <c r="AP4" i="55"/>
  <c r="AO4" i="55"/>
  <c r="AN4" i="55"/>
  <c r="AM4" i="55"/>
  <c r="AL4" i="55"/>
  <c r="AK4" i="55"/>
  <c r="AJ4" i="55"/>
  <c r="AI4" i="55"/>
  <c r="AH4" i="55"/>
  <c r="AG4" i="55"/>
  <c r="AF4" i="55"/>
  <c r="AC9" i="55"/>
  <c r="AB9" i="55"/>
  <c r="AA9" i="55"/>
  <c r="Z9" i="55"/>
  <c r="AN9" i="55" s="1"/>
  <c r="Y9" i="55"/>
  <c r="AM9" i="55" s="1"/>
  <c r="X9" i="55"/>
  <c r="AL9" i="55" s="1"/>
  <c r="W9" i="55"/>
  <c r="AK9" i="55" s="1"/>
  <c r="T9" i="55"/>
  <c r="AH9" i="55" s="1"/>
  <c r="S9" i="55"/>
  <c r="AG9" i="55" s="1"/>
  <c r="R9" i="55"/>
  <c r="AF9" i="55" s="1"/>
  <c r="U5" i="55"/>
  <c r="V5" i="55"/>
  <c r="U6" i="55"/>
  <c r="AI6" i="55" s="1"/>
  <c r="V6" i="55"/>
  <c r="AJ6" i="55" s="1"/>
  <c r="U7" i="55"/>
  <c r="V7" i="55"/>
  <c r="U8" i="55"/>
  <c r="U9" i="55" s="1"/>
  <c r="AI9" i="55" s="1"/>
  <c r="V8" i="55"/>
  <c r="V9" i="55" s="1"/>
  <c r="AJ9" i="55" s="1"/>
  <c r="U10" i="55"/>
  <c r="AI10" i="55" s="1"/>
  <c r="V10" i="55"/>
  <c r="AJ10" i="55" s="1"/>
  <c r="U11" i="55"/>
  <c r="V11" i="55"/>
  <c r="U12" i="55"/>
  <c r="V12" i="55"/>
  <c r="V4" i="55"/>
  <c r="U4" i="55"/>
  <c r="X56" i="26"/>
  <c r="V56" i="26"/>
  <c r="U56" i="26"/>
  <c r="X55" i="26"/>
  <c r="V55" i="26"/>
  <c r="U55" i="26"/>
  <c r="X54" i="26"/>
  <c r="V54" i="26"/>
  <c r="U54" i="26"/>
  <c r="X53" i="26"/>
  <c r="V53" i="26"/>
  <c r="U53" i="26"/>
  <c r="X52" i="26"/>
  <c r="V52" i="26"/>
  <c r="U52" i="26"/>
  <c r="S56" i="26"/>
  <c r="W56" i="26" s="1"/>
  <c r="S55" i="26"/>
  <c r="W55" i="26" s="1"/>
  <c r="S54" i="26"/>
  <c r="W54" i="26" s="1"/>
  <c r="S53" i="26"/>
  <c r="W53" i="26" s="1"/>
  <c r="S52" i="26"/>
  <c r="W52" i="26" s="1"/>
  <c r="S51" i="26"/>
  <c r="S50" i="26"/>
  <c r="S49" i="26"/>
  <c r="S48" i="26"/>
  <c r="S47" i="26"/>
  <c r="S46" i="26"/>
  <c r="S45" i="26"/>
  <c r="S44" i="26"/>
  <c r="S43" i="26"/>
  <c r="S42" i="26"/>
  <c r="S41" i="26"/>
  <c r="S40" i="26"/>
  <c r="S39" i="26"/>
  <c r="S38" i="26"/>
  <c r="S37" i="26"/>
  <c r="S36" i="26"/>
  <c r="S35" i="26"/>
  <c r="S34" i="26"/>
  <c r="S33" i="26"/>
  <c r="S32" i="26"/>
  <c r="S31" i="26"/>
  <c r="S30" i="26"/>
  <c r="S29" i="26"/>
  <c r="S28" i="26"/>
  <c r="S27" i="26"/>
  <c r="S26" i="26"/>
  <c r="S25" i="26"/>
  <c r="S24" i="26"/>
  <c r="S23" i="26"/>
  <c r="S22" i="26"/>
  <c r="S21" i="26"/>
  <c r="S20" i="26"/>
  <c r="S19" i="26"/>
  <c r="S18" i="26"/>
  <c r="S17" i="26"/>
  <c r="S16" i="26"/>
  <c r="S15" i="26"/>
  <c r="S14" i="26"/>
  <c r="S13" i="26"/>
  <c r="S12" i="26"/>
  <c r="S11" i="26"/>
  <c r="S10" i="26"/>
  <c r="S9" i="26"/>
  <c r="S8" i="26"/>
  <c r="S7" i="26"/>
  <c r="S6" i="26"/>
  <c r="S5" i="26"/>
  <c r="S4" i="26"/>
  <c r="S3" i="26"/>
  <c r="S2" i="26"/>
  <c r="P55" i="41"/>
  <c r="O55" i="41"/>
  <c r="G55" i="41"/>
  <c r="P54" i="41"/>
  <c r="O54" i="41"/>
  <c r="G54" i="41"/>
  <c r="P53" i="41"/>
  <c r="O53" i="41"/>
  <c r="G53" i="41"/>
  <c r="EZ24" i="1"/>
  <c r="CM55" i="1"/>
  <c r="CM54" i="1"/>
  <c r="CM53" i="1"/>
  <c r="CM52" i="1"/>
  <c r="CM51" i="1"/>
  <c r="CM50" i="1"/>
  <c r="CM49" i="1"/>
  <c r="CM48" i="1"/>
  <c r="CM47" i="1"/>
  <c r="CM46" i="1"/>
  <c r="CM45" i="1"/>
  <c r="CM44" i="1"/>
  <c r="CM43" i="1"/>
  <c r="CM42" i="1"/>
  <c r="CM41" i="1"/>
  <c r="CM40" i="1"/>
  <c r="CM39" i="1"/>
  <c r="CM38" i="1"/>
  <c r="CM37" i="1"/>
  <c r="CM36" i="1"/>
  <c r="CM35" i="1"/>
  <c r="CM34" i="1"/>
  <c r="CM33" i="1"/>
  <c r="CM32" i="1"/>
  <c r="CM31" i="1"/>
  <c r="CM30" i="1"/>
  <c r="CM29" i="1"/>
  <c r="CM28" i="1"/>
  <c r="CM27" i="1"/>
  <c r="CM26" i="1"/>
  <c r="CM25" i="1"/>
  <c r="CM24" i="1"/>
  <c r="CM23" i="1"/>
  <c r="CM22" i="1"/>
  <c r="CM21" i="1"/>
  <c r="CM20" i="1"/>
  <c r="CM19" i="1"/>
  <c r="CM18" i="1"/>
  <c r="CM17" i="1"/>
  <c r="CM16" i="1"/>
  <c r="CM15" i="1"/>
  <c r="CM14" i="1"/>
  <c r="CM13" i="1"/>
  <c r="CM12" i="1"/>
  <c r="CM11" i="1"/>
  <c r="CM10" i="1"/>
  <c r="CM9" i="1"/>
  <c r="CM8" i="1"/>
  <c r="CM7" i="1"/>
  <c r="CM6" i="1"/>
  <c r="CM5" i="1"/>
  <c r="CM4" i="1"/>
  <c r="CM3" i="1"/>
  <c r="L56" i="95"/>
  <c r="K56" i="95"/>
  <c r="L55" i="95"/>
  <c r="N56" i="95" s="1"/>
  <c r="K55" i="95"/>
  <c r="M56" i="95" s="1"/>
  <c r="L54" i="95"/>
  <c r="K54" i="95"/>
  <c r="G56" i="95"/>
  <c r="P56" i="95" s="1"/>
  <c r="F56" i="95"/>
  <c r="O56" i="95" s="1"/>
  <c r="G55" i="95"/>
  <c r="F55" i="95"/>
  <c r="C56" i="95"/>
  <c r="C55" i="95"/>
  <c r="C54" i="95"/>
  <c r="G54" i="95" s="1"/>
  <c r="C53" i="95"/>
  <c r="C52" i="95"/>
  <c r="C51" i="95"/>
  <c r="C50" i="95"/>
  <c r="C49" i="95"/>
  <c r="C48" i="95"/>
  <c r="C47" i="95"/>
  <c r="C46" i="95"/>
  <c r="C45" i="95"/>
  <c r="C44" i="95"/>
  <c r="C43" i="95"/>
  <c r="C42" i="95"/>
  <c r="C41" i="95"/>
  <c r="C40" i="95"/>
  <c r="C39" i="95"/>
  <c r="C38" i="95"/>
  <c r="C37" i="95"/>
  <c r="C36" i="95"/>
  <c r="C35" i="95"/>
  <c r="C34" i="95"/>
  <c r="C33" i="95"/>
  <c r="C32" i="95"/>
  <c r="C31" i="95"/>
  <c r="C30" i="95"/>
  <c r="C29" i="95"/>
  <c r="C28" i="95"/>
  <c r="C27" i="95"/>
  <c r="C26" i="95"/>
  <c r="C25" i="95"/>
  <c r="C24" i="95"/>
  <c r="C23" i="95"/>
  <c r="C22" i="95"/>
  <c r="C21" i="95"/>
  <c r="C20" i="95"/>
  <c r="C19" i="95"/>
  <c r="C18" i="95"/>
  <c r="C17" i="95"/>
  <c r="C16" i="95"/>
  <c r="C15" i="95"/>
  <c r="C14" i="95"/>
  <c r="C13" i="95"/>
  <c r="C12" i="95"/>
  <c r="C11" i="95"/>
  <c r="C10" i="95"/>
  <c r="C9" i="95"/>
  <c r="C8" i="95"/>
  <c r="C7" i="95"/>
  <c r="C6" i="95"/>
  <c r="C5" i="95"/>
  <c r="C4" i="95"/>
  <c r="C3" i="95"/>
  <c r="C2" i="95"/>
  <c r="EY21" i="1"/>
  <c r="EZ25" i="1" l="1"/>
  <c r="P55" i="95"/>
  <c r="AI8" i="55"/>
  <c r="AJ8" i="55"/>
  <c r="AI55" i="35"/>
  <c r="AF55" i="35"/>
  <c r="AH55" i="35"/>
  <c r="AH57" i="35"/>
  <c r="AI57" i="35"/>
  <c r="AF57" i="35"/>
  <c r="AI56" i="35"/>
  <c r="AH56" i="35"/>
  <c r="AF56" i="35"/>
  <c r="CU58" i="1"/>
  <c r="CV58" i="1"/>
  <c r="CW58" i="1" s="1"/>
  <c r="CX58" i="1"/>
  <c r="CT58" i="1"/>
  <c r="CR59" i="1"/>
  <c r="CS58" i="1"/>
  <c r="F54" i="95"/>
  <c r="O55" i="95" s="1"/>
  <c r="EY20" i="1"/>
  <c r="M59" i="40"/>
  <c r="S59" i="40" s="1"/>
  <c r="L59" i="40"/>
  <c r="R59" i="40" s="1"/>
  <c r="L60" i="40"/>
  <c r="R60" i="40" s="1"/>
  <c r="M55" i="95"/>
  <c r="N55" i="95"/>
  <c r="G21" i="100"/>
  <c r="G20" i="100"/>
  <c r="G19" i="100"/>
  <c r="G18" i="100"/>
  <c r="G17" i="100"/>
  <c r="G16" i="100"/>
  <c r="G15" i="100"/>
  <c r="G14" i="100"/>
  <c r="G13" i="100"/>
  <c r="G12" i="100"/>
  <c r="G11" i="100"/>
  <c r="G10" i="100"/>
  <c r="G9" i="100"/>
  <c r="EZ26" i="1" l="1"/>
  <c r="AL57" i="35"/>
  <c r="AJ57" i="35"/>
  <c r="AK57" i="35"/>
  <c r="AK55" i="35"/>
  <c r="AL55" i="35"/>
  <c r="CU59" i="1"/>
  <c r="CT59" i="1"/>
  <c r="CS59" i="1"/>
  <c r="AL56" i="35"/>
  <c r="AK56" i="35"/>
  <c r="EY19" i="1"/>
  <c r="ET56" i="1"/>
  <c r="EU57" i="1" s="1"/>
  <c r="ES57" i="1"/>
  <c r="ES56" i="1"/>
  <c r="ES55" i="1"/>
  <c r="ES54" i="1"/>
  <c r="ET55" i="1"/>
  <c r="ET54" i="1"/>
  <c r="F59" i="54"/>
  <c r="E59" i="54"/>
  <c r="F58" i="54"/>
  <c r="E58" i="54"/>
  <c r="F57" i="54"/>
  <c r="E57" i="54"/>
  <c r="F56" i="54"/>
  <c r="E56" i="54"/>
  <c r="F55" i="54"/>
  <c r="E55" i="54"/>
  <c r="F54" i="54"/>
  <c r="E54" i="54"/>
  <c r="F53" i="54"/>
  <c r="E53" i="54"/>
  <c r="F52" i="54"/>
  <c r="E52" i="54"/>
  <c r="F51" i="54"/>
  <c r="E51" i="54"/>
  <c r="F50" i="54"/>
  <c r="E50" i="54"/>
  <c r="F49" i="54"/>
  <c r="E49" i="54"/>
  <c r="F48" i="54"/>
  <c r="E48" i="54"/>
  <c r="F47" i="54"/>
  <c r="E47" i="54"/>
  <c r="F46" i="54"/>
  <c r="E46" i="54"/>
  <c r="F45" i="54"/>
  <c r="E45" i="54"/>
  <c r="F44" i="54"/>
  <c r="E44" i="54"/>
  <c r="F43" i="54"/>
  <c r="E43" i="54"/>
  <c r="F42" i="54"/>
  <c r="E42" i="54"/>
  <c r="F41" i="54"/>
  <c r="E41" i="54"/>
  <c r="F40" i="54"/>
  <c r="E40" i="54"/>
  <c r="F39" i="54"/>
  <c r="E39" i="54"/>
  <c r="F38" i="54"/>
  <c r="E38" i="54"/>
  <c r="F37" i="54"/>
  <c r="E37" i="54"/>
  <c r="F36" i="54"/>
  <c r="E36" i="54"/>
  <c r="F35" i="54"/>
  <c r="E35" i="54"/>
  <c r="F34" i="54"/>
  <c r="E34" i="54"/>
  <c r="F33" i="54"/>
  <c r="E33" i="54"/>
  <c r="F32" i="54"/>
  <c r="E32" i="54"/>
  <c r="F31" i="54"/>
  <c r="E31" i="54"/>
  <c r="F30" i="54"/>
  <c r="E30" i="54"/>
  <c r="F29" i="54"/>
  <c r="E29" i="54"/>
  <c r="F28" i="54"/>
  <c r="E28" i="54"/>
  <c r="F27" i="54"/>
  <c r="E27" i="54"/>
  <c r="F26" i="54"/>
  <c r="E26" i="54"/>
  <c r="F25" i="54"/>
  <c r="E25" i="54"/>
  <c r="F24" i="54"/>
  <c r="E24" i="54"/>
  <c r="F23" i="54"/>
  <c r="E23" i="54"/>
  <c r="F22" i="54"/>
  <c r="E22" i="54"/>
  <c r="F21" i="54"/>
  <c r="E21" i="54"/>
  <c r="F20" i="54"/>
  <c r="E20" i="54"/>
  <c r="F19" i="54"/>
  <c r="E19" i="54"/>
  <c r="F18" i="54"/>
  <c r="E18" i="54"/>
  <c r="F17" i="54"/>
  <c r="E17" i="54"/>
  <c r="F16" i="54"/>
  <c r="E16" i="54"/>
  <c r="F15" i="54"/>
  <c r="E15" i="54"/>
  <c r="F14" i="54"/>
  <c r="E14" i="54"/>
  <c r="F13" i="54"/>
  <c r="E13" i="54"/>
  <c r="F12" i="54"/>
  <c r="E12" i="54"/>
  <c r="F11" i="54"/>
  <c r="E11" i="54"/>
  <c r="F10" i="54"/>
  <c r="E10" i="54"/>
  <c r="F9" i="54"/>
  <c r="E9" i="54"/>
  <c r="F8" i="54"/>
  <c r="E8" i="54"/>
  <c r="F7" i="54"/>
  <c r="E7" i="54"/>
  <c r="F6" i="54"/>
  <c r="E6" i="54"/>
  <c r="F5" i="54"/>
  <c r="E5" i="54"/>
  <c r="F4" i="54"/>
  <c r="E4" i="54"/>
  <c r="EF56" i="1"/>
  <c r="EL56" i="1" s="1"/>
  <c r="EF55" i="1"/>
  <c r="EM55" i="1" s="1"/>
  <c r="EF54" i="1"/>
  <c r="EM54" i="1" s="1"/>
  <c r="DK56" i="1"/>
  <c r="DL57" i="1" s="1"/>
  <c r="DG56" i="1"/>
  <c r="DF56" i="1"/>
  <c r="DK55" i="1"/>
  <c r="DG55" i="1"/>
  <c r="DF55" i="1"/>
  <c r="EI55" i="1" s="1"/>
  <c r="EJ55" i="1" s="1"/>
  <c r="DK54" i="1"/>
  <c r="DG54" i="1"/>
  <c r="DF54" i="1"/>
  <c r="EI54" i="1" s="1"/>
  <c r="EJ54" i="1" s="1"/>
  <c r="DA56" i="1"/>
  <c r="DA55" i="1"/>
  <c r="DA54" i="1"/>
  <c r="CY56" i="1"/>
  <c r="CX56" i="1"/>
  <c r="CV56" i="1"/>
  <c r="CW57" i="1" s="1"/>
  <c r="CY55" i="1"/>
  <c r="CX55" i="1"/>
  <c r="CV55" i="1"/>
  <c r="CY54" i="1"/>
  <c r="CX54" i="1"/>
  <c r="CV54" i="1"/>
  <c r="CU56" i="1"/>
  <c r="CU55" i="1"/>
  <c r="CU54" i="1"/>
  <c r="CT56" i="1"/>
  <c r="CT55" i="1"/>
  <c r="CT54" i="1"/>
  <c r="CS56" i="1"/>
  <c r="CS55" i="1"/>
  <c r="CS54" i="1"/>
  <c r="CR37" i="1"/>
  <c r="CR36" i="1" s="1"/>
  <c r="CR35" i="1" s="1"/>
  <c r="CR34" i="1" s="1"/>
  <c r="CR33" i="1" s="1"/>
  <c r="CR32" i="1" s="1"/>
  <c r="CR31" i="1" s="1"/>
  <c r="CR30" i="1" s="1"/>
  <c r="CR29" i="1" s="1"/>
  <c r="CR28" i="1" s="1"/>
  <c r="CR27" i="1" s="1"/>
  <c r="CR26" i="1" s="1"/>
  <c r="CR25" i="1" s="1"/>
  <c r="CR24" i="1" s="1"/>
  <c r="CR23" i="1" s="1"/>
  <c r="CR22" i="1" s="1"/>
  <c r="CR21" i="1" s="1"/>
  <c r="CR20" i="1" s="1"/>
  <c r="CR19" i="1" s="1"/>
  <c r="CR18" i="1" s="1"/>
  <c r="CR17" i="1" s="1"/>
  <c r="CR16" i="1" s="1"/>
  <c r="CR15" i="1" s="1"/>
  <c r="CR14" i="1" s="1"/>
  <c r="CR13" i="1" s="1"/>
  <c r="CR12" i="1" s="1"/>
  <c r="CR11" i="1" s="1"/>
  <c r="CR10" i="1" s="1"/>
  <c r="CR9" i="1" s="1"/>
  <c r="CR8" i="1" s="1"/>
  <c r="CR7" i="1" s="1"/>
  <c r="CR6" i="1" s="1"/>
  <c r="CR5" i="1" s="1"/>
  <c r="CR4" i="1" s="1"/>
  <c r="CR3" i="1" s="1"/>
  <c r="CR2" i="1" s="1"/>
  <c r="R31" i="63"/>
  <c r="R30" i="63"/>
  <c r="R29" i="63"/>
  <c r="R28" i="63"/>
  <c r="R27" i="63"/>
  <c r="R26" i="63"/>
  <c r="R25" i="63"/>
  <c r="R24" i="63"/>
  <c r="R23" i="63"/>
  <c r="R22" i="63"/>
  <c r="R21" i="63"/>
  <c r="R20" i="63"/>
  <c r="R19" i="63"/>
  <c r="R18" i="63"/>
  <c r="R17" i="63"/>
  <c r="R16" i="63"/>
  <c r="R15" i="63"/>
  <c r="R14" i="63"/>
  <c r="R13" i="63"/>
  <c r="EI2" i="1"/>
  <c r="ED2" i="1"/>
  <c r="EF2" i="1" s="1"/>
  <c r="EN2" i="1"/>
  <c r="EO2" i="1"/>
  <c r="CO55" i="1"/>
  <c r="CO54" i="1"/>
  <c r="CN55" i="1"/>
  <c r="CN54" i="1"/>
  <c r="CH56" i="1"/>
  <c r="CG57" i="1" s="1"/>
  <c r="CF56" i="1"/>
  <c r="CE57" i="1" s="1"/>
  <c r="CC56" i="1"/>
  <c r="FA56" i="1" s="1"/>
  <c r="CH55" i="1"/>
  <c r="CF55" i="1"/>
  <c r="CC55" i="1"/>
  <c r="FA55" i="1" s="1"/>
  <c r="CH54" i="1"/>
  <c r="CF54" i="1"/>
  <c r="CC54" i="1"/>
  <c r="FA54" i="1" s="1"/>
  <c r="BX54" i="1"/>
  <c r="BX55" i="1"/>
  <c r="BX56" i="1"/>
  <c r="BW56" i="1"/>
  <c r="BW55" i="1"/>
  <c r="BW54" i="1"/>
  <c r="BU56" i="1"/>
  <c r="BU55" i="1"/>
  <c r="BU54" i="1"/>
  <c r="BS56" i="1"/>
  <c r="BS55" i="1"/>
  <c r="BS54" i="1"/>
  <c r="BQ56" i="1"/>
  <c r="BQ55" i="1"/>
  <c r="BQ54" i="1"/>
  <c r="BP56" i="1"/>
  <c r="BP55" i="1"/>
  <c r="BP54" i="1"/>
  <c r="BL56" i="1"/>
  <c r="BK56" i="1"/>
  <c r="BJ56" i="1"/>
  <c r="BL55" i="1"/>
  <c r="BK55" i="1"/>
  <c r="BJ55" i="1"/>
  <c r="BL54" i="1"/>
  <c r="BK54" i="1"/>
  <c r="BJ54" i="1"/>
  <c r="EZ27" i="1" l="1"/>
  <c r="EV56" i="1"/>
  <c r="EW57" i="1" s="1"/>
  <c r="EG56" i="1"/>
  <c r="CD57" i="1"/>
  <c r="EY18" i="1"/>
  <c r="EV55" i="1"/>
  <c r="EG55" i="1"/>
  <c r="EV54" i="1"/>
  <c r="EW55" i="1" s="1"/>
  <c r="EG54" i="1"/>
  <c r="DJ56" i="1"/>
  <c r="DJ57" i="1"/>
  <c r="DH57" i="1"/>
  <c r="CX2" i="1"/>
  <c r="CV2" i="1"/>
  <c r="CU2" i="1"/>
  <c r="CT2" i="1"/>
  <c r="CJ56" i="1"/>
  <c r="CE55" i="1"/>
  <c r="EK2" i="1"/>
  <c r="EJ2" i="1"/>
  <c r="CW55" i="1"/>
  <c r="CG55" i="1"/>
  <c r="CE56" i="1"/>
  <c r="EL54" i="1"/>
  <c r="DI55" i="1"/>
  <c r="EU55" i="1"/>
  <c r="DL55" i="1"/>
  <c r="EU56" i="1"/>
  <c r="DI56" i="1"/>
  <c r="EW56" i="1"/>
  <c r="DL56" i="1"/>
  <c r="CG56" i="1"/>
  <c r="EK55" i="1"/>
  <c r="CD55" i="1"/>
  <c r="E54" i="41"/>
  <c r="K54" i="41" s="1"/>
  <c r="EK54" i="1"/>
  <c r="EL55" i="1"/>
  <c r="EI56" i="1"/>
  <c r="EM56" i="1"/>
  <c r="CJ54" i="1"/>
  <c r="CJ55" i="1"/>
  <c r="CD56" i="1"/>
  <c r="E55" i="41"/>
  <c r="K55" i="41" s="1"/>
  <c r="DJ55" i="1"/>
  <c r="DH55" i="1"/>
  <c r="DH56" i="1"/>
  <c r="CW56" i="1"/>
  <c r="EL2" i="1"/>
  <c r="EM2" i="1"/>
  <c r="EE2" i="1"/>
  <c r="BH54" i="1"/>
  <c r="BH55" i="1"/>
  <c r="BH56" i="1"/>
  <c r="BC54" i="1"/>
  <c r="BC55" i="1"/>
  <c r="BC56" i="1"/>
  <c r="BD57" i="1" s="1"/>
  <c r="BA56" i="1"/>
  <c r="BA55" i="1"/>
  <c r="BA54" i="1"/>
  <c r="AY56" i="1"/>
  <c r="AZ57" i="1" s="1"/>
  <c r="AW56" i="1"/>
  <c r="AX57" i="1" s="1"/>
  <c r="AV56" i="1"/>
  <c r="AY55" i="1"/>
  <c r="AW55" i="1"/>
  <c r="AV55" i="1"/>
  <c r="AY54" i="1"/>
  <c r="AW54" i="1"/>
  <c r="AV54" i="1"/>
  <c r="AT56" i="1"/>
  <c r="AT55" i="1"/>
  <c r="AT54" i="1"/>
  <c r="AM55" i="1"/>
  <c r="AJ54" i="1"/>
  <c r="AM54" i="1" s="1"/>
  <c r="AJ53" i="1"/>
  <c r="AM53" i="1" s="1"/>
  <c r="AJ52" i="1"/>
  <c r="AM52" i="1" s="1"/>
  <c r="AI55" i="1"/>
  <c r="AL55" i="1" s="1"/>
  <c r="AI54" i="1"/>
  <c r="AL54" i="1" s="1"/>
  <c r="AI53" i="1"/>
  <c r="AL53" i="1" s="1"/>
  <c r="AI52" i="1"/>
  <c r="AH56" i="1"/>
  <c r="AH55" i="1"/>
  <c r="AH54" i="1"/>
  <c r="AK53" i="1" s="1"/>
  <c r="AO53" i="1" s="1"/>
  <c r="Z56" i="1"/>
  <c r="Z55" i="1"/>
  <c r="AD55" i="1" s="1"/>
  <c r="Z54" i="1"/>
  <c r="AD54" i="1" s="1"/>
  <c r="S56" i="1"/>
  <c r="R56" i="1"/>
  <c r="S55" i="1"/>
  <c r="R55" i="1"/>
  <c r="S54" i="1"/>
  <c r="R54" i="1"/>
  <c r="O56" i="1"/>
  <c r="O55" i="1"/>
  <c r="O54" i="1"/>
  <c r="R55" i="35" s="1"/>
  <c r="S55" i="35" s="1"/>
  <c r="M56" i="1"/>
  <c r="M55" i="1"/>
  <c r="M54" i="1"/>
  <c r="K56" i="1"/>
  <c r="K55" i="1"/>
  <c r="K54" i="1"/>
  <c r="K52"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D56" i="1"/>
  <c r="D55" i="1"/>
  <c r="D54" i="1"/>
  <c r="P1" i="95"/>
  <c r="O1" i="95"/>
  <c r="F3" i="95"/>
  <c r="F2" i="95"/>
  <c r="K3" i="95"/>
  <c r="K2" i="95"/>
  <c r="G3" i="95"/>
  <c r="G2" i="95"/>
  <c r="L3" i="95"/>
  <c r="L2" i="95"/>
  <c r="F4" i="95"/>
  <c r="O4" i="95" s="1"/>
  <c r="K4" i="95"/>
  <c r="G4" i="95"/>
  <c r="P4" i="95" s="1"/>
  <c r="L4" i="95"/>
  <c r="N4" i="95" s="1"/>
  <c r="F5" i="95"/>
  <c r="O5" i="95" s="1"/>
  <c r="K5" i="95"/>
  <c r="M5" i="95" s="1"/>
  <c r="G5" i="95"/>
  <c r="P5" i="95" s="1"/>
  <c r="L5" i="95"/>
  <c r="F6" i="95"/>
  <c r="K6" i="95"/>
  <c r="G6" i="95"/>
  <c r="L6" i="95"/>
  <c r="F7" i="95"/>
  <c r="K7" i="95"/>
  <c r="M7" i="95" s="1"/>
  <c r="G7" i="95"/>
  <c r="L7" i="95"/>
  <c r="F8" i="95"/>
  <c r="K8" i="95"/>
  <c r="G8" i="95"/>
  <c r="L8" i="95"/>
  <c r="F9" i="95"/>
  <c r="K9" i="95"/>
  <c r="G9" i="95"/>
  <c r="L9" i="95"/>
  <c r="F10" i="95"/>
  <c r="K10" i="95"/>
  <c r="G10" i="95"/>
  <c r="P10" i="95" s="1"/>
  <c r="L10" i="95"/>
  <c r="N10" i="95" s="1"/>
  <c r="F11" i="95"/>
  <c r="K11" i="95"/>
  <c r="G11" i="95"/>
  <c r="P11" i="95" s="1"/>
  <c r="L11" i="95"/>
  <c r="N11" i="95" s="1"/>
  <c r="F12" i="95"/>
  <c r="K12" i="95"/>
  <c r="G12" i="95"/>
  <c r="L12" i="95"/>
  <c r="N12" i="95" s="1"/>
  <c r="F13" i="95"/>
  <c r="K13" i="95"/>
  <c r="M13" i="95" s="1"/>
  <c r="G13" i="95"/>
  <c r="L13" i="95"/>
  <c r="F14" i="95"/>
  <c r="K14" i="95"/>
  <c r="G14" i="95"/>
  <c r="P14" i="95" s="1"/>
  <c r="L14" i="95"/>
  <c r="N14" i="95" s="1"/>
  <c r="F15" i="95"/>
  <c r="K15" i="95"/>
  <c r="G15" i="95"/>
  <c r="L15" i="95"/>
  <c r="F16" i="95"/>
  <c r="K16" i="95"/>
  <c r="G16" i="95"/>
  <c r="L16" i="95"/>
  <c r="F17" i="95"/>
  <c r="K17" i="95"/>
  <c r="G17" i="95"/>
  <c r="L17" i="95"/>
  <c r="F18" i="95"/>
  <c r="O18" i="95" s="1"/>
  <c r="K18" i="95"/>
  <c r="G18" i="95"/>
  <c r="P18" i="95" s="1"/>
  <c r="L18" i="95"/>
  <c r="N18" i="95" s="1"/>
  <c r="F19" i="95"/>
  <c r="O19" i="95" s="1"/>
  <c r="K19" i="95"/>
  <c r="M19" i="95" s="1"/>
  <c r="G19" i="95"/>
  <c r="P19" i="95" s="1"/>
  <c r="L19" i="95"/>
  <c r="N19" i="95" s="1"/>
  <c r="F20" i="95"/>
  <c r="O20" i="95" s="1"/>
  <c r="K20" i="95"/>
  <c r="G20" i="95"/>
  <c r="L20" i="95"/>
  <c r="N20" i="95" s="1"/>
  <c r="F21" i="95"/>
  <c r="K21" i="95"/>
  <c r="M21" i="95" s="1"/>
  <c r="G21" i="95"/>
  <c r="L21" i="95"/>
  <c r="F22" i="95"/>
  <c r="K22" i="95"/>
  <c r="G22" i="95"/>
  <c r="P22" i="95" s="1"/>
  <c r="L22" i="95"/>
  <c r="N22" i="95" s="1"/>
  <c r="F23" i="95"/>
  <c r="K23" i="95"/>
  <c r="M23" i="95" s="1"/>
  <c r="G23" i="95"/>
  <c r="L23" i="95"/>
  <c r="F24" i="95"/>
  <c r="K24" i="95"/>
  <c r="G24" i="95"/>
  <c r="L24" i="95"/>
  <c r="F25" i="95"/>
  <c r="K25" i="95"/>
  <c r="G25" i="95"/>
  <c r="L25" i="95"/>
  <c r="F26" i="95"/>
  <c r="K26" i="95"/>
  <c r="M26" i="95" s="1"/>
  <c r="G26" i="95"/>
  <c r="P26" i="95" s="1"/>
  <c r="L26" i="95"/>
  <c r="N26" i="95" s="1"/>
  <c r="F27" i="95"/>
  <c r="K27" i="95"/>
  <c r="G27" i="95"/>
  <c r="L27" i="95"/>
  <c r="F28" i="95"/>
  <c r="K28" i="95"/>
  <c r="M28" i="95" s="1"/>
  <c r="G28" i="95"/>
  <c r="P28" i="95" s="1"/>
  <c r="L28" i="95"/>
  <c r="F29" i="95"/>
  <c r="K29" i="95"/>
  <c r="G29" i="95"/>
  <c r="L29" i="95"/>
  <c r="F30" i="95"/>
  <c r="K30" i="95"/>
  <c r="G30" i="95"/>
  <c r="L30" i="95"/>
  <c r="N30" i="95" s="1"/>
  <c r="F31" i="95"/>
  <c r="O31" i="95" s="1"/>
  <c r="K31" i="95"/>
  <c r="G31" i="95"/>
  <c r="L31" i="95"/>
  <c r="F32" i="95"/>
  <c r="K32" i="95"/>
  <c r="G32" i="95"/>
  <c r="P32" i="95" s="1"/>
  <c r="L32" i="95"/>
  <c r="F33" i="95"/>
  <c r="K33" i="95"/>
  <c r="G33" i="95"/>
  <c r="L33" i="95"/>
  <c r="N33" i="95" s="1"/>
  <c r="F34" i="95"/>
  <c r="K34" i="95"/>
  <c r="M34" i="95" s="1"/>
  <c r="G34" i="95"/>
  <c r="L34" i="95"/>
  <c r="F35" i="95"/>
  <c r="K35" i="95"/>
  <c r="M35" i="95" s="1"/>
  <c r="G35" i="95"/>
  <c r="L35" i="95"/>
  <c r="F36" i="95"/>
  <c r="K36" i="95"/>
  <c r="G36" i="95"/>
  <c r="L36" i="95"/>
  <c r="F37" i="95"/>
  <c r="K37" i="95"/>
  <c r="G37" i="95"/>
  <c r="L37" i="95"/>
  <c r="F38" i="95"/>
  <c r="O38" i="95" s="1"/>
  <c r="K38" i="95"/>
  <c r="G38" i="95"/>
  <c r="P38" i="95" s="1"/>
  <c r="L38" i="95"/>
  <c r="F39" i="95"/>
  <c r="O39" i="95" s="1"/>
  <c r="K39" i="95"/>
  <c r="G39" i="95"/>
  <c r="L39" i="95"/>
  <c r="F40" i="95"/>
  <c r="K40" i="95"/>
  <c r="G40" i="95"/>
  <c r="L40" i="95"/>
  <c r="F41" i="95"/>
  <c r="K41" i="95"/>
  <c r="G41" i="95"/>
  <c r="L41" i="95"/>
  <c r="F42" i="95"/>
  <c r="K42" i="95"/>
  <c r="M42" i="95" s="1"/>
  <c r="G42" i="95"/>
  <c r="L42" i="95"/>
  <c r="F43" i="95"/>
  <c r="K43" i="95"/>
  <c r="M43" i="95" s="1"/>
  <c r="G43" i="95"/>
  <c r="P43" i="95" s="1"/>
  <c r="L43" i="95"/>
  <c r="F44" i="95"/>
  <c r="K44" i="95"/>
  <c r="G44" i="95"/>
  <c r="L44" i="95"/>
  <c r="F45" i="95"/>
  <c r="K45" i="95"/>
  <c r="G45" i="95"/>
  <c r="P45" i="95" s="1"/>
  <c r="L45" i="95"/>
  <c r="F46" i="95"/>
  <c r="K46" i="95"/>
  <c r="G46" i="95"/>
  <c r="P46" i="95" s="1"/>
  <c r="L46" i="95"/>
  <c r="F47" i="95"/>
  <c r="K47" i="95"/>
  <c r="G47" i="95"/>
  <c r="L47" i="95"/>
  <c r="F48" i="95"/>
  <c r="K48" i="95"/>
  <c r="G48" i="95"/>
  <c r="P48" i="95"/>
  <c r="L48" i="95"/>
  <c r="F49" i="95"/>
  <c r="K49" i="95"/>
  <c r="G49" i="95"/>
  <c r="L49" i="95"/>
  <c r="N49" i="95" s="1"/>
  <c r="F50" i="95"/>
  <c r="K50" i="95"/>
  <c r="M50" i="95" s="1"/>
  <c r="G50" i="95"/>
  <c r="P50" i="95" s="1"/>
  <c r="L50" i="95"/>
  <c r="N50" i="95" s="1"/>
  <c r="F51" i="95"/>
  <c r="K51" i="95"/>
  <c r="G51" i="95"/>
  <c r="L51" i="95"/>
  <c r="F52" i="95"/>
  <c r="O52" i="95" s="1"/>
  <c r="K52" i="95"/>
  <c r="G52" i="95"/>
  <c r="L52" i="95"/>
  <c r="N52" i="95" s="1"/>
  <c r="F53" i="95"/>
  <c r="O54" i="95" s="1"/>
  <c r="K53" i="95"/>
  <c r="M54" i="95" s="1"/>
  <c r="G53" i="95"/>
  <c r="P54" i="95" s="1"/>
  <c r="P53" i="95"/>
  <c r="L53" i="95"/>
  <c r="N54" i="95" s="1"/>
  <c r="N1" i="95"/>
  <c r="CO48" i="1"/>
  <c r="CO53" i="1"/>
  <c r="CO52" i="1"/>
  <c r="CO51" i="1"/>
  <c r="CO50" i="1"/>
  <c r="CO49" i="1"/>
  <c r="CO47" i="1"/>
  <c r="CO46" i="1"/>
  <c r="CO45" i="1"/>
  <c r="CO44" i="1"/>
  <c r="CO43" i="1"/>
  <c r="CO42" i="1"/>
  <c r="CO41" i="1"/>
  <c r="CO40" i="1"/>
  <c r="CO39" i="1"/>
  <c r="CN38" i="1"/>
  <c r="CO38" i="1"/>
  <c r="CO37" i="1"/>
  <c r="CO36" i="1"/>
  <c r="CO35" i="1"/>
  <c r="CO34" i="1"/>
  <c r="CO33" i="1"/>
  <c r="CO32" i="1"/>
  <c r="CO31" i="1"/>
  <c r="CO30" i="1"/>
  <c r="CO29" i="1"/>
  <c r="CO28" i="1"/>
  <c r="CO27" i="1"/>
  <c r="CN26" i="1"/>
  <c r="CO26" i="1"/>
  <c r="CN25" i="1"/>
  <c r="CN23" i="1"/>
  <c r="CO23" i="1"/>
  <c r="CO21" i="1"/>
  <c r="CO20" i="1"/>
  <c r="CO19" i="1"/>
  <c r="CO18" i="1"/>
  <c r="CO17" i="1"/>
  <c r="CO16" i="1"/>
  <c r="CO15" i="1"/>
  <c r="CO14" i="1"/>
  <c r="CO13" i="1"/>
  <c r="CO12" i="1"/>
  <c r="CO11" i="1"/>
  <c r="CN9" i="1"/>
  <c r="CO9" i="1"/>
  <c r="CN8" i="1"/>
  <c r="CN7" i="1"/>
  <c r="CN6" i="1"/>
  <c r="CO5" i="1"/>
  <c r="CO4" i="1"/>
  <c r="CO3" i="1"/>
  <c r="BX3" i="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CT3" i="1"/>
  <c r="CT4" i="1"/>
  <c r="CT5" i="1"/>
  <c r="CT6" i="1"/>
  <c r="CT7" i="1"/>
  <c r="CT8" i="1"/>
  <c r="CT9" i="1"/>
  <c r="CT10" i="1"/>
  <c r="CT11" i="1"/>
  <c r="CT12" i="1"/>
  <c r="CT13" i="1"/>
  <c r="CT14" i="1"/>
  <c r="CT15" i="1"/>
  <c r="CT16" i="1"/>
  <c r="CT17" i="1"/>
  <c r="CT18" i="1"/>
  <c r="CT19" i="1"/>
  <c r="CT20" i="1"/>
  <c r="CT21" i="1"/>
  <c r="CT22" i="1"/>
  <c r="CT23" i="1"/>
  <c r="CT24" i="1"/>
  <c r="CT25" i="1"/>
  <c r="CT26" i="1"/>
  <c r="CT27" i="1"/>
  <c r="CT28" i="1"/>
  <c r="CT29" i="1"/>
  <c r="CT30" i="1"/>
  <c r="CT31" i="1"/>
  <c r="CT32" i="1"/>
  <c r="CT33" i="1"/>
  <c r="CT34" i="1"/>
  <c r="CT35" i="1"/>
  <c r="CT36" i="1"/>
  <c r="CT38" i="1"/>
  <c r="CT39" i="1"/>
  <c r="CT40" i="1"/>
  <c r="CT41" i="1"/>
  <c r="CT42" i="1"/>
  <c r="CT43" i="1"/>
  <c r="CT44" i="1"/>
  <c r="CT45" i="1"/>
  <c r="CT46" i="1"/>
  <c r="CT47" i="1"/>
  <c r="CT48" i="1"/>
  <c r="CT49" i="1"/>
  <c r="CT50" i="1"/>
  <c r="CT51" i="1"/>
  <c r="CT52" i="1"/>
  <c r="CT53" i="1"/>
  <c r="CX53" i="1"/>
  <c r="CX52" i="1"/>
  <c r="CX51" i="1"/>
  <c r="CX50" i="1"/>
  <c r="CX49" i="1"/>
  <c r="CX48" i="1"/>
  <c r="CX47" i="1"/>
  <c r="CX46" i="1"/>
  <c r="CX45" i="1"/>
  <c r="CX44" i="1"/>
  <c r="CX43" i="1"/>
  <c r="CX42" i="1"/>
  <c r="CX41" i="1"/>
  <c r="CX40" i="1"/>
  <c r="CX39" i="1"/>
  <c r="CX38" i="1"/>
  <c r="CX36" i="1"/>
  <c r="CX35" i="1"/>
  <c r="CX34" i="1"/>
  <c r="CX33" i="1"/>
  <c r="CX32" i="1"/>
  <c r="CX31" i="1"/>
  <c r="CX30" i="1"/>
  <c r="CX29" i="1"/>
  <c r="CX28" i="1"/>
  <c r="CX27" i="1"/>
  <c r="CX26" i="1"/>
  <c r="CX25" i="1"/>
  <c r="CX24" i="1"/>
  <c r="CX23" i="1"/>
  <c r="CX22" i="1"/>
  <c r="CX21" i="1"/>
  <c r="CX20" i="1"/>
  <c r="CX19" i="1"/>
  <c r="CX18" i="1"/>
  <c r="CX17" i="1"/>
  <c r="CX16" i="1"/>
  <c r="CX15" i="1"/>
  <c r="CX14" i="1"/>
  <c r="CX13" i="1"/>
  <c r="CX12" i="1"/>
  <c r="CX11" i="1"/>
  <c r="CX10" i="1"/>
  <c r="CX9" i="1"/>
  <c r="CX8" i="1"/>
  <c r="CX7" i="1"/>
  <c r="CX6" i="1"/>
  <c r="CX5" i="1"/>
  <c r="CX4" i="1"/>
  <c r="CX3" i="1"/>
  <c r="CV53" i="1"/>
  <c r="CW54" i="1" s="1"/>
  <c r="CV52" i="1"/>
  <c r="CV51" i="1"/>
  <c r="CV50" i="1"/>
  <c r="CV49" i="1"/>
  <c r="CV48" i="1"/>
  <c r="CV47" i="1"/>
  <c r="CV46" i="1"/>
  <c r="CV45" i="1"/>
  <c r="CV44" i="1"/>
  <c r="CV43" i="1"/>
  <c r="CV42" i="1"/>
  <c r="CV41" i="1"/>
  <c r="CV40" i="1"/>
  <c r="CV39" i="1"/>
  <c r="CV38" i="1"/>
  <c r="CV36" i="1"/>
  <c r="CV35" i="1"/>
  <c r="CV34" i="1"/>
  <c r="CV33" i="1"/>
  <c r="CV32" i="1"/>
  <c r="CV31" i="1"/>
  <c r="CV30" i="1"/>
  <c r="CV29" i="1"/>
  <c r="CV28" i="1"/>
  <c r="CV27" i="1"/>
  <c r="CV26" i="1"/>
  <c r="CV25" i="1"/>
  <c r="CV24" i="1"/>
  <c r="CV23" i="1"/>
  <c r="CV22" i="1"/>
  <c r="CV21" i="1"/>
  <c r="CV20" i="1"/>
  <c r="CV19" i="1"/>
  <c r="CV18" i="1"/>
  <c r="CV17" i="1"/>
  <c r="CV16" i="1"/>
  <c r="CV15" i="1"/>
  <c r="CV14" i="1"/>
  <c r="CV13" i="1"/>
  <c r="CV12" i="1"/>
  <c r="CV11" i="1"/>
  <c r="CV10" i="1"/>
  <c r="CV9" i="1"/>
  <c r="CV8" i="1"/>
  <c r="CV7" i="1"/>
  <c r="CV6" i="1"/>
  <c r="CV5" i="1"/>
  <c r="CV4" i="1"/>
  <c r="CV3" i="1"/>
  <c r="DF21" i="1"/>
  <c r="EI21" i="1" s="1"/>
  <c r="DF22" i="1"/>
  <c r="DF23" i="1"/>
  <c r="DF24" i="1"/>
  <c r="EI24" i="1" s="1"/>
  <c r="EK24" i="1" s="1"/>
  <c r="DF25" i="1"/>
  <c r="DH25" i="1" s="1"/>
  <c r="DF26" i="1"/>
  <c r="EI26" i="1" s="1"/>
  <c r="EJ26" i="1" s="1"/>
  <c r="DF27" i="1"/>
  <c r="EI27" i="1" s="1"/>
  <c r="DF28" i="1"/>
  <c r="EI28" i="1" s="1"/>
  <c r="EK28" i="1" s="1"/>
  <c r="DF29" i="1"/>
  <c r="EI29" i="1" s="1"/>
  <c r="DF30" i="1"/>
  <c r="DF31" i="1"/>
  <c r="DF32" i="1"/>
  <c r="EI32" i="1" s="1"/>
  <c r="DF33" i="1"/>
  <c r="EI33" i="1" s="1"/>
  <c r="DF34" i="1"/>
  <c r="EI34" i="1" s="1"/>
  <c r="DF35" i="1"/>
  <c r="EI35" i="1" s="1"/>
  <c r="DF36" i="1"/>
  <c r="EI36" i="1" s="1"/>
  <c r="DF37" i="1"/>
  <c r="DF38" i="1"/>
  <c r="EI38" i="1" s="1"/>
  <c r="EK38" i="1" s="1"/>
  <c r="DF39" i="1"/>
  <c r="DF40" i="1"/>
  <c r="EI40" i="1" s="1"/>
  <c r="DF41" i="1"/>
  <c r="EI41" i="1" s="1"/>
  <c r="DF42" i="1"/>
  <c r="EI42" i="1" s="1"/>
  <c r="DF43" i="1"/>
  <c r="EI43" i="1" s="1"/>
  <c r="DF44" i="1"/>
  <c r="DF45" i="1"/>
  <c r="EI45" i="1" s="1"/>
  <c r="DF46" i="1"/>
  <c r="DF47" i="1"/>
  <c r="EI47" i="1" s="1"/>
  <c r="DF48" i="1"/>
  <c r="EI48" i="1" s="1"/>
  <c r="DF49" i="1"/>
  <c r="EI49" i="1" s="1"/>
  <c r="DF50" i="1"/>
  <c r="EI50" i="1" s="1"/>
  <c r="EJ50" i="1" s="1"/>
  <c r="DF51" i="1"/>
  <c r="EI51" i="1" s="1"/>
  <c r="EK51" i="1" s="1"/>
  <c r="DF52" i="1"/>
  <c r="EI52" i="1" s="1"/>
  <c r="DF53" i="1"/>
  <c r="DJ54" i="1" s="1"/>
  <c r="DF3" i="1"/>
  <c r="DJ3" i="1" s="1"/>
  <c r="DF4" i="1"/>
  <c r="EI4" i="1" s="1"/>
  <c r="DF5" i="1"/>
  <c r="EI5" i="1" s="1"/>
  <c r="DF6" i="1"/>
  <c r="EI6" i="1" s="1"/>
  <c r="DF7" i="1"/>
  <c r="EI7" i="1" s="1"/>
  <c r="DF8" i="1"/>
  <c r="EI8" i="1" s="1"/>
  <c r="EJ8" i="1" s="1"/>
  <c r="DF9" i="1"/>
  <c r="EI9" i="1" s="1"/>
  <c r="EJ9" i="1" s="1"/>
  <c r="DF10" i="1"/>
  <c r="EI10" i="1" s="1"/>
  <c r="EJ10" i="1" s="1"/>
  <c r="DF11" i="1"/>
  <c r="DF12" i="1"/>
  <c r="EI12" i="1" s="1"/>
  <c r="DF13" i="1"/>
  <c r="EI13" i="1" s="1"/>
  <c r="DF14" i="1"/>
  <c r="EI14" i="1" s="1"/>
  <c r="EJ14" i="1" s="1"/>
  <c r="DF15" i="1"/>
  <c r="DF16" i="1"/>
  <c r="EI16" i="1" s="1"/>
  <c r="DF17" i="1"/>
  <c r="EI17" i="1" s="1"/>
  <c r="EJ17" i="1" s="1"/>
  <c r="DF18" i="1"/>
  <c r="DF19" i="1"/>
  <c r="DF20" i="1"/>
  <c r="CC53" i="1"/>
  <c r="FA53" i="1" s="1"/>
  <c r="CC52" i="1"/>
  <c r="FA52" i="1" s="1"/>
  <c r="CC51" i="1"/>
  <c r="FA51" i="1" s="1"/>
  <c r="CC50" i="1"/>
  <c r="FA50" i="1" s="1"/>
  <c r="CC49" i="1"/>
  <c r="FA49" i="1" s="1"/>
  <c r="CC48" i="1"/>
  <c r="FA48" i="1" s="1"/>
  <c r="CC47" i="1"/>
  <c r="FA47" i="1" s="1"/>
  <c r="CC46" i="1"/>
  <c r="FA46" i="1" s="1"/>
  <c r="CC45" i="1"/>
  <c r="FA45" i="1" s="1"/>
  <c r="CC44" i="1"/>
  <c r="FA44" i="1" s="1"/>
  <c r="CC43" i="1"/>
  <c r="FA43" i="1" s="1"/>
  <c r="CC42" i="1"/>
  <c r="FA42" i="1" s="1"/>
  <c r="CC41" i="1"/>
  <c r="FA41" i="1" s="1"/>
  <c r="CC40" i="1"/>
  <c r="FA40" i="1" s="1"/>
  <c r="CC39" i="1"/>
  <c r="FA39" i="1" s="1"/>
  <c r="CC38" i="1"/>
  <c r="FA38" i="1" s="1"/>
  <c r="CC37" i="1"/>
  <c r="FA37" i="1" s="1"/>
  <c r="CC36" i="1"/>
  <c r="FA36" i="1" s="1"/>
  <c r="CC35" i="1"/>
  <c r="FA35" i="1" s="1"/>
  <c r="CC34" i="1"/>
  <c r="FA34" i="1" s="1"/>
  <c r="CC33" i="1"/>
  <c r="FA33" i="1" s="1"/>
  <c r="CC32" i="1"/>
  <c r="FA32" i="1" s="1"/>
  <c r="CC31" i="1"/>
  <c r="FA31" i="1" s="1"/>
  <c r="CC30" i="1"/>
  <c r="FA30" i="1" s="1"/>
  <c r="CC29" i="1"/>
  <c r="FA29" i="1" s="1"/>
  <c r="CC28" i="1"/>
  <c r="FA28" i="1" s="1"/>
  <c r="CC27" i="1"/>
  <c r="FA27" i="1" s="1"/>
  <c r="CC26" i="1"/>
  <c r="FA26" i="1" s="1"/>
  <c r="CC25" i="1"/>
  <c r="FA25" i="1" s="1"/>
  <c r="CC24" i="1"/>
  <c r="FA24" i="1" s="1"/>
  <c r="CC23" i="1"/>
  <c r="FA23" i="1" s="1"/>
  <c r="CC22" i="1"/>
  <c r="FA22" i="1" s="1"/>
  <c r="CC21" i="1"/>
  <c r="FA21" i="1" s="1"/>
  <c r="CC20" i="1"/>
  <c r="FA20" i="1" s="1"/>
  <c r="CC19" i="1"/>
  <c r="FA19" i="1" s="1"/>
  <c r="CC18" i="1"/>
  <c r="FA18" i="1" s="1"/>
  <c r="CC17" i="1"/>
  <c r="CC16" i="1"/>
  <c r="CC15" i="1"/>
  <c r="CC14" i="1"/>
  <c r="CC13" i="1"/>
  <c r="CC12" i="1"/>
  <c r="CC11" i="1"/>
  <c r="CC10" i="1"/>
  <c r="CC9" i="1"/>
  <c r="CC8" i="1"/>
  <c r="CC7" i="1"/>
  <c r="CC6" i="1"/>
  <c r="CC5" i="1"/>
  <c r="CC4" i="1"/>
  <c r="CC3" i="1"/>
  <c r="CF53" i="1"/>
  <c r="CE54" i="1" s="1"/>
  <c r="CH53" i="1"/>
  <c r="CG54" i="1" s="1"/>
  <c r="CF52" i="1"/>
  <c r="CH52" i="1"/>
  <c r="CF51" i="1"/>
  <c r="CH51" i="1"/>
  <c r="CF50" i="1"/>
  <c r="CH50" i="1"/>
  <c r="CF49" i="1"/>
  <c r="CH49" i="1"/>
  <c r="CF48" i="1"/>
  <c r="CH48" i="1"/>
  <c r="CJ48" i="1" s="1"/>
  <c r="CF47" i="1"/>
  <c r="CH47" i="1"/>
  <c r="CF46" i="1"/>
  <c r="CH46" i="1"/>
  <c r="CF45" i="1"/>
  <c r="CH45" i="1"/>
  <c r="CF44" i="1"/>
  <c r="CH44" i="1"/>
  <c r="CF43" i="1"/>
  <c r="CH43" i="1"/>
  <c r="CF42" i="1"/>
  <c r="CH42" i="1"/>
  <c r="CF41" i="1"/>
  <c r="CH41" i="1"/>
  <c r="CF40" i="1"/>
  <c r="CH40" i="1"/>
  <c r="CG41" i="1" s="1"/>
  <c r="CF39" i="1"/>
  <c r="CH39" i="1"/>
  <c r="CF38" i="1"/>
  <c r="CH38" i="1"/>
  <c r="CF37" i="1"/>
  <c r="CH37" i="1"/>
  <c r="CF36" i="1"/>
  <c r="CH36" i="1"/>
  <c r="CF35" i="1"/>
  <c r="CH35" i="1"/>
  <c r="CF34" i="1"/>
  <c r="CH34" i="1"/>
  <c r="CF33" i="1"/>
  <c r="CH33" i="1"/>
  <c r="CF32" i="1"/>
  <c r="CH32" i="1"/>
  <c r="CG33" i="1" s="1"/>
  <c r="CF31" i="1"/>
  <c r="CH31" i="1"/>
  <c r="CF30" i="1"/>
  <c r="CH30" i="1"/>
  <c r="CF29" i="1"/>
  <c r="CH29" i="1"/>
  <c r="CF28" i="1"/>
  <c r="CH28" i="1"/>
  <c r="CF27" i="1"/>
  <c r="CH27" i="1"/>
  <c r="CF26" i="1"/>
  <c r="CH26" i="1"/>
  <c r="CF25" i="1"/>
  <c r="CH25" i="1"/>
  <c r="CF24" i="1"/>
  <c r="CH24" i="1"/>
  <c r="CF23" i="1"/>
  <c r="CH23" i="1"/>
  <c r="CF22" i="1"/>
  <c r="CH22" i="1"/>
  <c r="CF21" i="1"/>
  <c r="CH21" i="1"/>
  <c r="CF20" i="1"/>
  <c r="CH20" i="1"/>
  <c r="CF19" i="1"/>
  <c r="CH19" i="1"/>
  <c r="CF18" i="1"/>
  <c r="CH18" i="1"/>
  <c r="CF17" i="1"/>
  <c r="CH17" i="1"/>
  <c r="CF16" i="1"/>
  <c r="CH16" i="1"/>
  <c r="CG17" i="1" s="1"/>
  <c r="CF15" i="1"/>
  <c r="CH15" i="1"/>
  <c r="CF14" i="1"/>
  <c r="CH14" i="1"/>
  <c r="CF13" i="1"/>
  <c r="CH13" i="1"/>
  <c r="CF12" i="1"/>
  <c r="CH12" i="1"/>
  <c r="CF11" i="1"/>
  <c r="CH11" i="1"/>
  <c r="CF10" i="1"/>
  <c r="CH10" i="1"/>
  <c r="CF9" i="1"/>
  <c r="CH9" i="1"/>
  <c r="CF8" i="1"/>
  <c r="CH8" i="1"/>
  <c r="CF7" i="1"/>
  <c r="CH7" i="1"/>
  <c r="CF6" i="1"/>
  <c r="CH6" i="1"/>
  <c r="CF5" i="1"/>
  <c r="CH5" i="1"/>
  <c r="CF4" i="1"/>
  <c r="CH4" i="1"/>
  <c r="CF3" i="1"/>
  <c r="CE3" i="1" s="1"/>
  <c r="CH3" i="1"/>
  <c r="ET53" i="1"/>
  <c r="ET52" i="1"/>
  <c r="ET51" i="1"/>
  <c r="ET50" i="1"/>
  <c r="ET49" i="1"/>
  <c r="ET48" i="1"/>
  <c r="ET47" i="1"/>
  <c r="ET46" i="1"/>
  <c r="ET45" i="1"/>
  <c r="ET44" i="1"/>
  <c r="ET43" i="1"/>
  <c r="ET42" i="1"/>
  <c r="ET41" i="1"/>
  <c r="ET40" i="1"/>
  <c r="ET39" i="1"/>
  <c r="ET38" i="1"/>
  <c r="ET37" i="1"/>
  <c r="ET36" i="1"/>
  <c r="ET35" i="1"/>
  <c r="ET34" i="1"/>
  <c r="ET33" i="1"/>
  <c r="ET32" i="1"/>
  <c r="ET31" i="1"/>
  <c r="ET30" i="1"/>
  <c r="ET29" i="1"/>
  <c r="ET28" i="1"/>
  <c r="ET27" i="1"/>
  <c r="ET26" i="1"/>
  <c r="ET25" i="1"/>
  <c r="ET24" i="1"/>
  <c r="ET23" i="1"/>
  <c r="ET22" i="1"/>
  <c r="ET21" i="1"/>
  <c r="ET20" i="1"/>
  <c r="ET19" i="1"/>
  <c r="ET18" i="1"/>
  <c r="ET17"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O24" i="1"/>
  <c r="ED24" i="1"/>
  <c r="EE24" i="1" s="1"/>
  <c r="O25" i="1"/>
  <c r="ED25" i="1"/>
  <c r="EF25" i="1" s="1"/>
  <c r="EL25" i="1" s="1"/>
  <c r="O26" i="1"/>
  <c r="V26" i="1" s="1"/>
  <c r="ED26" i="1"/>
  <c r="EF26" i="1" s="1"/>
  <c r="EL26" i="1" s="1"/>
  <c r="O27" i="1"/>
  <c r="Q27" i="1" s="1"/>
  <c r="ED27" i="1"/>
  <c r="EF27" i="1" s="1"/>
  <c r="O28" i="1"/>
  <c r="V28" i="1" s="1"/>
  <c r="ED28" i="1"/>
  <c r="EF28" i="1" s="1"/>
  <c r="O29" i="1"/>
  <c r="V29" i="1" s="1"/>
  <c r="ED29" i="1"/>
  <c r="EF29" i="1" s="1"/>
  <c r="O30" i="1"/>
  <c r="Q30" i="1" s="1"/>
  <c r="ED30" i="1"/>
  <c r="EF30" i="1" s="1"/>
  <c r="EL30" i="1" s="1"/>
  <c r="O31" i="1"/>
  <c r="ED31" i="1"/>
  <c r="EF31" i="1" s="1"/>
  <c r="O32" i="1"/>
  <c r="X32" i="1" s="1"/>
  <c r="EF32" i="1"/>
  <c r="EL32" i="1" s="1"/>
  <c r="O33" i="1"/>
  <c r="X33" i="1" s="1"/>
  <c r="EF33" i="1"/>
  <c r="O34" i="1"/>
  <c r="V34" i="1" s="1"/>
  <c r="EF34" i="1"/>
  <c r="EM34" i="1" s="1"/>
  <c r="O35" i="1"/>
  <c r="V35" i="1" s="1"/>
  <c r="EF35" i="1"/>
  <c r="EM35" i="1" s="1"/>
  <c r="O36" i="1"/>
  <c r="V36" i="1" s="1"/>
  <c r="EF36" i="1"/>
  <c r="EL36" i="1" s="1"/>
  <c r="O37" i="1"/>
  <c r="X37" i="1" s="1"/>
  <c r="EF37" i="1"/>
  <c r="EL37" i="1" s="1"/>
  <c r="O38" i="1"/>
  <c r="EF38" i="1"/>
  <c r="EL38" i="1" s="1"/>
  <c r="O39" i="1"/>
  <c r="P39" i="1" s="1"/>
  <c r="EF39" i="1"/>
  <c r="EM39" i="1" s="1"/>
  <c r="O40" i="1"/>
  <c r="P40" i="1" s="1"/>
  <c r="EF40" i="1"/>
  <c r="EM40" i="1" s="1"/>
  <c r="O41" i="1"/>
  <c r="X41" i="1" s="1"/>
  <c r="EF41" i="1"/>
  <c r="O42" i="1"/>
  <c r="V42" i="1" s="1"/>
  <c r="EF42" i="1"/>
  <c r="EM42" i="1" s="1"/>
  <c r="O43" i="1"/>
  <c r="EF43" i="1"/>
  <c r="EM43" i="1" s="1"/>
  <c r="O44" i="1"/>
  <c r="EF44" i="1"/>
  <c r="EM44" i="1" s="1"/>
  <c r="O45" i="1"/>
  <c r="V45" i="1" s="1"/>
  <c r="EF45" i="1"/>
  <c r="EM45" i="1" s="1"/>
  <c r="O46" i="1"/>
  <c r="T46" i="1" s="1"/>
  <c r="EF46" i="1"/>
  <c r="EM46" i="1" s="1"/>
  <c r="O47" i="1"/>
  <c r="EF47" i="1"/>
  <c r="EM47" i="1" s="1"/>
  <c r="O48" i="1"/>
  <c r="V48" i="1" s="1"/>
  <c r="EF48" i="1"/>
  <c r="O49" i="1"/>
  <c r="X49" i="1" s="1"/>
  <c r="EF49" i="1"/>
  <c r="EM49" i="1" s="1"/>
  <c r="O50" i="1"/>
  <c r="T50" i="1" s="1"/>
  <c r="EF50" i="1"/>
  <c r="EM50" i="1" s="1"/>
  <c r="O51" i="1"/>
  <c r="R52" i="35" s="1"/>
  <c r="EF51" i="1"/>
  <c r="EM51" i="1" s="1"/>
  <c r="O52" i="1"/>
  <c r="EF52" i="1"/>
  <c r="EM52" i="1" s="1"/>
  <c r="O53" i="1"/>
  <c r="EE53" i="1" s="1"/>
  <c r="EF53" i="1"/>
  <c r="EL53" i="1" s="1"/>
  <c r="O3" i="1"/>
  <c r="X3" i="1" s="1"/>
  <c r="ED3" i="1"/>
  <c r="EF3" i="1" s="1"/>
  <c r="O4" i="1"/>
  <c r="V4" i="1" s="1"/>
  <c r="ED4" i="1"/>
  <c r="EE4" i="1" s="1"/>
  <c r="O5" i="1"/>
  <c r="ED5" i="1"/>
  <c r="EE5" i="1" s="1"/>
  <c r="O6" i="1"/>
  <c r="ED6" i="1"/>
  <c r="EE6" i="1" s="1"/>
  <c r="O7" i="1"/>
  <c r="ED7" i="1"/>
  <c r="EF7" i="1" s="1"/>
  <c r="O8" i="1"/>
  <c r="X8" i="1" s="1"/>
  <c r="ED8" i="1"/>
  <c r="EF8" i="1" s="1"/>
  <c r="O9" i="1"/>
  <c r="X9" i="1" s="1"/>
  <c r="ED9" i="1"/>
  <c r="EF9" i="1" s="1"/>
  <c r="EM9" i="1" s="1"/>
  <c r="O10" i="1"/>
  <c r="V10" i="1" s="1"/>
  <c r="ED10" i="1"/>
  <c r="EF10" i="1" s="1"/>
  <c r="EL10" i="1" s="1"/>
  <c r="O11" i="1"/>
  <c r="V11" i="1" s="1"/>
  <c r="C10" i="41" s="1"/>
  <c r="ED11" i="1"/>
  <c r="EE11" i="1" s="1"/>
  <c r="O12" i="1"/>
  <c r="X12" i="1" s="1"/>
  <c r="ED12" i="1"/>
  <c r="EE12" i="1" s="1"/>
  <c r="O13" i="1"/>
  <c r="X13" i="1" s="1"/>
  <c r="ED13" i="1"/>
  <c r="EE13" i="1" s="1"/>
  <c r="O14" i="1"/>
  <c r="Q14" i="1" s="1"/>
  <c r="ED14" i="1"/>
  <c r="EF14" i="1" s="1"/>
  <c r="O15" i="1"/>
  <c r="P15" i="1" s="1"/>
  <c r="ED15" i="1"/>
  <c r="EE15" i="1" s="1"/>
  <c r="O16" i="1"/>
  <c r="X16" i="1" s="1"/>
  <c r="ED16" i="1"/>
  <c r="EF16" i="1" s="1"/>
  <c r="O17" i="1"/>
  <c r="X17" i="1" s="1"/>
  <c r="ED17" i="1"/>
  <c r="EF17" i="1" s="1"/>
  <c r="EM17" i="1" s="1"/>
  <c r="O18" i="1"/>
  <c r="X18" i="1" s="1"/>
  <c r="ED18" i="1"/>
  <c r="EF18" i="1" s="1"/>
  <c r="EM18" i="1" s="1"/>
  <c r="O19" i="1"/>
  <c r="X19" i="1" s="1"/>
  <c r="D18" i="41" s="1"/>
  <c r="ED19" i="1"/>
  <c r="EE19" i="1" s="1"/>
  <c r="O20" i="1"/>
  <c r="ED20" i="1"/>
  <c r="EF20" i="1" s="1"/>
  <c r="O21" i="1"/>
  <c r="ED21" i="1"/>
  <c r="EE21" i="1" s="1"/>
  <c r="O22" i="1"/>
  <c r="ED22" i="1"/>
  <c r="EF22" i="1" s="1"/>
  <c r="O23" i="1"/>
  <c r="Q23" i="1" s="1"/>
  <c r="ED23" i="1"/>
  <c r="EF23" i="1" s="1"/>
  <c r="O2" i="1"/>
  <c r="Q2" i="1" s="1"/>
  <c r="EO46" i="1"/>
  <c r="EN46" i="1"/>
  <c r="EO45" i="1"/>
  <c r="EN45" i="1"/>
  <c r="EO44" i="1"/>
  <c r="EN44" i="1"/>
  <c r="EO43" i="1"/>
  <c r="EN43" i="1"/>
  <c r="EO42" i="1"/>
  <c r="EN42" i="1"/>
  <c r="EO41" i="1"/>
  <c r="EN41" i="1"/>
  <c r="EO40" i="1"/>
  <c r="EN40" i="1"/>
  <c r="EO39" i="1"/>
  <c r="EN39" i="1"/>
  <c r="EO38" i="1"/>
  <c r="EN38" i="1"/>
  <c r="EO37" i="1"/>
  <c r="EN37" i="1"/>
  <c r="EO36" i="1"/>
  <c r="EN36" i="1"/>
  <c r="EO35" i="1"/>
  <c r="EN35" i="1"/>
  <c r="EO34" i="1"/>
  <c r="EN34" i="1"/>
  <c r="EO33" i="1"/>
  <c r="EN33" i="1"/>
  <c r="EO32" i="1"/>
  <c r="EN32" i="1"/>
  <c r="EO31" i="1"/>
  <c r="EN31" i="1"/>
  <c r="EO30" i="1"/>
  <c r="EN30" i="1"/>
  <c r="EO29" i="1"/>
  <c r="EN29" i="1"/>
  <c r="EO28" i="1"/>
  <c r="EN28" i="1"/>
  <c r="EO27" i="1"/>
  <c r="EN27" i="1"/>
  <c r="EO26" i="1"/>
  <c r="EN26" i="1"/>
  <c r="EO25" i="1"/>
  <c r="EN25" i="1"/>
  <c r="EO24" i="1"/>
  <c r="EN24" i="1"/>
  <c r="EO23" i="1"/>
  <c r="EN23" i="1"/>
  <c r="EO22" i="1"/>
  <c r="EN22" i="1"/>
  <c r="EO21" i="1"/>
  <c r="EN21" i="1"/>
  <c r="EO20" i="1"/>
  <c r="EN20" i="1"/>
  <c r="EO19" i="1"/>
  <c r="EN19" i="1"/>
  <c r="EO18" i="1"/>
  <c r="EN18" i="1"/>
  <c r="EO17" i="1"/>
  <c r="EN17" i="1"/>
  <c r="EO16" i="1"/>
  <c r="EN16" i="1"/>
  <c r="EO15" i="1"/>
  <c r="EN15" i="1"/>
  <c r="EO14" i="1"/>
  <c r="EN14" i="1"/>
  <c r="EO13" i="1"/>
  <c r="EN13" i="1"/>
  <c r="EO12" i="1"/>
  <c r="EN12" i="1"/>
  <c r="EO11" i="1"/>
  <c r="EN11" i="1"/>
  <c r="EO10" i="1"/>
  <c r="EN10" i="1"/>
  <c r="EO9" i="1"/>
  <c r="EN9" i="1"/>
  <c r="EO8" i="1"/>
  <c r="EN8" i="1"/>
  <c r="EO7" i="1"/>
  <c r="EN7" i="1"/>
  <c r="EO6" i="1"/>
  <c r="EN6" i="1"/>
  <c r="EO5" i="1"/>
  <c r="EN5" i="1"/>
  <c r="EO4" i="1"/>
  <c r="EN4" i="1"/>
  <c r="EO3" i="1"/>
  <c r="EN3" i="1"/>
  <c r="DK53" i="1"/>
  <c r="DL54" i="1" s="1"/>
  <c r="DK52" i="1"/>
  <c r="DK51" i="1"/>
  <c r="DK50" i="1"/>
  <c r="DK49" i="1"/>
  <c r="DK48" i="1"/>
  <c r="DK47" i="1"/>
  <c r="DK46" i="1"/>
  <c r="DK45" i="1"/>
  <c r="DK44" i="1"/>
  <c r="DK43" i="1"/>
  <c r="DK42" i="1"/>
  <c r="DK41" i="1"/>
  <c r="DK40" i="1"/>
  <c r="DK39" i="1"/>
  <c r="DK38" i="1"/>
  <c r="DK37" i="1"/>
  <c r="DK36" i="1"/>
  <c r="DK35" i="1"/>
  <c r="DK34" i="1"/>
  <c r="DK33" i="1"/>
  <c r="DK32" i="1"/>
  <c r="DK31" i="1"/>
  <c r="DK30" i="1"/>
  <c r="DK29" i="1"/>
  <c r="DK28" i="1"/>
  <c r="DK27" i="1"/>
  <c r="DK26" i="1"/>
  <c r="DK25" i="1"/>
  <c r="DK24" i="1"/>
  <c r="DK23" i="1"/>
  <c r="DK22" i="1"/>
  <c r="DK21" i="1"/>
  <c r="DK20" i="1"/>
  <c r="DK19" i="1"/>
  <c r="DK18" i="1"/>
  <c r="DK17" i="1"/>
  <c r="DK16" i="1"/>
  <c r="DK15" i="1"/>
  <c r="DK14" i="1"/>
  <c r="DK13" i="1"/>
  <c r="DK12" i="1"/>
  <c r="DK11" i="1"/>
  <c r="DK10" i="1"/>
  <c r="DK9" i="1"/>
  <c r="DK8" i="1"/>
  <c r="DK7" i="1"/>
  <c r="DK6" i="1"/>
  <c r="DK5" i="1"/>
  <c r="DL6" i="1" s="1"/>
  <c r="DK4" i="1"/>
  <c r="DK3" i="1"/>
  <c r="DL3" i="1" s="1"/>
  <c r="DI54" i="1"/>
  <c r="DI17" i="1"/>
  <c r="DG53" i="1"/>
  <c r="DG52" i="1"/>
  <c r="DG51" i="1"/>
  <c r="DG50" i="1"/>
  <c r="DG49" i="1"/>
  <c r="DG48" i="1"/>
  <c r="DG47" i="1"/>
  <c r="DG46" i="1"/>
  <c r="DG45" i="1"/>
  <c r="DG44" i="1"/>
  <c r="DG43" i="1"/>
  <c r="DG42" i="1"/>
  <c r="DG41" i="1"/>
  <c r="DG40" i="1"/>
  <c r="DG39" i="1"/>
  <c r="DG38" i="1"/>
  <c r="DG37" i="1"/>
  <c r="DG36" i="1"/>
  <c r="DG35" i="1"/>
  <c r="DG34" i="1"/>
  <c r="DG33" i="1"/>
  <c r="DG32" i="1"/>
  <c r="DG31" i="1"/>
  <c r="DG30" i="1"/>
  <c r="DG29" i="1"/>
  <c r="DG28" i="1"/>
  <c r="DG27" i="1"/>
  <c r="DG26" i="1"/>
  <c r="DG25" i="1"/>
  <c r="DG24" i="1"/>
  <c r="DG23" i="1"/>
  <c r="DG22" i="1"/>
  <c r="DG21" i="1"/>
  <c r="DG20" i="1"/>
  <c r="DG19" i="1"/>
  <c r="DG18" i="1"/>
  <c r="DG17" i="1"/>
  <c r="DG16" i="1"/>
  <c r="DG15" i="1"/>
  <c r="DG14" i="1"/>
  <c r="DG13" i="1"/>
  <c r="DG12" i="1"/>
  <c r="DG11" i="1"/>
  <c r="DG10" i="1"/>
  <c r="DG9" i="1"/>
  <c r="DG8" i="1"/>
  <c r="DG7" i="1"/>
  <c r="DG6" i="1"/>
  <c r="DG5" i="1"/>
  <c r="DG4" i="1"/>
  <c r="DG3" i="1"/>
  <c r="CQ3" i="1"/>
  <c r="CQ4" i="1"/>
  <c r="CQ5" i="1"/>
  <c r="CQ6" i="1"/>
  <c r="CQ7" i="1"/>
  <c r="CQ8" i="1"/>
  <c r="CQ9" i="1"/>
  <c r="CQ10" i="1"/>
  <c r="CQ11" i="1"/>
  <c r="CQ12" i="1"/>
  <c r="CQ13" i="1"/>
  <c r="CQ14" i="1"/>
  <c r="CQ15" i="1"/>
  <c r="CQ16" i="1"/>
  <c r="CQ17" i="1"/>
  <c r="CQ18" i="1"/>
  <c r="CQ19" i="1"/>
  <c r="CQ20"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AH53" i="1"/>
  <c r="AK52" i="1" s="1"/>
  <c r="AO52" i="1" s="1"/>
  <c r="D53" i="1"/>
  <c r="Z53" i="1"/>
  <c r="AD53" i="1" s="1"/>
  <c r="Z52" i="1"/>
  <c r="AD52" i="1" s="1"/>
  <c r="Z51" i="1"/>
  <c r="AD51" i="1" s="1"/>
  <c r="AE52" i="1" s="1"/>
  <c r="Z50" i="1"/>
  <c r="AB50" i="1" s="1"/>
  <c r="Z49" i="1"/>
  <c r="AB49" i="1" s="1"/>
  <c r="Z48" i="1"/>
  <c r="AB48" i="1" s="1"/>
  <c r="Z47" i="1"/>
  <c r="AB47" i="1" s="1"/>
  <c r="Z46" i="1"/>
  <c r="AD46" i="1" s="1"/>
  <c r="Z45" i="1"/>
  <c r="Z44" i="1"/>
  <c r="Z43" i="1"/>
  <c r="AD43" i="1" s="1"/>
  <c r="Z42" i="1"/>
  <c r="AD42" i="1" s="1"/>
  <c r="Z41" i="1"/>
  <c r="AD41" i="1" s="1"/>
  <c r="Z40" i="1"/>
  <c r="AD40" i="1" s="1"/>
  <c r="Z39" i="1"/>
  <c r="Z38" i="1"/>
  <c r="AD38" i="1" s="1"/>
  <c r="Z37" i="1"/>
  <c r="AD37" i="1" s="1"/>
  <c r="Z36" i="1"/>
  <c r="AD36" i="1" s="1"/>
  <c r="Z35" i="1"/>
  <c r="Z34" i="1"/>
  <c r="AB34" i="1" s="1"/>
  <c r="Z33" i="1"/>
  <c r="AD33" i="1" s="1"/>
  <c r="Z32" i="1"/>
  <c r="Z31" i="1"/>
  <c r="AD31" i="1" s="1"/>
  <c r="Z30" i="1"/>
  <c r="AD30" i="1" s="1"/>
  <c r="Z29" i="1"/>
  <c r="AD29" i="1" s="1"/>
  <c r="Z28" i="1"/>
  <c r="AB28" i="1" s="1"/>
  <c r="Z27" i="1"/>
  <c r="Z26" i="1"/>
  <c r="Z25" i="1"/>
  <c r="AB25" i="1" s="1"/>
  <c r="Z24" i="1"/>
  <c r="AB24" i="1" s="1"/>
  <c r="Z23" i="1"/>
  <c r="AD23" i="1" s="1"/>
  <c r="Z22" i="1"/>
  <c r="Z21" i="1"/>
  <c r="AD21" i="1" s="1"/>
  <c r="Z20" i="1"/>
  <c r="Z19" i="1"/>
  <c r="AB19" i="1" s="1"/>
  <c r="Z18" i="1"/>
  <c r="AD18" i="1" s="1"/>
  <c r="Z17" i="1"/>
  <c r="AD17" i="1" s="1"/>
  <c r="Z16" i="1"/>
  <c r="AD16" i="1" s="1"/>
  <c r="Z15" i="1"/>
  <c r="AB15" i="1" s="1"/>
  <c r="Z14" i="1"/>
  <c r="AD14" i="1" s="1"/>
  <c r="Z13" i="1"/>
  <c r="AD13" i="1" s="1"/>
  <c r="Z12" i="1"/>
  <c r="AD12" i="1" s="1"/>
  <c r="Z11" i="1"/>
  <c r="AD11" i="1" s="1"/>
  <c r="Z10" i="1"/>
  <c r="AB10" i="1" s="1"/>
  <c r="Z9" i="1"/>
  <c r="Z8" i="1"/>
  <c r="AD8" i="1" s="1"/>
  <c r="Z7" i="1"/>
  <c r="Z6" i="1"/>
  <c r="AD6" i="1" s="1"/>
  <c r="Z5" i="1"/>
  <c r="Z4" i="1"/>
  <c r="AD4" i="1" s="1"/>
  <c r="Z3" i="1"/>
  <c r="AD3" i="1" s="1"/>
  <c r="Z2" i="1"/>
  <c r="AD2" i="1" s="1"/>
  <c r="AB38" i="1"/>
  <c r="E14" i="69"/>
  <c r="E15" i="69"/>
  <c r="E16" i="69"/>
  <c r="E17" i="69"/>
  <c r="E18" i="69"/>
  <c r="E19" i="69"/>
  <c r="E20" i="69"/>
  <c r="E21" i="69"/>
  <c r="E22" i="69"/>
  <c r="E23" i="69"/>
  <c r="E24" i="69"/>
  <c r="E25" i="69"/>
  <c r="E26" i="69"/>
  <c r="E27" i="69"/>
  <c r="E28" i="69"/>
  <c r="E29" i="69"/>
  <c r="E30" i="69"/>
  <c r="E31" i="69"/>
  <c r="E32" i="69"/>
  <c r="E33" i="69"/>
  <c r="E34" i="69"/>
  <c r="E35" i="69"/>
  <c r="E36" i="69"/>
  <c r="E37" i="69"/>
  <c r="E38" i="69"/>
  <c r="E39" i="69"/>
  <c r="E40" i="69"/>
  <c r="E41" i="69"/>
  <c r="E42" i="69"/>
  <c r="E43" i="69"/>
  <c r="E44" i="69"/>
  <c r="E45" i="69"/>
  <c r="E46" i="69"/>
  <c r="E47" i="69"/>
  <c r="E48" i="69"/>
  <c r="E49" i="69"/>
  <c r="E50" i="69"/>
  <c r="E51" i="69"/>
  <c r="E52" i="69"/>
  <c r="E53" i="69"/>
  <c r="E54" i="69"/>
  <c r="E55" i="69"/>
  <c r="E56" i="69"/>
  <c r="E57" i="69"/>
  <c r="E58" i="69"/>
  <c r="E59" i="69"/>
  <c r="E60" i="69"/>
  <c r="E61" i="69"/>
  <c r="E62" i="69"/>
  <c r="E63" i="69"/>
  <c r="E64" i="69"/>
  <c r="E65" i="69"/>
  <c r="P52" i="41"/>
  <c r="O52" i="41"/>
  <c r="BC53" i="1"/>
  <c r="BF53" i="1" s="1"/>
  <c r="BC52" i="1"/>
  <c r="BF52" i="1" s="1"/>
  <c r="G52" i="41"/>
  <c r="P51" i="41"/>
  <c r="O51" i="41"/>
  <c r="BC51" i="1"/>
  <c r="BF51" i="1" s="1"/>
  <c r="G51" i="41"/>
  <c r="P50" i="41"/>
  <c r="O50" i="41"/>
  <c r="BC50" i="1"/>
  <c r="G50" i="41"/>
  <c r="P49" i="41"/>
  <c r="O49" i="41"/>
  <c r="BC49" i="1"/>
  <c r="BE49" i="1" s="1"/>
  <c r="G49" i="41"/>
  <c r="P48" i="41"/>
  <c r="O48" i="41"/>
  <c r="BC48" i="1"/>
  <c r="BF48" i="1" s="1"/>
  <c r="G48" i="41"/>
  <c r="I52" i="24"/>
  <c r="I53" i="24"/>
  <c r="E52" i="24"/>
  <c r="F52" i="24"/>
  <c r="E53" i="24"/>
  <c r="F53" i="24"/>
  <c r="E2" i="24"/>
  <c r="F2" i="24"/>
  <c r="I2" i="24"/>
  <c r="DP48" i="1"/>
  <c r="P56" i="40"/>
  <c r="Q56" i="40"/>
  <c r="P57" i="40"/>
  <c r="Q57" i="40"/>
  <c r="Z53" i="35"/>
  <c r="AA53" i="35"/>
  <c r="AB53" i="35"/>
  <c r="AC53" i="35"/>
  <c r="AD53" i="35"/>
  <c r="Z54" i="35"/>
  <c r="AA54" i="35"/>
  <c r="AB54" i="35"/>
  <c r="AC54" i="35"/>
  <c r="AD54" i="35"/>
  <c r="H54" i="35"/>
  <c r="I54" i="35"/>
  <c r="AN53" i="35"/>
  <c r="AN54" i="35"/>
  <c r="N54" i="35"/>
  <c r="M14" i="53"/>
  <c r="J53" i="35"/>
  <c r="N53" i="35" s="1"/>
  <c r="L14" i="53"/>
  <c r="H53" i="35" s="1"/>
  <c r="I14" i="53"/>
  <c r="N14" i="53" s="1"/>
  <c r="K53" i="35" s="1"/>
  <c r="K14" i="53"/>
  <c r="I53" i="35" s="1"/>
  <c r="F53" i="35"/>
  <c r="AE53" i="35" s="1"/>
  <c r="G53" i="35"/>
  <c r="F54" i="35"/>
  <c r="P54" i="35" s="1"/>
  <c r="G54" i="35"/>
  <c r="I63" i="62"/>
  <c r="H63" i="62"/>
  <c r="N63" i="62" s="1"/>
  <c r="I62" i="62"/>
  <c r="H62" i="62"/>
  <c r="N62" i="62" s="1"/>
  <c r="I61" i="62"/>
  <c r="H61" i="62"/>
  <c r="N61" i="62" s="1"/>
  <c r="I60" i="62"/>
  <c r="H60" i="62"/>
  <c r="N60" i="62" s="1"/>
  <c r="I59" i="62"/>
  <c r="H59" i="62"/>
  <c r="N59" i="62"/>
  <c r="I58" i="62"/>
  <c r="H58" i="62"/>
  <c r="N58" i="62" s="1"/>
  <c r="I57" i="62"/>
  <c r="H57" i="62"/>
  <c r="I56" i="62"/>
  <c r="H56" i="62"/>
  <c r="I55" i="62"/>
  <c r="H55" i="62"/>
  <c r="N55" i="62" s="1"/>
  <c r="I54" i="62"/>
  <c r="H54" i="62"/>
  <c r="I53" i="62"/>
  <c r="H53" i="62"/>
  <c r="N53" i="62" s="1"/>
  <c r="I52" i="62"/>
  <c r="H52" i="62"/>
  <c r="N52" i="62" s="1"/>
  <c r="I51" i="62"/>
  <c r="H51" i="62"/>
  <c r="N51" i="62" s="1"/>
  <c r="I50" i="62"/>
  <c r="H50" i="62"/>
  <c r="N50" i="62" s="1"/>
  <c r="I49" i="62"/>
  <c r="H49" i="62"/>
  <c r="N49" i="62" s="1"/>
  <c r="I48" i="62"/>
  <c r="H48" i="62"/>
  <c r="I47" i="62"/>
  <c r="H47" i="62"/>
  <c r="N47" i="62" s="1"/>
  <c r="I46" i="62"/>
  <c r="H46" i="62"/>
  <c r="N46" i="62"/>
  <c r="I45" i="62"/>
  <c r="H45" i="62"/>
  <c r="N45" i="62" s="1"/>
  <c r="I44" i="62"/>
  <c r="H44" i="62"/>
  <c r="N44" i="62" s="1"/>
  <c r="I43" i="62"/>
  <c r="H43" i="62"/>
  <c r="I42" i="62"/>
  <c r="H42" i="62"/>
  <c r="N42" i="62" s="1"/>
  <c r="I41" i="62"/>
  <c r="H41" i="62"/>
  <c r="I40" i="62"/>
  <c r="H40" i="62"/>
  <c r="I39" i="62"/>
  <c r="H39" i="62"/>
  <c r="I38" i="62"/>
  <c r="H38" i="62"/>
  <c r="I37" i="62"/>
  <c r="H37" i="62"/>
  <c r="I36" i="62"/>
  <c r="H36" i="62"/>
  <c r="I35" i="62"/>
  <c r="H35" i="62"/>
  <c r="I34" i="62"/>
  <c r="H34" i="62"/>
  <c r="I33" i="62"/>
  <c r="H33" i="62"/>
  <c r="I32" i="62"/>
  <c r="H32" i="62"/>
  <c r="I31" i="62"/>
  <c r="H31" i="62"/>
  <c r="N31" i="62" s="1"/>
  <c r="I30" i="62"/>
  <c r="H30" i="62"/>
  <c r="I29" i="62"/>
  <c r="H29" i="62"/>
  <c r="N29" i="62"/>
  <c r="I28" i="62"/>
  <c r="H28" i="62"/>
  <c r="I27" i="62"/>
  <c r="H27" i="62"/>
  <c r="N27" i="62" s="1"/>
  <c r="I26" i="62"/>
  <c r="N26" i="62" s="1"/>
  <c r="H26" i="62"/>
  <c r="I25" i="62"/>
  <c r="H25" i="62"/>
  <c r="I24" i="62"/>
  <c r="H24" i="62"/>
  <c r="I23" i="62"/>
  <c r="H23" i="62"/>
  <c r="N23" i="62" s="1"/>
  <c r="I22" i="62"/>
  <c r="H22" i="62"/>
  <c r="I21" i="62"/>
  <c r="H21" i="62"/>
  <c r="N21" i="62" s="1"/>
  <c r="I20" i="62"/>
  <c r="H20" i="62"/>
  <c r="I19" i="62"/>
  <c r="H19" i="62"/>
  <c r="N19" i="62" s="1"/>
  <c r="I18" i="62"/>
  <c r="H18" i="62"/>
  <c r="N18" i="62" s="1"/>
  <c r="I17" i="62"/>
  <c r="H17" i="62"/>
  <c r="N17" i="62" s="1"/>
  <c r="I16" i="62"/>
  <c r="H16" i="62"/>
  <c r="I15" i="62"/>
  <c r="H15" i="62"/>
  <c r="N15" i="62" s="1"/>
  <c r="I14" i="62"/>
  <c r="H14" i="62"/>
  <c r="N14" i="62" s="1"/>
  <c r="I13" i="62"/>
  <c r="H13" i="62"/>
  <c r="N13" i="62" s="1"/>
  <c r="I12" i="62"/>
  <c r="H12" i="62"/>
  <c r="N12" i="62" s="1"/>
  <c r="F62" i="62"/>
  <c r="G62" i="62"/>
  <c r="F63" i="62"/>
  <c r="G63" i="62" s="1"/>
  <c r="DA52" i="1"/>
  <c r="DA53" i="1"/>
  <c r="CY53" i="1"/>
  <c r="CY52" i="1"/>
  <c r="CU53" i="1"/>
  <c r="CU52" i="1"/>
  <c r="CU51" i="1"/>
  <c r="CU50" i="1"/>
  <c r="CU49" i="1"/>
  <c r="CU48" i="1"/>
  <c r="CU47" i="1"/>
  <c r="CU46" i="1"/>
  <c r="CU45" i="1"/>
  <c r="CU44" i="1"/>
  <c r="CU43" i="1"/>
  <c r="CU42" i="1"/>
  <c r="CU41" i="1"/>
  <c r="CU40" i="1"/>
  <c r="CU39" i="1"/>
  <c r="CU38" i="1"/>
  <c r="CU36" i="1"/>
  <c r="CU35" i="1"/>
  <c r="CU34" i="1"/>
  <c r="CU33" i="1"/>
  <c r="CU32" i="1"/>
  <c r="CU31" i="1"/>
  <c r="CU30" i="1"/>
  <c r="CU29" i="1"/>
  <c r="CU28" i="1"/>
  <c r="CU27" i="1"/>
  <c r="CU26" i="1"/>
  <c r="CU25" i="1"/>
  <c r="CU24" i="1"/>
  <c r="CU23" i="1"/>
  <c r="CU22" i="1"/>
  <c r="CU21" i="1"/>
  <c r="CU20" i="1"/>
  <c r="CU19" i="1"/>
  <c r="CU18" i="1"/>
  <c r="CU17" i="1"/>
  <c r="CU16" i="1"/>
  <c r="CU15" i="1"/>
  <c r="CU14" i="1"/>
  <c r="CU13" i="1"/>
  <c r="CU12" i="1"/>
  <c r="CU11" i="1"/>
  <c r="CU10" i="1"/>
  <c r="CU9" i="1"/>
  <c r="CU8" i="1"/>
  <c r="CU7" i="1"/>
  <c r="CU6" i="1"/>
  <c r="CU5" i="1"/>
  <c r="CU4" i="1"/>
  <c r="CU3" i="1"/>
  <c r="CS53" i="1"/>
  <c r="CS52" i="1"/>
  <c r="CS51" i="1"/>
  <c r="CS50" i="1"/>
  <c r="CS49" i="1"/>
  <c r="CS48" i="1"/>
  <c r="CS47" i="1"/>
  <c r="CS46" i="1"/>
  <c r="CS45" i="1"/>
  <c r="CS44" i="1"/>
  <c r="CS43" i="1"/>
  <c r="CS42" i="1"/>
  <c r="CS41" i="1"/>
  <c r="CS40" i="1"/>
  <c r="CS39" i="1"/>
  <c r="O14" i="63"/>
  <c r="O15" i="63"/>
  <c r="O16" i="63"/>
  <c r="P16" i="63" s="1"/>
  <c r="O17" i="63"/>
  <c r="P17" i="63" s="1"/>
  <c r="O18" i="63"/>
  <c r="O19" i="63"/>
  <c r="P19" i="63" s="1"/>
  <c r="O20" i="63"/>
  <c r="O21" i="63"/>
  <c r="P21" i="63"/>
  <c r="O22" i="63"/>
  <c r="P22" i="63" s="1"/>
  <c r="O23" i="63"/>
  <c r="P23" i="63" s="1"/>
  <c r="O24" i="63"/>
  <c r="P24" i="63" s="1"/>
  <c r="O25" i="63"/>
  <c r="O26" i="63"/>
  <c r="P26" i="63" s="1"/>
  <c r="O27" i="63"/>
  <c r="O28" i="63"/>
  <c r="P28" i="63" s="1"/>
  <c r="O29" i="63"/>
  <c r="O13" i="63"/>
  <c r="M14" i="63"/>
  <c r="N14" i="63" s="1"/>
  <c r="M15" i="63"/>
  <c r="M16" i="63"/>
  <c r="M17" i="63"/>
  <c r="M18" i="63"/>
  <c r="N18" i="63" s="1"/>
  <c r="M19" i="63"/>
  <c r="N19" i="63" s="1"/>
  <c r="M20" i="63"/>
  <c r="M21" i="63"/>
  <c r="N21" i="63" s="1"/>
  <c r="M22" i="63"/>
  <c r="M23" i="63"/>
  <c r="M24" i="63"/>
  <c r="N24" i="63" s="1"/>
  <c r="M25" i="63"/>
  <c r="M26" i="63"/>
  <c r="N26" i="63" s="1"/>
  <c r="M27" i="63"/>
  <c r="M28" i="63"/>
  <c r="N28" i="63" s="1"/>
  <c r="M29" i="63"/>
  <c r="M13" i="63"/>
  <c r="CN53" i="1"/>
  <c r="CN52" i="1"/>
  <c r="BW52" i="1"/>
  <c r="BW53" i="1"/>
  <c r="BU52" i="1"/>
  <c r="BU53" i="1"/>
  <c r="BS52" i="1"/>
  <c r="BS53" i="1"/>
  <c r="BH53" i="1"/>
  <c r="BH52" i="1"/>
  <c r="BP52" i="1"/>
  <c r="BQ52" i="1"/>
  <c r="BP53" i="1"/>
  <c r="BQ53" i="1"/>
  <c r="BK52" i="1"/>
  <c r="BL52" i="1"/>
  <c r="BK53" i="1"/>
  <c r="BL53" i="1"/>
  <c r="BJ53" i="1"/>
  <c r="BA3"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2" i="1"/>
  <c r="AV52" i="1"/>
  <c r="AW52" i="1"/>
  <c r="AW51" i="1"/>
  <c r="AY52" i="1"/>
  <c r="AY51" i="1"/>
  <c r="AV53" i="1"/>
  <c r="AW53" i="1"/>
  <c r="AY53" i="1"/>
  <c r="AT52" i="1"/>
  <c r="AT53" i="1"/>
  <c r="D52" i="1"/>
  <c r="AF52" i="1"/>
  <c r="AI51" i="1" s="1"/>
  <c r="AK51" i="1"/>
  <c r="AN51" i="1" s="1"/>
  <c r="AJ51" i="1"/>
  <c r="AM51" i="1" s="1"/>
  <c r="R52" i="1"/>
  <c r="S52" i="1"/>
  <c r="R53" i="1"/>
  <c r="S53" i="1"/>
  <c r="M52" i="1"/>
  <c r="M53" i="1"/>
  <c r="K53" i="1"/>
  <c r="F4" i="69"/>
  <c r="C13" i="69"/>
  <c r="D13" i="69" s="1"/>
  <c r="F13" i="69"/>
  <c r="C12" i="69"/>
  <c r="E12" i="69"/>
  <c r="F12" i="69"/>
  <c r="C5" i="69"/>
  <c r="C11" i="69"/>
  <c r="E11" i="69" s="1"/>
  <c r="F11" i="69"/>
  <c r="C10" i="69"/>
  <c r="D10" i="69" s="1"/>
  <c r="F10" i="69"/>
  <c r="C9" i="69"/>
  <c r="D9" i="69" s="1"/>
  <c r="C8" i="69"/>
  <c r="E8" i="69"/>
  <c r="C7" i="69"/>
  <c r="D7" i="69" s="1"/>
  <c r="C6" i="69"/>
  <c r="E6" i="69" s="1"/>
  <c r="F9" i="69"/>
  <c r="D11" i="69"/>
  <c r="F8" i="69"/>
  <c r="F7" i="69"/>
  <c r="F5" i="69"/>
  <c r="W51" i="26"/>
  <c r="V51" i="26"/>
  <c r="U51" i="26"/>
  <c r="W50" i="26"/>
  <c r="V50" i="26"/>
  <c r="U50" i="26"/>
  <c r="W49" i="26"/>
  <c r="V49" i="26"/>
  <c r="U49" i="26"/>
  <c r="W48" i="26"/>
  <c r="V48" i="26"/>
  <c r="U48" i="26"/>
  <c r="W47" i="26"/>
  <c r="V47" i="26"/>
  <c r="U47" i="26"/>
  <c r="W46" i="26"/>
  <c r="V46" i="26"/>
  <c r="U46" i="26"/>
  <c r="W45" i="26"/>
  <c r="V45" i="26"/>
  <c r="U45" i="26"/>
  <c r="W44" i="26"/>
  <c r="V44" i="26"/>
  <c r="U44" i="26"/>
  <c r="W43" i="26"/>
  <c r="V43" i="26"/>
  <c r="U43" i="26"/>
  <c r="W42" i="26"/>
  <c r="V42" i="26"/>
  <c r="U42" i="26"/>
  <c r="W41" i="26"/>
  <c r="V41" i="26"/>
  <c r="U41" i="26"/>
  <c r="W40" i="26"/>
  <c r="V40" i="26"/>
  <c r="U40" i="26"/>
  <c r="W39" i="26"/>
  <c r="V39" i="26"/>
  <c r="U39" i="26"/>
  <c r="W38" i="26"/>
  <c r="V38" i="26"/>
  <c r="U38" i="26"/>
  <c r="W37" i="26"/>
  <c r="V37" i="26"/>
  <c r="U37" i="26"/>
  <c r="W36" i="26"/>
  <c r="V36" i="26"/>
  <c r="U36" i="26"/>
  <c r="W35" i="26"/>
  <c r="V35" i="26"/>
  <c r="U35" i="26"/>
  <c r="W34" i="26"/>
  <c r="V34" i="26"/>
  <c r="U34" i="26"/>
  <c r="W33" i="26"/>
  <c r="V33" i="26"/>
  <c r="U33" i="26"/>
  <c r="W32" i="26"/>
  <c r="V32" i="26"/>
  <c r="U32" i="26"/>
  <c r="W31" i="26"/>
  <c r="V31" i="26"/>
  <c r="U31" i="26"/>
  <c r="W30" i="26"/>
  <c r="V30" i="26"/>
  <c r="U30" i="26"/>
  <c r="W29" i="26"/>
  <c r="V29" i="26"/>
  <c r="U29" i="26"/>
  <c r="W28" i="26"/>
  <c r="V28" i="26"/>
  <c r="U28" i="26"/>
  <c r="W27" i="26"/>
  <c r="V27" i="26"/>
  <c r="U27" i="26"/>
  <c r="W26" i="26"/>
  <c r="V26" i="26"/>
  <c r="U26" i="26"/>
  <c r="W25" i="26"/>
  <c r="V25" i="26"/>
  <c r="U25" i="26"/>
  <c r="W24" i="26"/>
  <c r="V24" i="26"/>
  <c r="U24" i="26"/>
  <c r="W23" i="26"/>
  <c r="V23" i="26"/>
  <c r="U23" i="26"/>
  <c r="W22" i="26"/>
  <c r="V22" i="26"/>
  <c r="U22" i="26"/>
  <c r="W21" i="26"/>
  <c r="V21" i="26"/>
  <c r="U21" i="26"/>
  <c r="W20" i="26"/>
  <c r="V20" i="26"/>
  <c r="U20" i="26"/>
  <c r="W19" i="26"/>
  <c r="V19" i="26"/>
  <c r="U19" i="26"/>
  <c r="W18" i="26"/>
  <c r="V18" i="26"/>
  <c r="U18" i="26"/>
  <c r="W17" i="26"/>
  <c r="V17" i="26"/>
  <c r="U17" i="26"/>
  <c r="W16" i="26"/>
  <c r="V16" i="26"/>
  <c r="U16" i="26"/>
  <c r="W15" i="26"/>
  <c r="V15" i="26"/>
  <c r="U15" i="26"/>
  <c r="W14" i="26"/>
  <c r="V14" i="26"/>
  <c r="U14" i="26"/>
  <c r="W13" i="26"/>
  <c r="V13" i="26"/>
  <c r="U13" i="26"/>
  <c r="W12" i="26"/>
  <c r="V12" i="26"/>
  <c r="U12" i="26"/>
  <c r="W11" i="26"/>
  <c r="V11" i="26"/>
  <c r="U11" i="26"/>
  <c r="W10" i="26"/>
  <c r="V10" i="26"/>
  <c r="U10" i="26"/>
  <c r="W9" i="26"/>
  <c r="V9" i="26"/>
  <c r="U9" i="26"/>
  <c r="W8" i="26"/>
  <c r="V8" i="26"/>
  <c r="U8" i="26"/>
  <c r="W7" i="26"/>
  <c r="V7" i="26"/>
  <c r="U7" i="26"/>
  <c r="W6" i="26"/>
  <c r="V6" i="26"/>
  <c r="U6" i="26"/>
  <c r="W5" i="26"/>
  <c r="V5" i="26"/>
  <c r="U5" i="26"/>
  <c r="W4" i="26"/>
  <c r="V4" i="26"/>
  <c r="U4" i="26"/>
  <c r="W3" i="26"/>
  <c r="V3" i="26"/>
  <c r="U3" i="26"/>
  <c r="V2" i="26"/>
  <c r="W2" i="26"/>
  <c r="U2" i="26"/>
  <c r="X49" i="26"/>
  <c r="X50" i="26"/>
  <c r="X51" i="26"/>
  <c r="L48" i="26"/>
  <c r="N48" i="26" s="1"/>
  <c r="M48" i="26"/>
  <c r="O48" i="26"/>
  <c r="P48" i="26"/>
  <c r="L49" i="26"/>
  <c r="N49" i="26" s="1"/>
  <c r="M49" i="26"/>
  <c r="O49" i="26" s="1"/>
  <c r="P49" i="26"/>
  <c r="L50" i="26"/>
  <c r="N50" i="26" s="1"/>
  <c r="M50" i="26"/>
  <c r="O50" i="26" s="1"/>
  <c r="P50" i="26"/>
  <c r="L51" i="26"/>
  <c r="N51" i="26" s="1"/>
  <c r="M51" i="26"/>
  <c r="O51" i="26" s="1"/>
  <c r="P51" i="26"/>
  <c r="I51" i="24"/>
  <c r="I50" i="24"/>
  <c r="I49" i="24"/>
  <c r="I48" i="24"/>
  <c r="I47" i="24"/>
  <c r="I46" i="24"/>
  <c r="I45" i="24"/>
  <c r="I44" i="24"/>
  <c r="I43" i="24"/>
  <c r="I42" i="24"/>
  <c r="I41" i="24"/>
  <c r="I40" i="24"/>
  <c r="I39" i="24"/>
  <c r="I38" i="24"/>
  <c r="I37" i="24"/>
  <c r="I36" i="24"/>
  <c r="I35" i="24"/>
  <c r="I34" i="24"/>
  <c r="I33" i="24"/>
  <c r="I32" i="24"/>
  <c r="I31" i="24"/>
  <c r="I30" i="24"/>
  <c r="I29" i="24"/>
  <c r="I28" i="24"/>
  <c r="I27" i="24"/>
  <c r="I26" i="24"/>
  <c r="I25" i="24"/>
  <c r="I24" i="24"/>
  <c r="I23" i="24"/>
  <c r="I22" i="24"/>
  <c r="I21" i="24"/>
  <c r="I20" i="24"/>
  <c r="I19" i="24"/>
  <c r="I18" i="24"/>
  <c r="I17" i="24"/>
  <c r="I16" i="24"/>
  <c r="I15" i="24"/>
  <c r="I14" i="24"/>
  <c r="I13" i="24"/>
  <c r="I12" i="24"/>
  <c r="I11" i="24"/>
  <c r="I10" i="24"/>
  <c r="I9" i="24"/>
  <c r="I8" i="24"/>
  <c r="I7" i="24"/>
  <c r="I6" i="24"/>
  <c r="I5" i="24"/>
  <c r="I4" i="24"/>
  <c r="I3" i="24"/>
  <c r="E48" i="24"/>
  <c r="F48" i="24"/>
  <c r="E49" i="24"/>
  <c r="F49" i="24"/>
  <c r="E50" i="24"/>
  <c r="F50" i="24"/>
  <c r="E51" i="24"/>
  <c r="F51" i="24"/>
  <c r="E51" i="55"/>
  <c r="I51" i="55" s="1"/>
  <c r="E58" i="55"/>
  <c r="I58" i="55" s="1"/>
  <c r="E61" i="55"/>
  <c r="I61" i="55" s="1"/>
  <c r="E66" i="55"/>
  <c r="I66" i="55" s="1"/>
  <c r="E70" i="55"/>
  <c r="I70" i="55" s="1"/>
  <c r="E5" i="55"/>
  <c r="E4" i="55" s="1"/>
  <c r="I4" i="55" s="1"/>
  <c r="I74" i="55"/>
  <c r="I73" i="55"/>
  <c r="I72" i="55"/>
  <c r="I71" i="55"/>
  <c r="I69" i="55"/>
  <c r="I68" i="55"/>
  <c r="I67" i="55"/>
  <c r="I65" i="55"/>
  <c r="I64" i="55"/>
  <c r="I63" i="55"/>
  <c r="I62" i="55"/>
  <c r="I60" i="55"/>
  <c r="I59" i="55"/>
  <c r="I57" i="55"/>
  <c r="I56" i="55"/>
  <c r="I55" i="55"/>
  <c r="I54" i="55"/>
  <c r="I53" i="55"/>
  <c r="I52" i="55"/>
  <c r="I50" i="55"/>
  <c r="I49" i="55"/>
  <c r="I48" i="55"/>
  <c r="I47" i="55"/>
  <c r="I46" i="55"/>
  <c r="I45" i="55"/>
  <c r="I44" i="55"/>
  <c r="I43" i="55"/>
  <c r="I42" i="55"/>
  <c r="I41" i="55"/>
  <c r="I40" i="55"/>
  <c r="I39" i="55"/>
  <c r="I38" i="55"/>
  <c r="I37" i="55"/>
  <c r="I36" i="55"/>
  <c r="I35" i="55"/>
  <c r="I34" i="55"/>
  <c r="I33" i="55"/>
  <c r="I32" i="55"/>
  <c r="I31" i="55"/>
  <c r="I30" i="55"/>
  <c r="I29" i="55"/>
  <c r="I28" i="55"/>
  <c r="I27" i="55"/>
  <c r="I26" i="55"/>
  <c r="I25" i="55"/>
  <c r="I24" i="55"/>
  <c r="I23" i="55"/>
  <c r="I22" i="55"/>
  <c r="I21" i="55"/>
  <c r="I20" i="55"/>
  <c r="I19" i="55"/>
  <c r="I18" i="55"/>
  <c r="I17" i="55"/>
  <c r="I16" i="55"/>
  <c r="I15" i="55"/>
  <c r="I14" i="55"/>
  <c r="I13" i="55"/>
  <c r="I12" i="55"/>
  <c r="I11" i="55"/>
  <c r="I10" i="55"/>
  <c r="I78" i="55"/>
  <c r="I9" i="55"/>
  <c r="I79" i="55" s="1"/>
  <c r="I8" i="55"/>
  <c r="I7" i="55"/>
  <c r="I6" i="55"/>
  <c r="I5" i="55"/>
  <c r="I77" i="55" s="1"/>
  <c r="H74" i="55"/>
  <c r="G74" i="55"/>
  <c r="H73" i="55"/>
  <c r="G73" i="55"/>
  <c r="H72" i="55"/>
  <c r="G72" i="55"/>
  <c r="H71" i="55"/>
  <c r="G71" i="55"/>
  <c r="H70" i="55"/>
  <c r="G70" i="55"/>
  <c r="H69" i="55"/>
  <c r="G69" i="55"/>
  <c r="H68" i="55"/>
  <c r="G68" i="55"/>
  <c r="H67" i="55"/>
  <c r="G67" i="55"/>
  <c r="H66" i="55"/>
  <c r="G66" i="55"/>
  <c r="H65" i="55"/>
  <c r="G65" i="55"/>
  <c r="H64" i="55"/>
  <c r="G64" i="55"/>
  <c r="H63" i="55"/>
  <c r="G63" i="55"/>
  <c r="H62" i="55"/>
  <c r="G62" i="55"/>
  <c r="H61" i="55"/>
  <c r="G61" i="55"/>
  <c r="H60" i="55"/>
  <c r="G60" i="55"/>
  <c r="H59" i="55"/>
  <c r="G59" i="55"/>
  <c r="H58" i="55"/>
  <c r="G58" i="55"/>
  <c r="H57" i="55"/>
  <c r="G57" i="55"/>
  <c r="H56" i="55"/>
  <c r="G56" i="55"/>
  <c r="H55" i="55"/>
  <c r="G55" i="55"/>
  <c r="H54" i="55"/>
  <c r="G54" i="55"/>
  <c r="H53" i="55"/>
  <c r="G53" i="55"/>
  <c r="H52" i="55"/>
  <c r="G52" i="55"/>
  <c r="H51" i="55"/>
  <c r="G51" i="55"/>
  <c r="H50" i="55"/>
  <c r="G50" i="55"/>
  <c r="H49" i="55"/>
  <c r="G49" i="55"/>
  <c r="H48" i="55"/>
  <c r="G48" i="55"/>
  <c r="H47" i="55"/>
  <c r="G47" i="55"/>
  <c r="H46" i="55"/>
  <c r="G46" i="55"/>
  <c r="H45" i="55"/>
  <c r="G45" i="55"/>
  <c r="H44" i="55"/>
  <c r="G44" i="55"/>
  <c r="H43" i="55"/>
  <c r="G43" i="55"/>
  <c r="H42" i="55"/>
  <c r="G42" i="55"/>
  <c r="H41" i="55"/>
  <c r="G41" i="55"/>
  <c r="H40" i="55"/>
  <c r="G40" i="55"/>
  <c r="H39" i="55"/>
  <c r="G39" i="55"/>
  <c r="H38" i="55"/>
  <c r="G38" i="55"/>
  <c r="H37" i="55"/>
  <c r="G37" i="55"/>
  <c r="H36" i="55"/>
  <c r="G36" i="55"/>
  <c r="H35" i="55"/>
  <c r="G35" i="55"/>
  <c r="H34" i="55"/>
  <c r="G34" i="55"/>
  <c r="H33" i="55"/>
  <c r="G33" i="55"/>
  <c r="H32" i="55"/>
  <c r="G32" i="55"/>
  <c r="H31" i="55"/>
  <c r="G31" i="55"/>
  <c r="H30" i="55"/>
  <c r="G30" i="55"/>
  <c r="H29" i="55"/>
  <c r="G29" i="55"/>
  <c r="H28" i="55"/>
  <c r="G28" i="55"/>
  <c r="H27" i="55"/>
  <c r="G27" i="55"/>
  <c r="H26" i="55"/>
  <c r="G26" i="55"/>
  <c r="H25" i="55"/>
  <c r="G25" i="55"/>
  <c r="H24" i="55"/>
  <c r="G24" i="55"/>
  <c r="H23" i="55"/>
  <c r="G23" i="55"/>
  <c r="H22" i="55"/>
  <c r="G22" i="55"/>
  <c r="H21" i="55"/>
  <c r="G21" i="55"/>
  <c r="H20" i="55"/>
  <c r="G20" i="55"/>
  <c r="H19" i="55"/>
  <c r="G19" i="55"/>
  <c r="H18" i="55"/>
  <c r="G18" i="55"/>
  <c r="H17" i="55"/>
  <c r="G17" i="55"/>
  <c r="H16" i="55"/>
  <c r="G16" i="55"/>
  <c r="H15" i="55"/>
  <c r="G15" i="55"/>
  <c r="H14" i="55"/>
  <c r="G14" i="55"/>
  <c r="H13" i="55"/>
  <c r="G13" i="55"/>
  <c r="H12" i="55"/>
  <c r="G12" i="55"/>
  <c r="H11" i="55"/>
  <c r="G11" i="55"/>
  <c r="H10" i="55"/>
  <c r="H78" i="55" s="1"/>
  <c r="G10" i="55"/>
  <c r="G78" i="55" s="1"/>
  <c r="H9" i="55"/>
  <c r="H79" i="55" s="1"/>
  <c r="G9" i="55"/>
  <c r="G79" i="55" s="1"/>
  <c r="H8" i="55"/>
  <c r="G8" i="55"/>
  <c r="H7" i="55"/>
  <c r="G7" i="55"/>
  <c r="H6" i="55"/>
  <c r="G6" i="55"/>
  <c r="H5" i="55"/>
  <c r="H77" i="55" s="1"/>
  <c r="G5" i="55"/>
  <c r="G77" i="55"/>
  <c r="H4" i="55"/>
  <c r="G4" i="55"/>
  <c r="Q55" i="40"/>
  <c r="P55" i="40"/>
  <c r="Q54" i="40"/>
  <c r="P54" i="40"/>
  <c r="Q53" i="40"/>
  <c r="P53" i="40"/>
  <c r="O53" i="40"/>
  <c r="Q52" i="40"/>
  <c r="P52" i="40"/>
  <c r="O52" i="40"/>
  <c r="Q51" i="40"/>
  <c r="P51" i="40"/>
  <c r="O51" i="40"/>
  <c r="Q50" i="40"/>
  <c r="P50" i="40"/>
  <c r="O50" i="40"/>
  <c r="Q49" i="40"/>
  <c r="P49" i="40"/>
  <c r="O49" i="40"/>
  <c r="Q48" i="40"/>
  <c r="P48" i="40"/>
  <c r="O48" i="40"/>
  <c r="Q47" i="40"/>
  <c r="P47" i="40"/>
  <c r="O47" i="40"/>
  <c r="Q46" i="40"/>
  <c r="P46" i="40"/>
  <c r="O46" i="40"/>
  <c r="Q45" i="40"/>
  <c r="P45" i="40"/>
  <c r="O45" i="40"/>
  <c r="Q44" i="40"/>
  <c r="P44" i="40"/>
  <c r="O44" i="40"/>
  <c r="Q43" i="40"/>
  <c r="P43" i="40"/>
  <c r="O43" i="40"/>
  <c r="Q42" i="40"/>
  <c r="P42" i="40"/>
  <c r="O42" i="40"/>
  <c r="Q41" i="40"/>
  <c r="P41" i="40"/>
  <c r="O41" i="40"/>
  <c r="Q40" i="40"/>
  <c r="P40" i="40"/>
  <c r="O40" i="40"/>
  <c r="Q39" i="40"/>
  <c r="P39" i="40"/>
  <c r="O39" i="40"/>
  <c r="Q38" i="40"/>
  <c r="P38" i="40"/>
  <c r="O38" i="40"/>
  <c r="Q37" i="40"/>
  <c r="P37" i="40"/>
  <c r="O37" i="40"/>
  <c r="Q36" i="40"/>
  <c r="P36" i="40"/>
  <c r="O36" i="40"/>
  <c r="Q35" i="40"/>
  <c r="P35" i="40"/>
  <c r="O35" i="40"/>
  <c r="Q34" i="40"/>
  <c r="O34" i="40"/>
  <c r="Q33" i="40"/>
  <c r="O33" i="40"/>
  <c r="Q32" i="40"/>
  <c r="O32" i="40"/>
  <c r="Q31" i="40"/>
  <c r="O31" i="40"/>
  <c r="Q30" i="40"/>
  <c r="O30" i="40"/>
  <c r="Q29" i="40"/>
  <c r="O29" i="40"/>
  <c r="Q28" i="40"/>
  <c r="O28" i="40"/>
  <c r="Q27" i="40"/>
  <c r="O27" i="40"/>
  <c r="Q26" i="40"/>
  <c r="O26" i="40"/>
  <c r="Q25" i="40"/>
  <c r="O25" i="40"/>
  <c r="Q24" i="40"/>
  <c r="O24" i="40"/>
  <c r="Q23" i="40"/>
  <c r="O23" i="40"/>
  <c r="Q22" i="40"/>
  <c r="O22" i="40"/>
  <c r="Q21" i="40"/>
  <c r="O21" i="40"/>
  <c r="Q20" i="40"/>
  <c r="O20" i="40"/>
  <c r="Q19" i="40"/>
  <c r="O19" i="40"/>
  <c r="Q18" i="40"/>
  <c r="O18" i="40"/>
  <c r="Q17" i="40"/>
  <c r="O17" i="40"/>
  <c r="Q16" i="40"/>
  <c r="O16" i="40"/>
  <c r="Q15" i="40"/>
  <c r="O15" i="40"/>
  <c r="Q14" i="40"/>
  <c r="O14" i="40"/>
  <c r="Q13" i="40"/>
  <c r="O13" i="40"/>
  <c r="Q12" i="40"/>
  <c r="O12" i="40"/>
  <c r="Q11" i="40"/>
  <c r="O11" i="40"/>
  <c r="Q10" i="40"/>
  <c r="O10" i="40"/>
  <c r="Q9" i="40"/>
  <c r="O9" i="40"/>
  <c r="Q8" i="40"/>
  <c r="O8" i="40"/>
  <c r="Q7" i="40"/>
  <c r="O7" i="40"/>
  <c r="Q6" i="40"/>
  <c r="O6" i="40"/>
  <c r="AN50" i="1"/>
  <c r="AQ50" i="1" s="1"/>
  <c r="AN49" i="1"/>
  <c r="AN48" i="1"/>
  <c r="AN47" i="1"/>
  <c r="AP47" i="1" s="1"/>
  <c r="AN46" i="1"/>
  <c r="AQ46" i="1" s="1"/>
  <c r="AH45" i="1"/>
  <c r="AN45" i="1" s="1"/>
  <c r="AP45" i="1" s="1"/>
  <c r="AH44" i="1"/>
  <c r="AN44" i="1" s="1"/>
  <c r="AP44" i="1" s="1"/>
  <c r="AH43" i="1"/>
  <c r="AN43" i="1" s="1"/>
  <c r="AP43" i="1" s="1"/>
  <c r="AH42" i="1"/>
  <c r="AN42" i="1" s="1"/>
  <c r="AH41" i="1"/>
  <c r="AN41" i="1" s="1"/>
  <c r="AP41" i="1" s="1"/>
  <c r="AH40" i="1"/>
  <c r="AN40" i="1" s="1"/>
  <c r="AP40" i="1" s="1"/>
  <c r="AH39" i="1"/>
  <c r="AN39" i="1" s="1"/>
  <c r="AQ39" i="1" s="1"/>
  <c r="AH38" i="1"/>
  <c r="AN38" i="1" s="1"/>
  <c r="AH37" i="1"/>
  <c r="AN37" i="1" s="1"/>
  <c r="AH36" i="1"/>
  <c r="AN36" i="1" s="1"/>
  <c r="AH35" i="1"/>
  <c r="AN35" i="1" s="1"/>
  <c r="AQ35" i="1" s="1"/>
  <c r="AH34" i="1"/>
  <c r="AN34" i="1" s="1"/>
  <c r="AP34" i="1" s="1"/>
  <c r="AH33" i="1"/>
  <c r="AN33" i="1" s="1"/>
  <c r="AP33" i="1" s="1"/>
  <c r="AH32" i="1"/>
  <c r="AN32" i="1" s="1"/>
  <c r="AP32" i="1" s="1"/>
  <c r="AH31" i="1"/>
  <c r="AN31" i="1" s="1"/>
  <c r="AP31" i="1" s="1"/>
  <c r="AH30" i="1"/>
  <c r="AN30" i="1" s="1"/>
  <c r="AP30" i="1" s="1"/>
  <c r="AH29" i="1"/>
  <c r="AN29" i="1" s="1"/>
  <c r="AH28" i="1"/>
  <c r="AN28" i="1" s="1"/>
  <c r="AH27" i="1"/>
  <c r="AN27" i="1" s="1"/>
  <c r="AQ27" i="1" s="1"/>
  <c r="AH26" i="1"/>
  <c r="AN26" i="1" s="1"/>
  <c r="AQ26" i="1" s="1"/>
  <c r="AH25" i="1"/>
  <c r="AN25" i="1" s="1"/>
  <c r="AQ25" i="1" s="1"/>
  <c r="AH24" i="1"/>
  <c r="AN24" i="1" s="1"/>
  <c r="AH23" i="1"/>
  <c r="AN23" i="1" s="1"/>
  <c r="AQ23" i="1" s="1"/>
  <c r="AH22" i="1"/>
  <c r="AN22" i="1" s="1"/>
  <c r="AQ22" i="1" s="1"/>
  <c r="AH21" i="1"/>
  <c r="AN21" i="1" s="1"/>
  <c r="AH20" i="1"/>
  <c r="AN20" i="1" s="1"/>
  <c r="AQ20" i="1" s="1"/>
  <c r="AH19" i="1"/>
  <c r="AN19" i="1" s="1"/>
  <c r="AQ19" i="1" s="1"/>
  <c r="AH18" i="1"/>
  <c r="AN18" i="1" s="1"/>
  <c r="AQ18" i="1" s="1"/>
  <c r="AH17" i="1"/>
  <c r="AN17" i="1" s="1"/>
  <c r="AH16" i="1"/>
  <c r="AN16" i="1" s="1"/>
  <c r="AH15" i="1"/>
  <c r="AN15" i="1" s="1"/>
  <c r="AH14" i="1"/>
  <c r="AN14" i="1" s="1"/>
  <c r="AH13" i="1"/>
  <c r="AN13" i="1" s="1"/>
  <c r="AP13" i="1" s="1"/>
  <c r="AH12" i="1"/>
  <c r="AN12" i="1" s="1"/>
  <c r="AQ12" i="1" s="1"/>
  <c r="AH11" i="1"/>
  <c r="AN11" i="1" s="1"/>
  <c r="AH10" i="1"/>
  <c r="AN10" i="1" s="1"/>
  <c r="AQ10" i="1" s="1"/>
  <c r="AH9" i="1"/>
  <c r="AN9" i="1" s="1"/>
  <c r="AP9" i="1" s="1"/>
  <c r="AH8" i="1"/>
  <c r="AN8" i="1" s="1"/>
  <c r="AQ8" i="1" s="1"/>
  <c r="AH7" i="1"/>
  <c r="AN7" i="1" s="1"/>
  <c r="AH6" i="1"/>
  <c r="AN6" i="1" s="1"/>
  <c r="AH5" i="1"/>
  <c r="AN5" i="1" s="1"/>
  <c r="AQ5" i="1" s="1"/>
  <c r="AH4" i="1"/>
  <c r="AN4" i="1" s="1"/>
  <c r="AH3" i="1"/>
  <c r="AN3" i="1" s="1"/>
  <c r="AP3" i="1" s="1"/>
  <c r="AH2" i="1"/>
  <c r="AN2" i="1" s="1"/>
  <c r="Z51" i="35"/>
  <c r="AA51" i="35"/>
  <c r="AB51" i="35"/>
  <c r="AC51" i="35"/>
  <c r="AD51" i="35"/>
  <c r="Z52" i="35"/>
  <c r="AA52" i="35"/>
  <c r="AB52" i="35"/>
  <c r="AC52" i="35"/>
  <c r="AD52" i="35"/>
  <c r="M13" i="53"/>
  <c r="J52" i="35" s="1"/>
  <c r="N52" i="35" s="1"/>
  <c r="L13" i="53"/>
  <c r="H52" i="35" s="1"/>
  <c r="M12" i="53"/>
  <c r="J51" i="35" s="1"/>
  <c r="N51" i="35" s="1"/>
  <c r="L12" i="53"/>
  <c r="N12" i="53" s="1"/>
  <c r="K51" i="35" s="1"/>
  <c r="AN52" i="35"/>
  <c r="AN51" i="35"/>
  <c r="AN50" i="35"/>
  <c r="AN49" i="35"/>
  <c r="AN48" i="35"/>
  <c r="AN47" i="35"/>
  <c r="AN46" i="35"/>
  <c r="AN45" i="35"/>
  <c r="AN44" i="35"/>
  <c r="AN43" i="35"/>
  <c r="AN42" i="35"/>
  <c r="AN41" i="35"/>
  <c r="AN40" i="35"/>
  <c r="AN39" i="35"/>
  <c r="AN38" i="35"/>
  <c r="AN37" i="35"/>
  <c r="AN36" i="35"/>
  <c r="AN35" i="35"/>
  <c r="AN34" i="35"/>
  <c r="AN33" i="35"/>
  <c r="AN32" i="35"/>
  <c r="AN31" i="35"/>
  <c r="AN30" i="35"/>
  <c r="AN29" i="35"/>
  <c r="AN28" i="35"/>
  <c r="AN27" i="35"/>
  <c r="AN26" i="35"/>
  <c r="AN25" i="35"/>
  <c r="AN24" i="35"/>
  <c r="AN23" i="35"/>
  <c r="AN22" i="35"/>
  <c r="AN21" i="35"/>
  <c r="AN20" i="35"/>
  <c r="AN19" i="35"/>
  <c r="AN18" i="35"/>
  <c r="AN17" i="35"/>
  <c r="AN16" i="35"/>
  <c r="AN15" i="35"/>
  <c r="AN14" i="35"/>
  <c r="AN13" i="35"/>
  <c r="AN12" i="35"/>
  <c r="AN11" i="35"/>
  <c r="AN10" i="35"/>
  <c r="AN9" i="35"/>
  <c r="AN8" i="35"/>
  <c r="AN7" i="35"/>
  <c r="AN6" i="35"/>
  <c r="AN5" i="35"/>
  <c r="AN4" i="35"/>
  <c r="AN3" i="35"/>
  <c r="F51" i="35"/>
  <c r="AE51" i="35" s="1"/>
  <c r="AF51" i="35" s="1"/>
  <c r="AL51" i="35" s="1"/>
  <c r="F52" i="35"/>
  <c r="AE52" i="35" s="1"/>
  <c r="AF52" i="35" s="1"/>
  <c r="G51" i="35"/>
  <c r="G52" i="35"/>
  <c r="K13" i="53"/>
  <c r="I52" i="35" s="1"/>
  <c r="K12" i="53"/>
  <c r="I51" i="35" s="1"/>
  <c r="P47" i="41"/>
  <c r="P46" i="41"/>
  <c r="P45" i="41"/>
  <c r="P44" i="41"/>
  <c r="P43" i="41"/>
  <c r="P42" i="41"/>
  <c r="P41" i="41"/>
  <c r="P40" i="41"/>
  <c r="P39" i="41"/>
  <c r="P38" i="41"/>
  <c r="P37" i="41"/>
  <c r="P36" i="41"/>
  <c r="P35" i="41"/>
  <c r="P34" i="41"/>
  <c r="P33" i="41"/>
  <c r="P32" i="41"/>
  <c r="P31" i="41"/>
  <c r="P30" i="41"/>
  <c r="P29" i="41"/>
  <c r="P28" i="41"/>
  <c r="P27" i="41"/>
  <c r="P26" i="41"/>
  <c r="P25" i="41"/>
  <c r="P24" i="41"/>
  <c r="P23" i="41"/>
  <c r="P22" i="41"/>
  <c r="P21" i="41"/>
  <c r="P20" i="41"/>
  <c r="P19" i="41"/>
  <c r="P18" i="41"/>
  <c r="P17" i="41"/>
  <c r="P16" i="41"/>
  <c r="P15" i="41"/>
  <c r="P14" i="41"/>
  <c r="P13" i="41"/>
  <c r="P12" i="41"/>
  <c r="P11" i="41"/>
  <c r="P10" i="41"/>
  <c r="P9" i="41"/>
  <c r="P8" i="41"/>
  <c r="P7" i="41"/>
  <c r="P6" i="41"/>
  <c r="P5" i="41"/>
  <c r="P4" i="41"/>
  <c r="P3" i="41"/>
  <c r="P2" i="41"/>
  <c r="DV47" i="1"/>
  <c r="DV46" i="1"/>
  <c r="I43" i="1"/>
  <c r="D51" i="1"/>
  <c r="AF51" i="1"/>
  <c r="DA51" i="1"/>
  <c r="CY51" i="1"/>
  <c r="I27" i="63"/>
  <c r="I26" i="63"/>
  <c r="I25" i="63"/>
  <c r="I24" i="63"/>
  <c r="I23" i="63"/>
  <c r="I22" i="63"/>
  <c r="I21" i="63"/>
  <c r="I20" i="63"/>
  <c r="I19" i="63"/>
  <c r="I18" i="63"/>
  <c r="I17" i="63"/>
  <c r="I16" i="63"/>
  <c r="I15" i="63"/>
  <c r="I14" i="63"/>
  <c r="I13" i="63"/>
  <c r="N54" i="62"/>
  <c r="N41" i="62"/>
  <c r="N40" i="62"/>
  <c r="N38" i="62"/>
  <c r="N37" i="62"/>
  <c r="N36" i="62"/>
  <c r="N35" i="62"/>
  <c r="N34" i="62"/>
  <c r="N33" i="62"/>
  <c r="N24" i="62"/>
  <c r="N22" i="62"/>
  <c r="N20" i="62"/>
  <c r="CN51" i="1"/>
  <c r="H70" i="59"/>
  <c r="A232" i="59"/>
  <c r="A233" i="59"/>
  <c r="A234" i="59"/>
  <c r="A235" i="59"/>
  <c r="A236" i="59"/>
  <c r="A237" i="59"/>
  <c r="A238" i="59"/>
  <c r="A239" i="59"/>
  <c r="A240" i="59"/>
  <c r="A241" i="59"/>
  <c r="I13" i="53"/>
  <c r="I12" i="53"/>
  <c r="F61" i="62"/>
  <c r="G61" i="62" s="1"/>
  <c r="D7" i="62"/>
  <c r="G7" i="62" s="1"/>
  <c r="BW51" i="1"/>
  <c r="BU51" i="1"/>
  <c r="BS51" i="1"/>
  <c r="BP51" i="1"/>
  <c r="BQ51" i="1"/>
  <c r="BL51" i="1"/>
  <c r="BL50" i="1"/>
  <c r="BL49" i="1"/>
  <c r="BL48" i="1"/>
  <c r="BL47" i="1"/>
  <c r="BL46" i="1"/>
  <c r="BL45" i="1"/>
  <c r="BL44" i="1"/>
  <c r="BL43" i="1"/>
  <c r="BL42" i="1"/>
  <c r="BL41" i="1"/>
  <c r="BL40" i="1"/>
  <c r="BL39" i="1"/>
  <c r="BL38" i="1"/>
  <c r="BL37" i="1"/>
  <c r="BL36" i="1"/>
  <c r="BL35" i="1"/>
  <c r="BL34" i="1"/>
  <c r="BL33" i="1"/>
  <c r="BL32" i="1"/>
  <c r="BL31" i="1"/>
  <c r="BL30" i="1"/>
  <c r="BL29" i="1"/>
  <c r="BL28" i="1"/>
  <c r="BL27" i="1"/>
  <c r="BL26" i="1"/>
  <c r="BL25" i="1"/>
  <c r="BL24" i="1"/>
  <c r="BL23" i="1"/>
  <c r="BL22" i="1"/>
  <c r="BL21" i="1"/>
  <c r="BL20" i="1"/>
  <c r="BL19" i="1"/>
  <c r="BL18" i="1"/>
  <c r="BL17" i="1"/>
  <c r="BL16" i="1"/>
  <c r="BL15" i="1"/>
  <c r="BL14" i="1"/>
  <c r="BL13" i="1"/>
  <c r="BL12" i="1"/>
  <c r="BL11" i="1"/>
  <c r="BL10" i="1"/>
  <c r="BL9" i="1"/>
  <c r="BL8" i="1"/>
  <c r="BL7" i="1"/>
  <c r="BL6" i="1"/>
  <c r="BL5" i="1"/>
  <c r="BL4" i="1"/>
  <c r="BL3" i="1"/>
  <c r="BK51" i="1"/>
  <c r="BJ51" i="1"/>
  <c r="BH51" i="1"/>
  <c r="BC47" i="1"/>
  <c r="BF47" i="1" s="1"/>
  <c r="BC46" i="1"/>
  <c r="BF46" i="1" s="1"/>
  <c r="BC45" i="1"/>
  <c r="BF45" i="1" s="1"/>
  <c r="BC44" i="1"/>
  <c r="BF44" i="1" s="1"/>
  <c r="BC43" i="1"/>
  <c r="BF43" i="1" s="1"/>
  <c r="BC42" i="1"/>
  <c r="BC41" i="1"/>
  <c r="BF41" i="1" s="1"/>
  <c r="BC40" i="1"/>
  <c r="BE40" i="1" s="1"/>
  <c r="BC39" i="1"/>
  <c r="BF39" i="1" s="1"/>
  <c r="BC38" i="1"/>
  <c r="BF38" i="1" s="1"/>
  <c r="BC37" i="1"/>
  <c r="BF37" i="1" s="1"/>
  <c r="BC36" i="1"/>
  <c r="BC35" i="1"/>
  <c r="BF35" i="1" s="1"/>
  <c r="BC34" i="1"/>
  <c r="BF34" i="1" s="1"/>
  <c r="BC33" i="1"/>
  <c r="BE33" i="1" s="1"/>
  <c r="BC32" i="1"/>
  <c r="BF32" i="1" s="1"/>
  <c r="BC31" i="1"/>
  <c r="BE31" i="1" s="1"/>
  <c r="BC30" i="1"/>
  <c r="BF30" i="1" s="1"/>
  <c r="BC29" i="1"/>
  <c r="BF29" i="1" s="1"/>
  <c r="BC28" i="1"/>
  <c r="BF28" i="1" s="1"/>
  <c r="BC27" i="1"/>
  <c r="BF27" i="1" s="1"/>
  <c r="BC26" i="1"/>
  <c r="BF26" i="1" s="1"/>
  <c r="BC25" i="1"/>
  <c r="BE25" i="1" s="1"/>
  <c r="BC24" i="1"/>
  <c r="BE24" i="1" s="1"/>
  <c r="BC23" i="1"/>
  <c r="BF23" i="1" s="1"/>
  <c r="BC22" i="1"/>
  <c r="BE22" i="1" s="1"/>
  <c r="BC21" i="1"/>
  <c r="BC20" i="1"/>
  <c r="BE20" i="1" s="1"/>
  <c r="BC19" i="1"/>
  <c r="BC18" i="1"/>
  <c r="BF18" i="1" s="1"/>
  <c r="BC17" i="1"/>
  <c r="BF17" i="1" s="1"/>
  <c r="BC16" i="1"/>
  <c r="BF16" i="1" s="1"/>
  <c r="BC15" i="1"/>
  <c r="BF15" i="1" s="1"/>
  <c r="BC14" i="1"/>
  <c r="BF14" i="1" s="1"/>
  <c r="BC13" i="1"/>
  <c r="BF13" i="1" s="1"/>
  <c r="BC12" i="1"/>
  <c r="BF12" i="1" s="1"/>
  <c r="BC11" i="1"/>
  <c r="BC10" i="1"/>
  <c r="BF10" i="1" s="1"/>
  <c r="BC9" i="1"/>
  <c r="BF9" i="1" s="1"/>
  <c r="BC8" i="1"/>
  <c r="BF8" i="1" s="1"/>
  <c r="BC7" i="1"/>
  <c r="BE7" i="1" s="1"/>
  <c r="BC6" i="1"/>
  <c r="BC5" i="1"/>
  <c r="BC4" i="1"/>
  <c r="BF4" i="1" s="1"/>
  <c r="BC3" i="1"/>
  <c r="BC2" i="1"/>
  <c r="BF2" i="1" s="1"/>
  <c r="AY50" i="1"/>
  <c r="AY49" i="1"/>
  <c r="AY48" i="1"/>
  <c r="AY47" i="1"/>
  <c r="AY46" i="1"/>
  <c r="AY45" i="1"/>
  <c r="AY44" i="1"/>
  <c r="AY43" i="1"/>
  <c r="AY42" i="1"/>
  <c r="AY41" i="1"/>
  <c r="AY40" i="1"/>
  <c r="AY39" i="1"/>
  <c r="AY38" i="1"/>
  <c r="AY37" i="1"/>
  <c r="AY36" i="1"/>
  <c r="AY35" i="1"/>
  <c r="AY34" i="1"/>
  <c r="AY33" i="1"/>
  <c r="AY32" i="1"/>
  <c r="AY31" i="1"/>
  <c r="AY30" i="1"/>
  <c r="AY29" i="1"/>
  <c r="AY28" i="1"/>
  <c r="AY27" i="1"/>
  <c r="AY26" i="1"/>
  <c r="AY25" i="1"/>
  <c r="AY24" i="1"/>
  <c r="AY23" i="1"/>
  <c r="AY22" i="1"/>
  <c r="AY21" i="1"/>
  <c r="AY20" i="1"/>
  <c r="AY19" i="1"/>
  <c r="AY18" i="1"/>
  <c r="AY17" i="1"/>
  <c r="AY16" i="1"/>
  <c r="AY15" i="1"/>
  <c r="AY14" i="1"/>
  <c r="AY13" i="1"/>
  <c r="AY12" i="1"/>
  <c r="AY11" i="1"/>
  <c r="AY10" i="1"/>
  <c r="AY9" i="1"/>
  <c r="AY8" i="1"/>
  <c r="AY7" i="1"/>
  <c r="AY6" i="1"/>
  <c r="AY5" i="1"/>
  <c r="AY4" i="1"/>
  <c r="AY3" i="1"/>
  <c r="AY2" i="1"/>
  <c r="AW50" i="1"/>
  <c r="AV51" i="1"/>
  <c r="AT51" i="1"/>
  <c r="S51" i="1"/>
  <c r="R51" i="1"/>
  <c r="M51" i="1"/>
  <c r="K51" i="1"/>
  <c r="I38" i="1"/>
  <c r="I39" i="1" s="1"/>
  <c r="I40" i="1" s="1"/>
  <c r="I41" i="1" s="1"/>
  <c r="I33" i="1"/>
  <c r="I34" i="1" s="1"/>
  <c r="I35" i="1" s="1"/>
  <c r="I36" i="1" s="1"/>
  <c r="I3" i="1"/>
  <c r="I31" i="1"/>
  <c r="E3" i="24"/>
  <c r="F3" i="24"/>
  <c r="E4" i="24"/>
  <c r="F4" i="24"/>
  <c r="E5" i="24"/>
  <c r="F5" i="24"/>
  <c r="E6" i="24"/>
  <c r="F6" i="24"/>
  <c r="E7" i="24"/>
  <c r="F7" i="24"/>
  <c r="E8" i="24"/>
  <c r="F8" i="24"/>
  <c r="E9" i="24"/>
  <c r="F9" i="24"/>
  <c r="E10" i="24"/>
  <c r="F10" i="24"/>
  <c r="E11" i="24"/>
  <c r="F11" i="24"/>
  <c r="E12" i="24"/>
  <c r="F12" i="24"/>
  <c r="E13" i="24"/>
  <c r="F13" i="24"/>
  <c r="E14" i="24"/>
  <c r="F14" i="24"/>
  <c r="E15" i="24"/>
  <c r="F15" i="24"/>
  <c r="E16" i="24"/>
  <c r="F16" i="24"/>
  <c r="E17" i="24"/>
  <c r="F17" i="24"/>
  <c r="E18" i="24"/>
  <c r="F18" i="24"/>
  <c r="E19" i="24"/>
  <c r="F19" i="24"/>
  <c r="E20" i="24"/>
  <c r="F20" i="24"/>
  <c r="E21" i="24"/>
  <c r="F21" i="24"/>
  <c r="E22" i="24"/>
  <c r="F22" i="24"/>
  <c r="E23" i="24"/>
  <c r="F23" i="24"/>
  <c r="E24" i="24"/>
  <c r="F24" i="24"/>
  <c r="E25" i="24"/>
  <c r="F25" i="24"/>
  <c r="E26" i="24"/>
  <c r="F26" i="24"/>
  <c r="E27" i="24"/>
  <c r="F27" i="24"/>
  <c r="E28" i="24"/>
  <c r="F28" i="24"/>
  <c r="E29" i="24"/>
  <c r="F29" i="24"/>
  <c r="E30" i="24"/>
  <c r="F30" i="24"/>
  <c r="E31" i="24"/>
  <c r="F31" i="24"/>
  <c r="E32" i="24"/>
  <c r="F32" i="24"/>
  <c r="E33" i="24"/>
  <c r="F33" i="24"/>
  <c r="E34" i="24"/>
  <c r="F34" i="24"/>
  <c r="E35" i="24"/>
  <c r="F35" i="24"/>
  <c r="E36" i="24"/>
  <c r="F36" i="24"/>
  <c r="E37" i="24"/>
  <c r="F37" i="24"/>
  <c r="E38" i="24"/>
  <c r="F38" i="24"/>
  <c r="E39" i="24"/>
  <c r="F39" i="24"/>
  <c r="E40" i="24"/>
  <c r="F40" i="24"/>
  <c r="E41" i="24"/>
  <c r="F41" i="24"/>
  <c r="E42" i="24"/>
  <c r="F42" i="24"/>
  <c r="E43" i="24"/>
  <c r="F43" i="24"/>
  <c r="E44" i="24"/>
  <c r="F44" i="24"/>
  <c r="E45" i="24"/>
  <c r="F45" i="24"/>
  <c r="E46" i="24"/>
  <c r="F46" i="24"/>
  <c r="E47" i="24"/>
  <c r="F47" i="24"/>
  <c r="L2" i="26"/>
  <c r="N2" i="26"/>
  <c r="M2" i="26"/>
  <c r="O2" i="26" s="1"/>
  <c r="P2" i="26"/>
  <c r="X2" i="26"/>
  <c r="L3" i="26"/>
  <c r="N3" i="26"/>
  <c r="M3" i="26"/>
  <c r="O3" i="26" s="1"/>
  <c r="P3" i="26"/>
  <c r="X3" i="26"/>
  <c r="L4" i="26"/>
  <c r="N4" i="26" s="1"/>
  <c r="M4" i="26"/>
  <c r="O4" i="26" s="1"/>
  <c r="P4" i="26"/>
  <c r="X4" i="26"/>
  <c r="L5" i="26"/>
  <c r="N5" i="26" s="1"/>
  <c r="M5" i="26"/>
  <c r="O5" i="26" s="1"/>
  <c r="P5" i="26"/>
  <c r="X5" i="26"/>
  <c r="L6" i="26"/>
  <c r="N6" i="26" s="1"/>
  <c r="M6" i="26"/>
  <c r="O6" i="26" s="1"/>
  <c r="P6" i="26"/>
  <c r="X6" i="26"/>
  <c r="L7" i="26"/>
  <c r="M7" i="26"/>
  <c r="O7" i="26" s="1"/>
  <c r="N7" i="26"/>
  <c r="P7" i="26"/>
  <c r="X7" i="26"/>
  <c r="L8" i="26"/>
  <c r="N8" i="26" s="1"/>
  <c r="M8" i="26"/>
  <c r="O8" i="26" s="1"/>
  <c r="P8" i="26"/>
  <c r="X8" i="26"/>
  <c r="L9" i="26"/>
  <c r="M9" i="26"/>
  <c r="O9" i="26"/>
  <c r="N9" i="26"/>
  <c r="P9" i="26"/>
  <c r="X9" i="26"/>
  <c r="L10" i="26"/>
  <c r="N10" i="26" s="1"/>
  <c r="M10" i="26"/>
  <c r="O10" i="26" s="1"/>
  <c r="P10" i="26"/>
  <c r="X10" i="26"/>
  <c r="L11" i="26"/>
  <c r="N11" i="26" s="1"/>
  <c r="M11" i="26"/>
  <c r="O11" i="26" s="1"/>
  <c r="P11" i="26"/>
  <c r="X11" i="26"/>
  <c r="L12" i="26"/>
  <c r="N12" i="26" s="1"/>
  <c r="M12" i="26"/>
  <c r="O12" i="26" s="1"/>
  <c r="P12" i="26"/>
  <c r="X12" i="26"/>
  <c r="L13" i="26"/>
  <c r="N13" i="26" s="1"/>
  <c r="M13" i="26"/>
  <c r="O13" i="26" s="1"/>
  <c r="P13" i="26"/>
  <c r="X13" i="26"/>
  <c r="L14" i="26"/>
  <c r="N14" i="26"/>
  <c r="M14" i="26"/>
  <c r="O14" i="26" s="1"/>
  <c r="P14" i="26"/>
  <c r="X14" i="26"/>
  <c r="L15" i="26"/>
  <c r="N15" i="26" s="1"/>
  <c r="M15" i="26"/>
  <c r="O15" i="26" s="1"/>
  <c r="P15" i="26"/>
  <c r="X15" i="26"/>
  <c r="L16" i="26"/>
  <c r="N16" i="26" s="1"/>
  <c r="M16" i="26"/>
  <c r="O16" i="26" s="1"/>
  <c r="P16" i="26"/>
  <c r="X16" i="26"/>
  <c r="L17" i="26"/>
  <c r="N17" i="26" s="1"/>
  <c r="M17" i="26"/>
  <c r="O17" i="26" s="1"/>
  <c r="P17" i="26"/>
  <c r="X17" i="26"/>
  <c r="L18" i="26"/>
  <c r="N18" i="26"/>
  <c r="M18" i="26"/>
  <c r="O18" i="26" s="1"/>
  <c r="P18" i="26"/>
  <c r="X18" i="26"/>
  <c r="L19" i="26"/>
  <c r="N19" i="26"/>
  <c r="M19" i="26"/>
  <c r="O19" i="26" s="1"/>
  <c r="P19" i="26"/>
  <c r="X19" i="26"/>
  <c r="L20" i="26"/>
  <c r="N20" i="26"/>
  <c r="M20" i="26"/>
  <c r="O20" i="26" s="1"/>
  <c r="P20" i="26"/>
  <c r="X20" i="26"/>
  <c r="L21" i="26"/>
  <c r="N21" i="26" s="1"/>
  <c r="M21" i="26"/>
  <c r="O21" i="26" s="1"/>
  <c r="P21" i="26"/>
  <c r="X21" i="26"/>
  <c r="L22" i="26"/>
  <c r="N22" i="26" s="1"/>
  <c r="M22" i="26"/>
  <c r="O22" i="26" s="1"/>
  <c r="P22" i="26"/>
  <c r="X22" i="26"/>
  <c r="L23" i="26"/>
  <c r="M23" i="26"/>
  <c r="O23" i="26" s="1"/>
  <c r="N23" i="26"/>
  <c r="P23" i="26"/>
  <c r="X23" i="26"/>
  <c r="L24" i="26"/>
  <c r="N24" i="26" s="1"/>
  <c r="M24" i="26"/>
  <c r="O24" i="26"/>
  <c r="P24" i="26"/>
  <c r="X24" i="26"/>
  <c r="L25" i="26"/>
  <c r="M25" i="26"/>
  <c r="O25" i="26"/>
  <c r="N25" i="26"/>
  <c r="P25" i="26"/>
  <c r="X25" i="26"/>
  <c r="L26" i="26"/>
  <c r="N26" i="26" s="1"/>
  <c r="M26" i="26"/>
  <c r="O26" i="26"/>
  <c r="P26" i="26"/>
  <c r="X26" i="26"/>
  <c r="L27" i="26"/>
  <c r="N27" i="26" s="1"/>
  <c r="M27" i="26"/>
  <c r="O27" i="26" s="1"/>
  <c r="P27" i="26"/>
  <c r="X27" i="26"/>
  <c r="L28" i="26"/>
  <c r="N28" i="26" s="1"/>
  <c r="M28" i="26"/>
  <c r="O28" i="26" s="1"/>
  <c r="P28" i="26"/>
  <c r="X28" i="26"/>
  <c r="L29" i="26"/>
  <c r="M29" i="26"/>
  <c r="O29" i="26" s="1"/>
  <c r="N29" i="26"/>
  <c r="P29" i="26"/>
  <c r="X29" i="26"/>
  <c r="L30" i="26"/>
  <c r="N30" i="26" s="1"/>
  <c r="M30" i="26"/>
  <c r="O30" i="26" s="1"/>
  <c r="P30" i="26"/>
  <c r="X30" i="26"/>
  <c r="L31" i="26"/>
  <c r="N31" i="26" s="1"/>
  <c r="M31" i="26"/>
  <c r="O31" i="26" s="1"/>
  <c r="P31" i="26"/>
  <c r="X31" i="26"/>
  <c r="L32" i="26"/>
  <c r="N32" i="26" s="1"/>
  <c r="M32" i="26"/>
  <c r="O32" i="26" s="1"/>
  <c r="P32" i="26"/>
  <c r="X32" i="26"/>
  <c r="L33" i="26"/>
  <c r="N33" i="26" s="1"/>
  <c r="M33" i="26"/>
  <c r="O33" i="26" s="1"/>
  <c r="P33" i="26"/>
  <c r="X33" i="26"/>
  <c r="L34" i="26"/>
  <c r="N34" i="26"/>
  <c r="M34" i="26"/>
  <c r="O34" i="26" s="1"/>
  <c r="P34" i="26"/>
  <c r="X34" i="26"/>
  <c r="L35" i="26"/>
  <c r="N35" i="26"/>
  <c r="M35" i="26"/>
  <c r="O35" i="26"/>
  <c r="P35" i="26"/>
  <c r="X35" i="26"/>
  <c r="L36" i="26"/>
  <c r="N36" i="26" s="1"/>
  <c r="M36" i="26"/>
  <c r="O36" i="26" s="1"/>
  <c r="P36" i="26"/>
  <c r="X36" i="26"/>
  <c r="L37" i="26"/>
  <c r="N37" i="26" s="1"/>
  <c r="M37" i="26"/>
  <c r="O37" i="26" s="1"/>
  <c r="P37" i="26"/>
  <c r="X37" i="26"/>
  <c r="L38" i="26"/>
  <c r="N38" i="26" s="1"/>
  <c r="M38" i="26"/>
  <c r="O38" i="26" s="1"/>
  <c r="P38" i="26"/>
  <c r="X38" i="26"/>
  <c r="L39" i="26"/>
  <c r="N39" i="26" s="1"/>
  <c r="M39" i="26"/>
  <c r="O39" i="26"/>
  <c r="P39" i="26"/>
  <c r="X39" i="26"/>
  <c r="L40" i="26"/>
  <c r="M40" i="26"/>
  <c r="O40" i="26" s="1"/>
  <c r="N40" i="26"/>
  <c r="P40" i="26"/>
  <c r="X40" i="26"/>
  <c r="L41" i="26"/>
  <c r="M41" i="26"/>
  <c r="O41" i="26"/>
  <c r="N41" i="26"/>
  <c r="P41" i="26"/>
  <c r="X41" i="26"/>
  <c r="L42" i="26"/>
  <c r="N42" i="26" s="1"/>
  <c r="M42" i="26"/>
  <c r="O42" i="26" s="1"/>
  <c r="P42" i="26"/>
  <c r="X42" i="26"/>
  <c r="L43" i="26"/>
  <c r="N43" i="26" s="1"/>
  <c r="M43" i="26"/>
  <c r="O43" i="26" s="1"/>
  <c r="P43" i="26"/>
  <c r="X43" i="26"/>
  <c r="L44" i="26"/>
  <c r="N44" i="26" s="1"/>
  <c r="M44" i="26"/>
  <c r="O44" i="26" s="1"/>
  <c r="P44" i="26"/>
  <c r="X44" i="26"/>
  <c r="L45" i="26"/>
  <c r="N45" i="26" s="1"/>
  <c r="M45" i="26"/>
  <c r="O45" i="26" s="1"/>
  <c r="P45" i="26"/>
  <c r="X45" i="26"/>
  <c r="L46" i="26"/>
  <c r="N46" i="26" s="1"/>
  <c r="M46" i="26"/>
  <c r="O46" i="26"/>
  <c r="P46" i="26"/>
  <c r="X46" i="26"/>
  <c r="L47" i="26"/>
  <c r="N47" i="26"/>
  <c r="M47" i="26"/>
  <c r="O47" i="26" s="1"/>
  <c r="P47" i="26"/>
  <c r="X47" i="26"/>
  <c r="X48" i="26"/>
  <c r="G2" i="41"/>
  <c r="O2" i="41"/>
  <c r="G3" i="41"/>
  <c r="O3" i="41"/>
  <c r="G4" i="41"/>
  <c r="O4" i="41"/>
  <c r="G5" i="41"/>
  <c r="O5" i="41"/>
  <c r="G6" i="41"/>
  <c r="O6" i="41"/>
  <c r="G7" i="41"/>
  <c r="O7" i="41"/>
  <c r="G8" i="41"/>
  <c r="O8" i="41"/>
  <c r="G9" i="41"/>
  <c r="O9" i="41"/>
  <c r="G10" i="41"/>
  <c r="O10" i="41"/>
  <c r="G11" i="41"/>
  <c r="O11" i="41"/>
  <c r="G12" i="41"/>
  <c r="O12" i="41"/>
  <c r="G13" i="41"/>
  <c r="O13" i="41"/>
  <c r="G14" i="41"/>
  <c r="O14" i="41"/>
  <c r="G15" i="41"/>
  <c r="O15" i="41"/>
  <c r="G16" i="41"/>
  <c r="O16" i="41"/>
  <c r="G17" i="41"/>
  <c r="O17" i="41"/>
  <c r="G18" i="41"/>
  <c r="O18" i="41"/>
  <c r="G19" i="41"/>
  <c r="O19" i="41"/>
  <c r="G20" i="41"/>
  <c r="O20" i="41"/>
  <c r="G21" i="41"/>
  <c r="O21" i="41"/>
  <c r="G22" i="41"/>
  <c r="O22" i="41"/>
  <c r="G23" i="41"/>
  <c r="O23" i="41"/>
  <c r="G24" i="41"/>
  <c r="O24" i="41"/>
  <c r="G25" i="41"/>
  <c r="O25" i="41"/>
  <c r="G26" i="41"/>
  <c r="O26" i="41"/>
  <c r="G27" i="41"/>
  <c r="O27" i="41"/>
  <c r="G28" i="41"/>
  <c r="O28" i="41"/>
  <c r="G29" i="41"/>
  <c r="O29" i="41"/>
  <c r="G30" i="41"/>
  <c r="O30" i="41"/>
  <c r="G31" i="41"/>
  <c r="O31" i="41"/>
  <c r="G32" i="41"/>
  <c r="O32" i="41"/>
  <c r="G33" i="41"/>
  <c r="O33" i="41"/>
  <c r="G34" i="41"/>
  <c r="O34" i="41"/>
  <c r="G35" i="41"/>
  <c r="O35" i="41"/>
  <c r="G36" i="41"/>
  <c r="O36" i="41"/>
  <c r="G37" i="41"/>
  <c r="O37" i="41"/>
  <c r="G38" i="41"/>
  <c r="O38" i="41"/>
  <c r="G39" i="41"/>
  <c r="O39" i="41"/>
  <c r="G40" i="41"/>
  <c r="O40" i="41"/>
  <c r="G41" i="41"/>
  <c r="O41" i="41"/>
  <c r="G42" i="41"/>
  <c r="O42" i="41"/>
  <c r="G43" i="41"/>
  <c r="O43" i="41"/>
  <c r="G44" i="41"/>
  <c r="O44" i="41"/>
  <c r="G45" i="41"/>
  <c r="O45" i="41"/>
  <c r="G46" i="41"/>
  <c r="O46" i="41"/>
  <c r="G47" i="41"/>
  <c r="O47" i="41"/>
  <c r="F4" i="55"/>
  <c r="N4" i="55"/>
  <c r="F5" i="55"/>
  <c r="F77" i="55" s="1"/>
  <c r="N5" i="55"/>
  <c r="F6" i="55"/>
  <c r="N6" i="55"/>
  <c r="F7" i="55"/>
  <c r="N7" i="55"/>
  <c r="F8" i="55"/>
  <c r="N8" i="55"/>
  <c r="F9" i="55"/>
  <c r="F79" i="55" s="1"/>
  <c r="N9" i="55"/>
  <c r="F10" i="55"/>
  <c r="N10" i="55"/>
  <c r="N17" i="55"/>
  <c r="N16" i="55"/>
  <c r="N15" i="55"/>
  <c r="N14" i="55"/>
  <c r="N13" i="55"/>
  <c r="N12" i="55"/>
  <c r="N11" i="55"/>
  <c r="F11" i="55"/>
  <c r="F12" i="55"/>
  <c r="F13" i="55"/>
  <c r="F14" i="55"/>
  <c r="F15" i="55"/>
  <c r="F16" i="55"/>
  <c r="F17" i="55"/>
  <c r="F18" i="55"/>
  <c r="N18" i="55"/>
  <c r="F19" i="55"/>
  <c r="M19" i="55"/>
  <c r="F20" i="55"/>
  <c r="M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F50" i="55"/>
  <c r="F51" i="55"/>
  <c r="F52" i="55"/>
  <c r="F53" i="55"/>
  <c r="F54" i="55"/>
  <c r="F55" i="55"/>
  <c r="F56" i="55"/>
  <c r="F57" i="55"/>
  <c r="F58" i="55"/>
  <c r="F59" i="55"/>
  <c r="F60" i="55"/>
  <c r="F61" i="55"/>
  <c r="F62" i="55"/>
  <c r="F63" i="55"/>
  <c r="F64" i="55"/>
  <c r="F65" i="55"/>
  <c r="F66" i="55"/>
  <c r="F67" i="55"/>
  <c r="F68" i="55"/>
  <c r="F69" i="55"/>
  <c r="F70" i="55"/>
  <c r="F71" i="55"/>
  <c r="F72" i="55"/>
  <c r="F73" i="55"/>
  <c r="F74" i="55"/>
  <c r="G82" i="55"/>
  <c r="F6" i="58"/>
  <c r="G6" i="58" s="1"/>
  <c r="H6" i="58"/>
  <c r="N6" i="58"/>
  <c r="N10" i="58"/>
  <c r="N16" i="58" s="1"/>
  <c r="F7" i="58"/>
  <c r="G7" i="58" s="1"/>
  <c r="I7" i="58"/>
  <c r="J7" i="58"/>
  <c r="N7" i="58"/>
  <c r="F8" i="58"/>
  <c r="G8" i="58" s="1"/>
  <c r="N8" i="58"/>
  <c r="F9" i="58"/>
  <c r="G9" i="58"/>
  <c r="H9" i="58"/>
  <c r="N9" i="58"/>
  <c r="F10" i="58"/>
  <c r="H10" i="58" s="1"/>
  <c r="F11" i="58"/>
  <c r="G11" i="58" s="1"/>
  <c r="N11" i="58"/>
  <c r="F12" i="58"/>
  <c r="J12" i="58" s="1"/>
  <c r="N12" i="58"/>
  <c r="F13" i="58"/>
  <c r="N13" i="58"/>
  <c r="F14" i="58"/>
  <c r="I14" i="58" s="1"/>
  <c r="G14" i="58"/>
  <c r="J14" i="58"/>
  <c r="N14" i="58"/>
  <c r="F15" i="58"/>
  <c r="J15" i="58" s="1"/>
  <c r="H15" i="58"/>
  <c r="N15" i="58"/>
  <c r="F16" i="58"/>
  <c r="I16" i="58"/>
  <c r="M16" i="58"/>
  <c r="F17" i="58"/>
  <c r="J17" i="58" s="1"/>
  <c r="H17" i="58"/>
  <c r="F18" i="58"/>
  <c r="J18" i="58" s="1"/>
  <c r="G20" i="58"/>
  <c r="I9" i="53"/>
  <c r="K9" i="53"/>
  <c r="L9" i="53"/>
  <c r="M9" i="53"/>
  <c r="I10" i="53"/>
  <c r="K10" i="53"/>
  <c r="L10" i="53"/>
  <c r="M10" i="53"/>
  <c r="I11" i="53"/>
  <c r="K11" i="53"/>
  <c r="L11" i="53"/>
  <c r="M11" i="53"/>
  <c r="N11" i="53" s="1"/>
  <c r="F3" i="35"/>
  <c r="AE3" i="35" s="1"/>
  <c r="AF3" i="35" s="1"/>
  <c r="AL3" i="35" s="1"/>
  <c r="G3" i="35"/>
  <c r="O3" i="35" s="1"/>
  <c r="L3" i="35"/>
  <c r="N3" i="35"/>
  <c r="Q3" i="35" s="1"/>
  <c r="S3" i="35" s="1"/>
  <c r="Z3" i="35"/>
  <c r="AB3" i="35"/>
  <c r="AC3" i="35"/>
  <c r="AD3" i="35"/>
  <c r="F4" i="35"/>
  <c r="G4" i="35"/>
  <c r="O4" i="35" s="1"/>
  <c r="L4" i="35"/>
  <c r="N4" i="35"/>
  <c r="Q4" i="35" s="1"/>
  <c r="S4" i="35" s="1"/>
  <c r="Z4" i="35"/>
  <c r="AB4" i="35"/>
  <c r="AC4" i="35"/>
  <c r="AD4" i="35"/>
  <c r="F5" i="35"/>
  <c r="AE5" i="35" s="1"/>
  <c r="G5" i="35"/>
  <c r="O5" i="35" s="1"/>
  <c r="L5" i="35"/>
  <c r="N5" i="35"/>
  <c r="Z5" i="35"/>
  <c r="AB5" i="35"/>
  <c r="AC5" i="35"/>
  <c r="AD5" i="35"/>
  <c r="F6" i="35"/>
  <c r="AE6" i="35" s="1"/>
  <c r="G6" i="35"/>
  <c r="O6" i="35" s="1"/>
  <c r="L6" i="35"/>
  <c r="N6" i="35"/>
  <c r="P6" i="35"/>
  <c r="Z6" i="35"/>
  <c r="AB6" i="35"/>
  <c r="AC6" i="35"/>
  <c r="AD6" i="35"/>
  <c r="F7" i="35"/>
  <c r="AE7" i="35" s="1"/>
  <c r="AF7" i="35" s="1"/>
  <c r="AL7" i="35" s="1"/>
  <c r="G7" i="35"/>
  <c r="O7" i="35" s="1"/>
  <c r="L7" i="35"/>
  <c r="N7" i="35"/>
  <c r="Q7" i="35" s="1"/>
  <c r="S7" i="35" s="1"/>
  <c r="Z7" i="35"/>
  <c r="AB7" i="35"/>
  <c r="AC7" i="35"/>
  <c r="AD7" i="35"/>
  <c r="F8" i="35"/>
  <c r="P8" i="35" s="1"/>
  <c r="G8" i="35"/>
  <c r="O8" i="35" s="1"/>
  <c r="L8" i="35"/>
  <c r="N8" i="35"/>
  <c r="Q8" i="35"/>
  <c r="S8" i="35"/>
  <c r="Z8" i="35"/>
  <c r="AB8" i="35"/>
  <c r="AC8" i="35"/>
  <c r="AD8" i="35"/>
  <c r="F9" i="35"/>
  <c r="AE9" i="35" s="1"/>
  <c r="AF9" i="35" s="1"/>
  <c r="AK9" i="35" s="1"/>
  <c r="G9" i="35"/>
  <c r="O9" i="35" s="1"/>
  <c r="L9" i="35"/>
  <c r="N9" i="35"/>
  <c r="Z9" i="35"/>
  <c r="AB9" i="35"/>
  <c r="AC9" i="35"/>
  <c r="AD9" i="35"/>
  <c r="F10" i="35"/>
  <c r="AE10" i="35" s="1"/>
  <c r="AF10" i="35" s="1"/>
  <c r="AJ10" i="35" s="1"/>
  <c r="G10" i="35"/>
  <c r="O10" i="35" s="1"/>
  <c r="L10" i="35"/>
  <c r="N10" i="35"/>
  <c r="Q10" i="35" s="1"/>
  <c r="S10" i="35" s="1"/>
  <c r="Z10" i="35"/>
  <c r="AB10" i="35"/>
  <c r="AC10" i="35"/>
  <c r="AD10" i="35"/>
  <c r="F11" i="35"/>
  <c r="P11" i="35" s="1"/>
  <c r="G11" i="35"/>
  <c r="O11" i="35" s="1"/>
  <c r="L11" i="35"/>
  <c r="N11" i="35"/>
  <c r="Q11" i="35"/>
  <c r="S11" i="35"/>
  <c r="Z11" i="35"/>
  <c r="AB11" i="35"/>
  <c r="AC11" i="35"/>
  <c r="AD11" i="35"/>
  <c r="F12" i="35"/>
  <c r="AE12" i="35" s="1"/>
  <c r="AF12" i="35" s="1"/>
  <c r="AK12" i="35" s="1"/>
  <c r="G12" i="35"/>
  <c r="O12" i="35" s="1"/>
  <c r="L12" i="35"/>
  <c r="N12" i="35"/>
  <c r="Q12" i="35" s="1"/>
  <c r="S12" i="35" s="1"/>
  <c r="Z12" i="35"/>
  <c r="AB12" i="35"/>
  <c r="AC12" i="35"/>
  <c r="AD12" i="35"/>
  <c r="F13" i="35"/>
  <c r="AE13" i="35" s="1"/>
  <c r="G13" i="35"/>
  <c r="O13" i="35" s="1"/>
  <c r="L13" i="35"/>
  <c r="N13" i="35"/>
  <c r="Q13" i="35" s="1"/>
  <c r="S13" i="35" s="1"/>
  <c r="Z13" i="35"/>
  <c r="AB13" i="35"/>
  <c r="AC13" i="35"/>
  <c r="AD13" i="35"/>
  <c r="F14" i="35"/>
  <c r="AE14" i="35" s="1"/>
  <c r="AF14" i="35" s="1"/>
  <c r="G14" i="35"/>
  <c r="O14" i="35" s="1"/>
  <c r="L14" i="35"/>
  <c r="N14" i="35"/>
  <c r="Z14" i="35"/>
  <c r="AB14" i="35"/>
  <c r="AC14" i="35"/>
  <c r="AD14" i="35"/>
  <c r="F15" i="35"/>
  <c r="AE15" i="35" s="1"/>
  <c r="G15" i="35"/>
  <c r="O15" i="35" s="1"/>
  <c r="L15" i="35"/>
  <c r="N15" i="35"/>
  <c r="Q15" i="35" s="1"/>
  <c r="S15" i="35" s="1"/>
  <c r="P15" i="35"/>
  <c r="Z15" i="35"/>
  <c r="AB15" i="35"/>
  <c r="AC15" i="35"/>
  <c r="AD15" i="35"/>
  <c r="F16" i="35"/>
  <c r="G16" i="35"/>
  <c r="O16" i="35" s="1"/>
  <c r="L16" i="35"/>
  <c r="N16" i="35"/>
  <c r="Z16" i="35"/>
  <c r="AB16" i="35"/>
  <c r="AC16" i="35"/>
  <c r="AD16" i="35"/>
  <c r="F17" i="35"/>
  <c r="AE17" i="35" s="1"/>
  <c r="G17" i="35"/>
  <c r="O17" i="35" s="1"/>
  <c r="L17" i="35"/>
  <c r="N17" i="35"/>
  <c r="Q17" i="35" s="1"/>
  <c r="S17" i="35" s="1"/>
  <c r="Z17" i="35"/>
  <c r="AB17" i="35"/>
  <c r="AC17" i="35"/>
  <c r="AD17" i="35"/>
  <c r="F18" i="35"/>
  <c r="G18" i="35"/>
  <c r="O18" i="35" s="1"/>
  <c r="L18" i="35"/>
  <c r="N18" i="35"/>
  <c r="Q18" i="35" s="1"/>
  <c r="S18" i="35" s="1"/>
  <c r="Z18" i="35"/>
  <c r="AB18" i="35"/>
  <c r="AC18" i="35"/>
  <c r="AD18" i="35"/>
  <c r="F19" i="35"/>
  <c r="AE19" i="35" s="1"/>
  <c r="AF19" i="35" s="1"/>
  <c r="G19" i="35"/>
  <c r="O19" i="35" s="1"/>
  <c r="L19" i="35"/>
  <c r="N19" i="35"/>
  <c r="Z19" i="35"/>
  <c r="AB19" i="35"/>
  <c r="AC19" i="35"/>
  <c r="AD19" i="35"/>
  <c r="F20" i="35"/>
  <c r="AE20" i="35" s="1"/>
  <c r="G20" i="35"/>
  <c r="O20" i="35" s="1"/>
  <c r="L20" i="35"/>
  <c r="N20" i="35"/>
  <c r="Q20" i="35" s="1"/>
  <c r="S20" i="35" s="1"/>
  <c r="Z20" i="35"/>
  <c r="AB20" i="35"/>
  <c r="AC20" i="35"/>
  <c r="AD20" i="35"/>
  <c r="F21" i="35"/>
  <c r="P21" i="35" s="1"/>
  <c r="G21" i="35"/>
  <c r="O21" i="35" s="1"/>
  <c r="L21" i="35"/>
  <c r="N21" i="35"/>
  <c r="Q21" i="35" s="1"/>
  <c r="S21" i="35" s="1"/>
  <c r="Z21" i="35"/>
  <c r="AB21" i="35"/>
  <c r="AC21" i="35"/>
  <c r="AD21" i="35"/>
  <c r="F22" i="35"/>
  <c r="AE22" i="35" s="1"/>
  <c r="G22" i="35"/>
  <c r="O22" i="35" s="1"/>
  <c r="L22" i="35"/>
  <c r="N22" i="35"/>
  <c r="Z22" i="35"/>
  <c r="AB22" i="35"/>
  <c r="AC22" i="35"/>
  <c r="AD22" i="35"/>
  <c r="F23" i="35"/>
  <c r="P23" i="35" s="1"/>
  <c r="G23" i="35"/>
  <c r="O23" i="35" s="1"/>
  <c r="L23" i="35"/>
  <c r="N23" i="35"/>
  <c r="Z23" i="35"/>
  <c r="AB23" i="35"/>
  <c r="AC23" i="35"/>
  <c r="AD23" i="35"/>
  <c r="F24" i="35"/>
  <c r="P24" i="35" s="1"/>
  <c r="AE24" i="35"/>
  <c r="G24" i="35"/>
  <c r="O24" i="35" s="1"/>
  <c r="L24" i="35"/>
  <c r="N24" i="35"/>
  <c r="Q24" i="35" s="1"/>
  <c r="S24" i="35" s="1"/>
  <c r="Z24" i="35"/>
  <c r="AB24" i="35"/>
  <c r="AC24" i="35"/>
  <c r="AD24" i="35"/>
  <c r="F25" i="35"/>
  <c r="AE25" i="35" s="1"/>
  <c r="AF25" i="35" s="1"/>
  <c r="AL25" i="35" s="1"/>
  <c r="G25" i="35"/>
  <c r="O25" i="35" s="1"/>
  <c r="L25" i="35"/>
  <c r="N25" i="35"/>
  <c r="Z25" i="35"/>
  <c r="AB25" i="35"/>
  <c r="AC25" i="35"/>
  <c r="AD25" i="35"/>
  <c r="F26" i="35"/>
  <c r="AE26" i="35" s="1"/>
  <c r="G26" i="35"/>
  <c r="O26" i="35" s="1"/>
  <c r="L26" i="35"/>
  <c r="N26" i="35"/>
  <c r="Q26" i="35" s="1"/>
  <c r="S26" i="35" s="1"/>
  <c r="Z26" i="35"/>
  <c r="AB26" i="35"/>
  <c r="AC26" i="35"/>
  <c r="AD26" i="35"/>
  <c r="F27" i="35"/>
  <c r="P27" i="35" s="1"/>
  <c r="G27" i="35"/>
  <c r="O27" i="35" s="1"/>
  <c r="L27" i="35"/>
  <c r="N27" i="35"/>
  <c r="Q27" i="35" s="1"/>
  <c r="S27" i="35" s="1"/>
  <c r="Z27" i="35"/>
  <c r="AB27" i="35"/>
  <c r="AC27" i="35"/>
  <c r="AD27" i="35"/>
  <c r="F28" i="35"/>
  <c r="P28" i="35" s="1"/>
  <c r="G28" i="35"/>
  <c r="O28" i="35" s="1"/>
  <c r="L28" i="35"/>
  <c r="N28" i="35"/>
  <c r="Z28" i="35"/>
  <c r="AB28" i="35"/>
  <c r="AC28" i="35"/>
  <c r="AD28" i="35"/>
  <c r="F29" i="35"/>
  <c r="P29" i="35" s="1"/>
  <c r="G29" i="35"/>
  <c r="O29" i="35" s="1"/>
  <c r="L29" i="35"/>
  <c r="N29" i="35"/>
  <c r="Q29" i="35" s="1"/>
  <c r="S29" i="35" s="1"/>
  <c r="Z29" i="35"/>
  <c r="AB29" i="35"/>
  <c r="AC29" i="35"/>
  <c r="AD29" i="35"/>
  <c r="F30" i="35"/>
  <c r="AE30" i="35" s="1"/>
  <c r="G30" i="35"/>
  <c r="O30" i="35" s="1"/>
  <c r="L30" i="35"/>
  <c r="N30" i="35"/>
  <c r="Z30" i="35"/>
  <c r="AB30" i="35"/>
  <c r="AC30" i="35"/>
  <c r="AD30" i="35"/>
  <c r="F31" i="35"/>
  <c r="P31" i="35" s="1"/>
  <c r="G31" i="35"/>
  <c r="O31" i="35" s="1"/>
  <c r="L31" i="35"/>
  <c r="N31" i="35"/>
  <c r="Z31" i="35"/>
  <c r="AB31" i="35"/>
  <c r="AC31" i="35"/>
  <c r="AD31" i="35"/>
  <c r="F32" i="35"/>
  <c r="P32" i="35" s="1"/>
  <c r="AE32" i="35"/>
  <c r="G32" i="35"/>
  <c r="O32" i="35" s="1"/>
  <c r="L32" i="35"/>
  <c r="M32" i="35"/>
  <c r="N32" i="35"/>
  <c r="Z32" i="35"/>
  <c r="AA32" i="35"/>
  <c r="AB32" i="35"/>
  <c r="AC32" i="35"/>
  <c r="AD32" i="35"/>
  <c r="F33" i="35"/>
  <c r="AE33" i="35" s="1"/>
  <c r="G33" i="35"/>
  <c r="O33" i="35" s="1"/>
  <c r="L33" i="35"/>
  <c r="M33" i="35"/>
  <c r="N33" i="35"/>
  <c r="Q33" i="35" s="1"/>
  <c r="S33" i="35" s="1"/>
  <c r="Z33" i="35"/>
  <c r="AA33" i="35"/>
  <c r="AB33" i="35"/>
  <c r="AC33" i="35"/>
  <c r="AD33" i="35"/>
  <c r="F34" i="35"/>
  <c r="G34" i="35"/>
  <c r="O34" i="35" s="1"/>
  <c r="L34" i="35"/>
  <c r="M34" i="35"/>
  <c r="N34" i="35"/>
  <c r="Z34" i="35"/>
  <c r="AA34" i="35"/>
  <c r="AB34" i="35"/>
  <c r="AC34" i="35"/>
  <c r="AD34" i="35"/>
  <c r="F35" i="35"/>
  <c r="P35" i="35" s="1"/>
  <c r="G35" i="35"/>
  <c r="O35" i="35"/>
  <c r="L35" i="35"/>
  <c r="M35" i="35"/>
  <c r="N35" i="35"/>
  <c r="Z35" i="35"/>
  <c r="AA35" i="35"/>
  <c r="AB35" i="35"/>
  <c r="AC35" i="35"/>
  <c r="AD35" i="35"/>
  <c r="F36" i="35"/>
  <c r="AE36" i="35" s="1"/>
  <c r="G36" i="35"/>
  <c r="O36" i="35" s="1"/>
  <c r="L36" i="35"/>
  <c r="M36" i="35"/>
  <c r="N36" i="35"/>
  <c r="Z36" i="35"/>
  <c r="AA36" i="35"/>
  <c r="AB36" i="35"/>
  <c r="AC36" i="35"/>
  <c r="AD36" i="35"/>
  <c r="F37" i="35"/>
  <c r="P37" i="35" s="1"/>
  <c r="G37" i="35"/>
  <c r="O37" i="35" s="1"/>
  <c r="L37" i="35"/>
  <c r="M37" i="35"/>
  <c r="N37" i="35"/>
  <c r="Q37" i="35" s="1"/>
  <c r="S37" i="35" s="1"/>
  <c r="Z37" i="35"/>
  <c r="AA37" i="35"/>
  <c r="AB37" i="35"/>
  <c r="AC37" i="35"/>
  <c r="AD37" i="35"/>
  <c r="F38" i="35"/>
  <c r="P38" i="35" s="1"/>
  <c r="G38" i="35"/>
  <c r="O38" i="35" s="1"/>
  <c r="L38" i="35"/>
  <c r="M38" i="35"/>
  <c r="N38" i="35"/>
  <c r="Q38" i="35" s="1"/>
  <c r="S38" i="35" s="1"/>
  <c r="Z38" i="35"/>
  <c r="AA38" i="35"/>
  <c r="AB38" i="35"/>
  <c r="AC38" i="35"/>
  <c r="AD38" i="35"/>
  <c r="F39" i="35"/>
  <c r="G39" i="35"/>
  <c r="O39" i="35" s="1"/>
  <c r="L39" i="35"/>
  <c r="M39" i="35"/>
  <c r="N39" i="35"/>
  <c r="Z39" i="35"/>
  <c r="AA39" i="35"/>
  <c r="AB39" i="35"/>
  <c r="AC39" i="35"/>
  <c r="AD39" i="35"/>
  <c r="F40" i="35"/>
  <c r="AE40" i="35" s="1"/>
  <c r="G40" i="35"/>
  <c r="O40" i="35" s="1"/>
  <c r="L40" i="35"/>
  <c r="M40" i="35"/>
  <c r="N40" i="35"/>
  <c r="Z40" i="35"/>
  <c r="AA40" i="35"/>
  <c r="AB40" i="35"/>
  <c r="AC40" i="35"/>
  <c r="AD40" i="35"/>
  <c r="F41" i="35"/>
  <c r="AE41" i="35" s="1"/>
  <c r="G41" i="35"/>
  <c r="O41" i="35" s="1"/>
  <c r="L41" i="35"/>
  <c r="M41" i="35"/>
  <c r="N41" i="35"/>
  <c r="Z41" i="35"/>
  <c r="AA41" i="35"/>
  <c r="AB41" i="35"/>
  <c r="AC41" i="35"/>
  <c r="AD41" i="35"/>
  <c r="F42" i="35"/>
  <c r="AE42" i="35" s="1"/>
  <c r="G42" i="35"/>
  <c r="O42" i="35" s="1"/>
  <c r="L42" i="35"/>
  <c r="M42" i="35"/>
  <c r="N42" i="35"/>
  <c r="Q42" i="35" s="1"/>
  <c r="S42" i="35" s="1"/>
  <c r="Z42" i="35"/>
  <c r="AA42" i="35"/>
  <c r="AB42" i="35"/>
  <c r="AC42" i="35"/>
  <c r="AD42" i="35"/>
  <c r="F43" i="35"/>
  <c r="G43" i="35"/>
  <c r="O43" i="35" s="1"/>
  <c r="L43" i="35"/>
  <c r="M43" i="35"/>
  <c r="N43" i="35"/>
  <c r="Z43" i="35"/>
  <c r="AA43" i="35"/>
  <c r="AB43" i="35"/>
  <c r="AC43" i="35"/>
  <c r="AD43" i="35"/>
  <c r="F44" i="35"/>
  <c r="AE44" i="35" s="1"/>
  <c r="AH44" i="35" s="1"/>
  <c r="G44" i="35"/>
  <c r="O44" i="35" s="1"/>
  <c r="L44" i="35"/>
  <c r="M44" i="35"/>
  <c r="N44" i="35"/>
  <c r="Z44" i="35"/>
  <c r="AA44" i="35"/>
  <c r="AB44" i="35"/>
  <c r="AC44" i="35"/>
  <c r="AD44" i="35"/>
  <c r="F45" i="35"/>
  <c r="AE45" i="35" s="1"/>
  <c r="G45" i="35"/>
  <c r="O45" i="35" s="1"/>
  <c r="L45" i="35"/>
  <c r="M45" i="35"/>
  <c r="N45" i="35"/>
  <c r="Q45" i="35"/>
  <c r="S45" i="35" s="1"/>
  <c r="Z45" i="35"/>
  <c r="AA45" i="35"/>
  <c r="AB45" i="35"/>
  <c r="AC45" i="35"/>
  <c r="AD45" i="35"/>
  <c r="F46" i="35"/>
  <c r="AE46" i="35" s="1"/>
  <c r="G46" i="35"/>
  <c r="O46" i="35" s="1"/>
  <c r="L46" i="35"/>
  <c r="M46" i="35"/>
  <c r="N46" i="35"/>
  <c r="Q46" i="35" s="1"/>
  <c r="S46" i="35" s="1"/>
  <c r="Z46" i="35"/>
  <c r="AA46" i="35"/>
  <c r="AB46" i="35"/>
  <c r="AC46" i="35"/>
  <c r="AD46" i="35"/>
  <c r="F47" i="35"/>
  <c r="P47" i="35" s="1"/>
  <c r="AE47" i="35"/>
  <c r="AF47" i="35" s="1"/>
  <c r="G47" i="35"/>
  <c r="O47" i="35" s="1"/>
  <c r="L47" i="35"/>
  <c r="M47" i="35"/>
  <c r="N47" i="35"/>
  <c r="Z47" i="35"/>
  <c r="AA47" i="35"/>
  <c r="AB47" i="35"/>
  <c r="AC47" i="35"/>
  <c r="AD47" i="35"/>
  <c r="F48" i="35"/>
  <c r="AE48" i="35" s="1"/>
  <c r="AI48" i="35" s="1"/>
  <c r="G48" i="35"/>
  <c r="O48" i="35" s="1"/>
  <c r="L48" i="35"/>
  <c r="M48" i="35"/>
  <c r="N48" i="35"/>
  <c r="Q48" i="35" s="1"/>
  <c r="S48" i="35" s="1"/>
  <c r="Z48" i="35"/>
  <c r="AA48" i="35"/>
  <c r="AB48" i="35"/>
  <c r="AC48" i="35"/>
  <c r="AD48" i="35"/>
  <c r="F49" i="35"/>
  <c r="P49" i="35" s="1"/>
  <c r="G49" i="35"/>
  <c r="L49" i="35"/>
  <c r="M49" i="35"/>
  <c r="N49" i="35"/>
  <c r="O49" i="35"/>
  <c r="R49" i="35"/>
  <c r="Z49" i="35"/>
  <c r="AA49" i="35"/>
  <c r="AB49" i="35"/>
  <c r="AC49" i="35"/>
  <c r="AD49" i="35"/>
  <c r="F50" i="35"/>
  <c r="AE50" i="35" s="1"/>
  <c r="AF50" i="35" s="1"/>
  <c r="AJ50" i="35" s="1"/>
  <c r="G50" i="35"/>
  <c r="O50" i="35" s="1"/>
  <c r="L50" i="35"/>
  <c r="M50" i="35"/>
  <c r="N50" i="35"/>
  <c r="Z50" i="35"/>
  <c r="AA50" i="35"/>
  <c r="AB50" i="35"/>
  <c r="AC50" i="35"/>
  <c r="AD50" i="35"/>
  <c r="AL1" i="1"/>
  <c r="AM1" i="1"/>
  <c r="AN1" i="1"/>
  <c r="AL2" i="1"/>
  <c r="AM2" i="1"/>
  <c r="AO2" i="1"/>
  <c r="AV2" i="1"/>
  <c r="AW2" i="1"/>
  <c r="K3" i="1"/>
  <c r="M3" i="1"/>
  <c r="R3" i="1"/>
  <c r="S3" i="1"/>
  <c r="AL3" i="1"/>
  <c r="AM3" i="1"/>
  <c r="AO3" i="1"/>
  <c r="AT3" i="1"/>
  <c r="AV3" i="1"/>
  <c r="AW3" i="1"/>
  <c r="BH3" i="1"/>
  <c r="BJ3" i="1"/>
  <c r="BK3" i="1"/>
  <c r="BP3" i="1"/>
  <c r="BQ3" i="1"/>
  <c r="BS3" i="1"/>
  <c r="BU3" i="1"/>
  <c r="BW3" i="1"/>
  <c r="CN3" i="1"/>
  <c r="CY3" i="1"/>
  <c r="DA3" i="1"/>
  <c r="K4" i="1"/>
  <c r="M4" i="1"/>
  <c r="R4" i="1"/>
  <c r="S4" i="1"/>
  <c r="AL4" i="1"/>
  <c r="AM4" i="1"/>
  <c r="AO4" i="1"/>
  <c r="AT4" i="1"/>
  <c r="AV4" i="1"/>
  <c r="AW4" i="1"/>
  <c r="BH4" i="1"/>
  <c r="BJ4" i="1"/>
  <c r="BK4" i="1"/>
  <c r="BP4" i="1"/>
  <c r="BQ4" i="1"/>
  <c r="BS4" i="1"/>
  <c r="BU4" i="1"/>
  <c r="BW4" i="1"/>
  <c r="CN4" i="1"/>
  <c r="CY4" i="1"/>
  <c r="DA4" i="1"/>
  <c r="K5" i="1"/>
  <c r="M5" i="1"/>
  <c r="R5" i="1"/>
  <c r="S5" i="1"/>
  <c r="AL5" i="1"/>
  <c r="AM5" i="1"/>
  <c r="AO5" i="1"/>
  <c r="AT5" i="1"/>
  <c r="AV5" i="1"/>
  <c r="AW5" i="1"/>
  <c r="BH5" i="1"/>
  <c r="BJ5" i="1"/>
  <c r="BK5" i="1"/>
  <c r="BP5" i="1"/>
  <c r="BQ5" i="1"/>
  <c r="BS5" i="1"/>
  <c r="BU5" i="1"/>
  <c r="BW5" i="1"/>
  <c r="CY5" i="1"/>
  <c r="DA5" i="1"/>
  <c r="K6" i="1"/>
  <c r="M6" i="1"/>
  <c r="R6" i="1"/>
  <c r="S6" i="1"/>
  <c r="AL6" i="1"/>
  <c r="AM6" i="1"/>
  <c r="AO6" i="1"/>
  <c r="AT6" i="1"/>
  <c r="AV6" i="1"/>
  <c r="AW6" i="1"/>
  <c r="BH6" i="1"/>
  <c r="BJ6" i="1"/>
  <c r="BK6" i="1"/>
  <c r="BP6" i="1"/>
  <c r="BQ6" i="1"/>
  <c r="BS6" i="1"/>
  <c r="BU6" i="1"/>
  <c r="BW6" i="1"/>
  <c r="CY6" i="1"/>
  <c r="DA6" i="1"/>
  <c r="K7" i="1"/>
  <c r="M7" i="1"/>
  <c r="R7" i="1"/>
  <c r="S7" i="1"/>
  <c r="AL7" i="1"/>
  <c r="AM7" i="1"/>
  <c r="AO7" i="1"/>
  <c r="AT7" i="1"/>
  <c r="AV7" i="1"/>
  <c r="AW7" i="1"/>
  <c r="BH7" i="1"/>
  <c r="BJ7" i="1"/>
  <c r="BK7" i="1"/>
  <c r="BP7" i="1"/>
  <c r="BQ7" i="1"/>
  <c r="BS7" i="1"/>
  <c r="BU7" i="1"/>
  <c r="BW7" i="1"/>
  <c r="CY7" i="1"/>
  <c r="DA7" i="1"/>
  <c r="K8" i="1"/>
  <c r="M8" i="1"/>
  <c r="R8" i="1"/>
  <c r="S8" i="1"/>
  <c r="AL8" i="1"/>
  <c r="AM8" i="1"/>
  <c r="AO8" i="1"/>
  <c r="AT8" i="1"/>
  <c r="AV8" i="1"/>
  <c r="AW8" i="1"/>
  <c r="BH8" i="1"/>
  <c r="BJ8" i="1"/>
  <c r="BK8" i="1"/>
  <c r="BP8" i="1"/>
  <c r="BQ8" i="1"/>
  <c r="BS8" i="1"/>
  <c r="BU8" i="1"/>
  <c r="BW8" i="1"/>
  <c r="CY8" i="1"/>
  <c r="DA8" i="1"/>
  <c r="K9" i="1"/>
  <c r="M9" i="1"/>
  <c r="R9" i="1"/>
  <c r="S9" i="1"/>
  <c r="AL9" i="1"/>
  <c r="AM9" i="1"/>
  <c r="AO9" i="1"/>
  <c r="AT9" i="1"/>
  <c r="AV9" i="1"/>
  <c r="AW9" i="1"/>
  <c r="BH9" i="1"/>
  <c r="BJ9" i="1"/>
  <c r="BK9" i="1"/>
  <c r="BP9" i="1"/>
  <c r="BQ9" i="1"/>
  <c r="BS9" i="1"/>
  <c r="BU9" i="1"/>
  <c r="BW9" i="1"/>
  <c r="CY9" i="1"/>
  <c r="DA9" i="1"/>
  <c r="K10" i="1"/>
  <c r="M10" i="1"/>
  <c r="R10" i="1"/>
  <c r="S10" i="1"/>
  <c r="AL10" i="1"/>
  <c r="AM10" i="1"/>
  <c r="AO10" i="1"/>
  <c r="AT10" i="1"/>
  <c r="AV10" i="1"/>
  <c r="AW10" i="1"/>
  <c r="BH10" i="1"/>
  <c r="BJ10" i="1"/>
  <c r="BK10" i="1"/>
  <c r="BP10" i="1"/>
  <c r="BQ10" i="1"/>
  <c r="BS10" i="1"/>
  <c r="BU10" i="1"/>
  <c r="BW10" i="1"/>
  <c r="CY10" i="1"/>
  <c r="DA10" i="1"/>
  <c r="K11" i="1"/>
  <c r="M11" i="1"/>
  <c r="R11" i="1"/>
  <c r="S11" i="1"/>
  <c r="AL11" i="1"/>
  <c r="AM11" i="1"/>
  <c r="AO11" i="1"/>
  <c r="AT11" i="1"/>
  <c r="AV11" i="1"/>
  <c r="AW11" i="1"/>
  <c r="BH11" i="1"/>
  <c r="BJ11" i="1"/>
  <c r="BK11" i="1"/>
  <c r="BP11" i="1"/>
  <c r="BQ11" i="1"/>
  <c r="BS11" i="1"/>
  <c r="BU11" i="1"/>
  <c r="BW11" i="1"/>
  <c r="CN11" i="1"/>
  <c r="CY11" i="1"/>
  <c r="DA11" i="1"/>
  <c r="K12" i="1"/>
  <c r="M12" i="1"/>
  <c r="R12" i="1"/>
  <c r="S12" i="1"/>
  <c r="AL12" i="1"/>
  <c r="AM12" i="1"/>
  <c r="AO12" i="1"/>
  <c r="AT12" i="1"/>
  <c r="AV12" i="1"/>
  <c r="AW12" i="1"/>
  <c r="BH12" i="1"/>
  <c r="BJ12" i="1"/>
  <c r="BK12" i="1"/>
  <c r="BP12" i="1"/>
  <c r="BQ12" i="1"/>
  <c r="BS12" i="1"/>
  <c r="BU12" i="1"/>
  <c r="BW12" i="1"/>
  <c r="CN12" i="1"/>
  <c r="CY12" i="1"/>
  <c r="DA12" i="1"/>
  <c r="DP12" i="1"/>
  <c r="K13" i="1"/>
  <c r="M13" i="1"/>
  <c r="R13" i="1"/>
  <c r="S13" i="1"/>
  <c r="AL13" i="1"/>
  <c r="AM13" i="1"/>
  <c r="AO13" i="1"/>
  <c r="AT13" i="1"/>
  <c r="AV13" i="1"/>
  <c r="AW13" i="1"/>
  <c r="BH13" i="1"/>
  <c r="BJ13" i="1"/>
  <c r="BK13" i="1"/>
  <c r="BP13" i="1"/>
  <c r="BQ13" i="1"/>
  <c r="BS13" i="1"/>
  <c r="BU13" i="1"/>
  <c r="BW13" i="1"/>
  <c r="CN13" i="1"/>
  <c r="CY13" i="1"/>
  <c r="DA13" i="1"/>
  <c r="DP13" i="1"/>
  <c r="K14" i="1"/>
  <c r="M14" i="1"/>
  <c r="R14" i="1"/>
  <c r="S14" i="1"/>
  <c r="AL14" i="1"/>
  <c r="AM14" i="1"/>
  <c r="AO14" i="1"/>
  <c r="AT14" i="1"/>
  <c r="AV14" i="1"/>
  <c r="AW14" i="1"/>
  <c r="BH14" i="1"/>
  <c r="BJ14" i="1"/>
  <c r="BK14" i="1"/>
  <c r="BP14" i="1"/>
  <c r="BQ14" i="1"/>
  <c r="BS14" i="1"/>
  <c r="BU14" i="1"/>
  <c r="BW14" i="1"/>
  <c r="CN14" i="1"/>
  <c r="CY14" i="1"/>
  <c r="DA14" i="1"/>
  <c r="DP14" i="1"/>
  <c r="K15" i="1"/>
  <c r="M15" i="1"/>
  <c r="R15" i="1"/>
  <c r="S15" i="1"/>
  <c r="AL15" i="1"/>
  <c r="AM15" i="1"/>
  <c r="AO15" i="1"/>
  <c r="AT15" i="1"/>
  <c r="AV15" i="1"/>
  <c r="AW15" i="1"/>
  <c r="BH15" i="1"/>
  <c r="BJ15" i="1"/>
  <c r="BK15" i="1"/>
  <c r="BP15" i="1"/>
  <c r="BQ15" i="1"/>
  <c r="BS15" i="1"/>
  <c r="BU15" i="1"/>
  <c r="BW15" i="1"/>
  <c r="CN15" i="1"/>
  <c r="CY15" i="1"/>
  <c r="DA15" i="1"/>
  <c r="DP15" i="1"/>
  <c r="K16" i="1"/>
  <c r="M16" i="1"/>
  <c r="R16" i="1"/>
  <c r="S16" i="1"/>
  <c r="AL16" i="1"/>
  <c r="AM16" i="1"/>
  <c r="AO16" i="1"/>
  <c r="AT16" i="1"/>
  <c r="AV16" i="1"/>
  <c r="AW16" i="1"/>
  <c r="BH16" i="1"/>
  <c r="BJ16" i="1"/>
  <c r="BK16" i="1"/>
  <c r="BP16" i="1"/>
  <c r="BQ16" i="1"/>
  <c r="BS16" i="1"/>
  <c r="BU16" i="1"/>
  <c r="BW16" i="1"/>
  <c r="CN16" i="1"/>
  <c r="CY16" i="1"/>
  <c r="DA16" i="1"/>
  <c r="DP16" i="1"/>
  <c r="K17" i="1"/>
  <c r="M17" i="1"/>
  <c r="R17" i="1"/>
  <c r="S17" i="1"/>
  <c r="AL17" i="1"/>
  <c r="AM17" i="1"/>
  <c r="AO17" i="1"/>
  <c r="AT17" i="1"/>
  <c r="AV17" i="1"/>
  <c r="AW17" i="1"/>
  <c r="BH17" i="1"/>
  <c r="BJ17" i="1"/>
  <c r="BK17" i="1"/>
  <c r="BP17" i="1"/>
  <c r="BQ17" i="1"/>
  <c r="BS17" i="1"/>
  <c r="BU17" i="1"/>
  <c r="BW17" i="1"/>
  <c r="CN17" i="1"/>
  <c r="CY17" i="1"/>
  <c r="DA17" i="1"/>
  <c r="DH17" i="1"/>
  <c r="DP17" i="1"/>
  <c r="EE17" i="1"/>
  <c r="K18" i="1"/>
  <c r="M18" i="1"/>
  <c r="P18" i="1"/>
  <c r="R18" i="1"/>
  <c r="S18" i="1"/>
  <c r="AL18" i="1"/>
  <c r="AM18" i="1"/>
  <c r="AO18" i="1"/>
  <c r="AT18" i="1"/>
  <c r="AV18" i="1"/>
  <c r="AW18" i="1"/>
  <c r="BH18" i="1"/>
  <c r="BJ18" i="1"/>
  <c r="BK18" i="1"/>
  <c r="BP18" i="1"/>
  <c r="BQ18" i="1"/>
  <c r="BS18" i="1"/>
  <c r="BU18" i="1"/>
  <c r="BW18" i="1"/>
  <c r="CG18" i="1"/>
  <c r="CN18" i="1"/>
  <c r="CY18" i="1"/>
  <c r="DA18" i="1"/>
  <c r="DP18" i="1"/>
  <c r="K19" i="1"/>
  <c r="M19" i="1"/>
  <c r="R19" i="1"/>
  <c r="S19" i="1"/>
  <c r="AL19" i="1"/>
  <c r="AM19" i="1"/>
  <c r="AO19" i="1"/>
  <c r="AT19" i="1"/>
  <c r="AV19" i="1"/>
  <c r="AW19" i="1"/>
  <c r="BH19" i="1"/>
  <c r="BJ19" i="1"/>
  <c r="BK19" i="1"/>
  <c r="BP19" i="1"/>
  <c r="BQ19" i="1"/>
  <c r="BS19" i="1"/>
  <c r="BU19" i="1"/>
  <c r="BW19" i="1"/>
  <c r="CN19" i="1"/>
  <c r="CY19" i="1"/>
  <c r="DA19" i="1"/>
  <c r="DP19" i="1"/>
  <c r="K20" i="1"/>
  <c r="M20" i="1"/>
  <c r="R20" i="1"/>
  <c r="S20" i="1"/>
  <c r="AL20" i="1"/>
  <c r="AM20" i="1"/>
  <c r="AO20" i="1"/>
  <c r="AT20" i="1"/>
  <c r="AV20" i="1"/>
  <c r="AW20" i="1"/>
  <c r="BH20" i="1"/>
  <c r="BJ20" i="1"/>
  <c r="BK20" i="1"/>
  <c r="BP20" i="1"/>
  <c r="BQ20" i="1"/>
  <c r="BS20" i="1"/>
  <c r="BU20" i="1"/>
  <c r="BW20" i="1"/>
  <c r="CN20" i="1"/>
  <c r="CY20" i="1"/>
  <c r="DA20" i="1"/>
  <c r="DP20" i="1"/>
  <c r="K21" i="1"/>
  <c r="M21" i="1"/>
  <c r="R21" i="1"/>
  <c r="S21" i="1"/>
  <c r="AL21" i="1"/>
  <c r="AM21" i="1"/>
  <c r="AO21" i="1"/>
  <c r="AT21" i="1"/>
  <c r="AV21" i="1"/>
  <c r="AW21" i="1"/>
  <c r="BH21" i="1"/>
  <c r="BJ21" i="1"/>
  <c r="BK21" i="1"/>
  <c r="BP21" i="1"/>
  <c r="BQ21" i="1"/>
  <c r="BS21" i="1"/>
  <c r="BU21" i="1"/>
  <c r="BW21" i="1"/>
  <c r="CN21" i="1"/>
  <c r="CY21" i="1"/>
  <c r="DA21" i="1"/>
  <c r="DP21" i="1"/>
  <c r="K22" i="1"/>
  <c r="M22" i="1"/>
  <c r="R22" i="1"/>
  <c r="S22" i="1"/>
  <c r="AL22" i="1"/>
  <c r="AM22" i="1"/>
  <c r="AO22" i="1"/>
  <c r="AT22" i="1"/>
  <c r="AV22" i="1"/>
  <c r="AW22" i="1"/>
  <c r="BH22" i="1"/>
  <c r="BJ22" i="1"/>
  <c r="BK22" i="1"/>
  <c r="BP22" i="1"/>
  <c r="BQ22" i="1"/>
  <c r="BS22" i="1"/>
  <c r="BU22" i="1"/>
  <c r="BW22" i="1"/>
  <c r="CY22" i="1"/>
  <c r="DA22" i="1"/>
  <c r="DP22" i="1"/>
  <c r="K23" i="1"/>
  <c r="M23" i="1"/>
  <c r="R23" i="1"/>
  <c r="S23" i="1"/>
  <c r="AL23" i="1"/>
  <c r="AM23" i="1"/>
  <c r="AO23" i="1"/>
  <c r="AT23" i="1"/>
  <c r="AV23" i="1"/>
  <c r="AW23" i="1"/>
  <c r="BH23" i="1"/>
  <c r="BJ23" i="1"/>
  <c r="BK23" i="1"/>
  <c r="BP23" i="1"/>
  <c r="BQ23" i="1"/>
  <c r="BS23" i="1"/>
  <c r="BU23" i="1"/>
  <c r="BW23" i="1"/>
  <c r="CY23" i="1"/>
  <c r="DA23" i="1"/>
  <c r="DP23" i="1"/>
  <c r="K24" i="1"/>
  <c r="M24" i="1"/>
  <c r="R24" i="1"/>
  <c r="S24" i="1"/>
  <c r="AL24" i="1"/>
  <c r="AM24" i="1"/>
  <c r="AO24" i="1"/>
  <c r="AT24" i="1"/>
  <c r="AV24" i="1"/>
  <c r="AW24" i="1"/>
  <c r="BH24" i="1"/>
  <c r="BJ24" i="1"/>
  <c r="BK24" i="1"/>
  <c r="BP24" i="1"/>
  <c r="BQ24" i="1"/>
  <c r="BS24" i="1"/>
  <c r="BU24" i="1"/>
  <c r="BW24" i="1"/>
  <c r="CY24" i="1"/>
  <c r="DA24" i="1"/>
  <c r="DP24" i="1"/>
  <c r="K25" i="1"/>
  <c r="M25" i="1"/>
  <c r="P25" i="1"/>
  <c r="R25" i="1"/>
  <c r="S25" i="1"/>
  <c r="AL25" i="1"/>
  <c r="AM25" i="1"/>
  <c r="AO25" i="1"/>
  <c r="AT25" i="1"/>
  <c r="AV25" i="1"/>
  <c r="AW25" i="1"/>
  <c r="BH25" i="1"/>
  <c r="BJ25" i="1"/>
  <c r="BK25" i="1"/>
  <c r="BP25" i="1"/>
  <c r="BQ25" i="1"/>
  <c r="BS25" i="1"/>
  <c r="BU25" i="1"/>
  <c r="BW25" i="1"/>
  <c r="CY25" i="1"/>
  <c r="DA25" i="1"/>
  <c r="DP25" i="1"/>
  <c r="K26" i="1"/>
  <c r="M26" i="1"/>
  <c r="R26" i="1"/>
  <c r="S26" i="1"/>
  <c r="AL26" i="1"/>
  <c r="AM26" i="1"/>
  <c r="AO26" i="1"/>
  <c r="AT26" i="1"/>
  <c r="AV26" i="1"/>
  <c r="AW26" i="1"/>
  <c r="BH26" i="1"/>
  <c r="BJ26" i="1"/>
  <c r="BK26" i="1"/>
  <c r="BP26" i="1"/>
  <c r="BQ26" i="1"/>
  <c r="BS26" i="1"/>
  <c r="BU26" i="1"/>
  <c r="BW26" i="1"/>
  <c r="CY26" i="1"/>
  <c r="DA26" i="1"/>
  <c r="DP26" i="1"/>
  <c r="K27" i="1"/>
  <c r="M27" i="1"/>
  <c r="R27" i="1"/>
  <c r="S27" i="1"/>
  <c r="AL27" i="1"/>
  <c r="AM27" i="1"/>
  <c r="AO27" i="1"/>
  <c r="AT27" i="1"/>
  <c r="AV27" i="1"/>
  <c r="AW27" i="1"/>
  <c r="BH27" i="1"/>
  <c r="BJ27" i="1"/>
  <c r="BK27" i="1"/>
  <c r="BP27" i="1"/>
  <c r="BQ27" i="1"/>
  <c r="BS27" i="1"/>
  <c r="BU27" i="1"/>
  <c r="BW27" i="1"/>
  <c r="CN27" i="1"/>
  <c r="CY27" i="1"/>
  <c r="DA27" i="1"/>
  <c r="DP27" i="1"/>
  <c r="K28" i="1"/>
  <c r="M28" i="1"/>
  <c r="R28" i="1"/>
  <c r="S28" i="1"/>
  <c r="AL28" i="1"/>
  <c r="AM28" i="1"/>
  <c r="AO28" i="1"/>
  <c r="AT28" i="1"/>
  <c r="AV28" i="1"/>
  <c r="AW28" i="1"/>
  <c r="BH28" i="1"/>
  <c r="BJ28" i="1"/>
  <c r="BK28" i="1"/>
  <c r="BP28" i="1"/>
  <c r="BQ28" i="1"/>
  <c r="BS28" i="1"/>
  <c r="BU28" i="1"/>
  <c r="BW28" i="1"/>
  <c r="CN28" i="1"/>
  <c r="CY28" i="1"/>
  <c r="DA28" i="1"/>
  <c r="DP28" i="1"/>
  <c r="K29" i="1"/>
  <c r="M29" i="1"/>
  <c r="R29" i="1"/>
  <c r="S29" i="1"/>
  <c r="AL29" i="1"/>
  <c r="AM29" i="1"/>
  <c r="AO29" i="1"/>
  <c r="AT29" i="1"/>
  <c r="AV29" i="1"/>
  <c r="AW29" i="1"/>
  <c r="BH29" i="1"/>
  <c r="BJ29" i="1"/>
  <c r="BK29" i="1"/>
  <c r="BP29" i="1"/>
  <c r="BQ29" i="1"/>
  <c r="BS29" i="1"/>
  <c r="BU29" i="1"/>
  <c r="BW29" i="1"/>
  <c r="CN29" i="1"/>
  <c r="CY29" i="1"/>
  <c r="DA29" i="1"/>
  <c r="DP29" i="1"/>
  <c r="K30" i="1"/>
  <c r="M30" i="1"/>
  <c r="R30" i="1"/>
  <c r="S30" i="1"/>
  <c r="AL30" i="1"/>
  <c r="AM30" i="1"/>
  <c r="AO30" i="1"/>
  <c r="AT30" i="1"/>
  <c r="AV30" i="1"/>
  <c r="AW30" i="1"/>
  <c r="BH30" i="1"/>
  <c r="BJ30" i="1"/>
  <c r="BK30" i="1"/>
  <c r="BP30" i="1"/>
  <c r="BQ30" i="1"/>
  <c r="BS30" i="1"/>
  <c r="BU30" i="1"/>
  <c r="BW30" i="1"/>
  <c r="CN30" i="1"/>
  <c r="CY30" i="1"/>
  <c r="DA30" i="1"/>
  <c r="DP30" i="1"/>
  <c r="K31" i="1"/>
  <c r="M31" i="1"/>
  <c r="R31" i="1"/>
  <c r="S31" i="1"/>
  <c r="AL31" i="1"/>
  <c r="AM31" i="1"/>
  <c r="AO31" i="1"/>
  <c r="AT31" i="1"/>
  <c r="AV31" i="1"/>
  <c r="AW31" i="1"/>
  <c r="BH31" i="1"/>
  <c r="BJ31" i="1"/>
  <c r="BK31" i="1"/>
  <c r="BP31" i="1"/>
  <c r="BQ31" i="1"/>
  <c r="BS31" i="1"/>
  <c r="BU31" i="1"/>
  <c r="BW31" i="1"/>
  <c r="CN31" i="1"/>
  <c r="CY31" i="1"/>
  <c r="DA31" i="1"/>
  <c r="DP31" i="1"/>
  <c r="K32" i="1"/>
  <c r="M32" i="1"/>
  <c r="R32" i="1"/>
  <c r="S32" i="1"/>
  <c r="AL32" i="1"/>
  <c r="AM32" i="1"/>
  <c r="AO32" i="1"/>
  <c r="AT32" i="1"/>
  <c r="AV32" i="1"/>
  <c r="AW32" i="1"/>
  <c r="BH32" i="1"/>
  <c r="BJ32" i="1"/>
  <c r="BK32" i="1"/>
  <c r="BP32" i="1"/>
  <c r="BQ32" i="1"/>
  <c r="BS32" i="1"/>
  <c r="BU32" i="1"/>
  <c r="BW32" i="1"/>
  <c r="CN32" i="1"/>
  <c r="CY32" i="1"/>
  <c r="DA32" i="1"/>
  <c r="DP32" i="1"/>
  <c r="EE32" i="1"/>
  <c r="K33" i="1"/>
  <c r="M33" i="1"/>
  <c r="R33" i="1"/>
  <c r="S33" i="1"/>
  <c r="AL33" i="1"/>
  <c r="AM33" i="1"/>
  <c r="AO33" i="1"/>
  <c r="AT33" i="1"/>
  <c r="AV33" i="1"/>
  <c r="AW33" i="1"/>
  <c r="BH33" i="1"/>
  <c r="BJ33" i="1"/>
  <c r="BK33" i="1"/>
  <c r="BP33" i="1"/>
  <c r="BQ33" i="1"/>
  <c r="BS33" i="1"/>
  <c r="BU33" i="1"/>
  <c r="BW33" i="1"/>
  <c r="CE33" i="1"/>
  <c r="CN33" i="1"/>
  <c r="CY33" i="1"/>
  <c r="DA33" i="1"/>
  <c r="DP33" i="1"/>
  <c r="EE33" i="1"/>
  <c r="K34" i="1"/>
  <c r="M34" i="1"/>
  <c r="R34" i="1"/>
  <c r="S34" i="1"/>
  <c r="AL34" i="1"/>
  <c r="AM34" i="1"/>
  <c r="AO34" i="1"/>
  <c r="AT34" i="1"/>
  <c r="AV34" i="1"/>
  <c r="AW34" i="1"/>
  <c r="BH34" i="1"/>
  <c r="BJ34" i="1"/>
  <c r="BK34" i="1"/>
  <c r="BP34" i="1"/>
  <c r="BQ34" i="1"/>
  <c r="BS34" i="1"/>
  <c r="BU34" i="1"/>
  <c r="BW34" i="1"/>
  <c r="CN34" i="1"/>
  <c r="CY34" i="1"/>
  <c r="DA34" i="1"/>
  <c r="DP34" i="1"/>
  <c r="EE34" i="1"/>
  <c r="K35" i="1"/>
  <c r="M35" i="1"/>
  <c r="R35" i="1"/>
  <c r="S35" i="1"/>
  <c r="AL35" i="1"/>
  <c r="AM35" i="1"/>
  <c r="AO35" i="1"/>
  <c r="AT35" i="1"/>
  <c r="AV35" i="1"/>
  <c r="AW35" i="1"/>
  <c r="BH35" i="1"/>
  <c r="BJ35" i="1"/>
  <c r="BK35" i="1"/>
  <c r="BP35" i="1"/>
  <c r="BQ35" i="1"/>
  <c r="BS35" i="1"/>
  <c r="BU35" i="1"/>
  <c r="BW35" i="1"/>
  <c r="CN35" i="1"/>
  <c r="CY35" i="1"/>
  <c r="DA35" i="1"/>
  <c r="DP35" i="1"/>
  <c r="EE35" i="1"/>
  <c r="K36" i="1"/>
  <c r="M36" i="1"/>
  <c r="R36" i="1"/>
  <c r="S36" i="1"/>
  <c r="AL36" i="1"/>
  <c r="AM36" i="1"/>
  <c r="AO36" i="1"/>
  <c r="AT36" i="1"/>
  <c r="AV36" i="1"/>
  <c r="AW36" i="1"/>
  <c r="BH36" i="1"/>
  <c r="BJ36" i="1"/>
  <c r="BK36" i="1"/>
  <c r="BP36" i="1"/>
  <c r="BQ36" i="1"/>
  <c r="BS36" i="1"/>
  <c r="BU36" i="1"/>
  <c r="BW36" i="1"/>
  <c r="CN36" i="1"/>
  <c r="CY36" i="1"/>
  <c r="DA36" i="1"/>
  <c r="DP36" i="1"/>
  <c r="EE36" i="1"/>
  <c r="K37" i="1"/>
  <c r="M37" i="1"/>
  <c r="R37" i="1"/>
  <c r="S37" i="1"/>
  <c r="AL37" i="1"/>
  <c r="AM37" i="1"/>
  <c r="AO37" i="1"/>
  <c r="AT37" i="1"/>
  <c r="AV37" i="1"/>
  <c r="AW37" i="1"/>
  <c r="BH37" i="1"/>
  <c r="BJ37" i="1"/>
  <c r="BK37" i="1"/>
  <c r="BP37" i="1"/>
  <c r="BQ37" i="1"/>
  <c r="BS37" i="1"/>
  <c r="BU37" i="1"/>
  <c r="BW37" i="1"/>
  <c r="CN37" i="1"/>
  <c r="CY37" i="1"/>
  <c r="DA37" i="1"/>
  <c r="DH37" i="1"/>
  <c r="DP37" i="1"/>
  <c r="EE37" i="1"/>
  <c r="K38" i="1"/>
  <c r="M38" i="1"/>
  <c r="R38" i="1"/>
  <c r="S38" i="1"/>
  <c r="AL38" i="1"/>
  <c r="AM38" i="1"/>
  <c r="AO38" i="1"/>
  <c r="AT38" i="1"/>
  <c r="AV38" i="1"/>
  <c r="AW38" i="1"/>
  <c r="BH38" i="1"/>
  <c r="BJ38" i="1"/>
  <c r="BK38" i="1"/>
  <c r="BP38" i="1"/>
  <c r="BQ38" i="1"/>
  <c r="BS38" i="1"/>
  <c r="BU38" i="1"/>
  <c r="BW38" i="1"/>
  <c r="CY38" i="1"/>
  <c r="DA38" i="1"/>
  <c r="DP38" i="1"/>
  <c r="EE38" i="1"/>
  <c r="K39" i="1"/>
  <c r="M39" i="1"/>
  <c r="R39" i="1"/>
  <c r="S39" i="1"/>
  <c r="AL39" i="1"/>
  <c r="AM39" i="1"/>
  <c r="AO39" i="1"/>
  <c r="AT39" i="1"/>
  <c r="AV39" i="1"/>
  <c r="AW39" i="1"/>
  <c r="BH39" i="1"/>
  <c r="BJ39" i="1"/>
  <c r="BK39" i="1"/>
  <c r="BP39" i="1"/>
  <c r="BQ39" i="1"/>
  <c r="BS39" i="1"/>
  <c r="BU39" i="1"/>
  <c r="BW39" i="1"/>
  <c r="CN39" i="1"/>
  <c r="CY39" i="1"/>
  <c r="DA39" i="1"/>
  <c r="DP39" i="1"/>
  <c r="EE39" i="1"/>
  <c r="K40" i="1"/>
  <c r="M40" i="1"/>
  <c r="R40" i="1"/>
  <c r="S40" i="1"/>
  <c r="AL40" i="1"/>
  <c r="AM40" i="1"/>
  <c r="AO40" i="1"/>
  <c r="AT40" i="1"/>
  <c r="AV40" i="1"/>
  <c r="AW40" i="1"/>
  <c r="BH40" i="1"/>
  <c r="BJ40" i="1"/>
  <c r="BK40" i="1"/>
  <c r="BP40" i="1"/>
  <c r="BQ40" i="1"/>
  <c r="BS40" i="1"/>
  <c r="BU40" i="1"/>
  <c r="BW40" i="1"/>
  <c r="CN40" i="1"/>
  <c r="CY40" i="1"/>
  <c r="DA40" i="1"/>
  <c r="DP40" i="1"/>
  <c r="EE40" i="1"/>
  <c r="K41" i="1"/>
  <c r="M41" i="1"/>
  <c r="R41" i="1"/>
  <c r="S41" i="1"/>
  <c r="AI41" i="1"/>
  <c r="AL41" i="1" s="1"/>
  <c r="AM41" i="1"/>
  <c r="AO41" i="1"/>
  <c r="AT41" i="1"/>
  <c r="AV41" i="1"/>
  <c r="AW41" i="1"/>
  <c r="BH41" i="1"/>
  <c r="BJ41" i="1"/>
  <c r="BK41" i="1"/>
  <c r="BP41" i="1"/>
  <c r="BQ41" i="1"/>
  <c r="BS41" i="1"/>
  <c r="BU41" i="1"/>
  <c r="BW41" i="1"/>
  <c r="CN41" i="1"/>
  <c r="CY41" i="1"/>
  <c r="DA41" i="1"/>
  <c r="DP41" i="1"/>
  <c r="EE41" i="1"/>
  <c r="K42" i="1"/>
  <c r="M42" i="1"/>
  <c r="R42" i="1"/>
  <c r="S42" i="1"/>
  <c r="AI42" i="1"/>
  <c r="AL42" i="1" s="1"/>
  <c r="AM42" i="1"/>
  <c r="AO42" i="1"/>
  <c r="AT42" i="1"/>
  <c r="AV42" i="1"/>
  <c r="AW42" i="1"/>
  <c r="BH42" i="1"/>
  <c r="BJ42" i="1"/>
  <c r="BK42" i="1"/>
  <c r="BP42" i="1"/>
  <c r="BQ42" i="1"/>
  <c r="BS42" i="1"/>
  <c r="BU42" i="1"/>
  <c r="BW42" i="1"/>
  <c r="CN42" i="1"/>
  <c r="CY42" i="1"/>
  <c r="DA42" i="1"/>
  <c r="DP42" i="1"/>
  <c r="EE42" i="1"/>
  <c r="K43" i="1"/>
  <c r="M43" i="1"/>
  <c r="R43" i="1"/>
  <c r="S43" i="1"/>
  <c r="AI43" i="1"/>
  <c r="AL43" i="1" s="1"/>
  <c r="AM43" i="1"/>
  <c r="AO43" i="1"/>
  <c r="AT43" i="1"/>
  <c r="AV43" i="1"/>
  <c r="AW43" i="1"/>
  <c r="BH43" i="1"/>
  <c r="BJ43" i="1"/>
  <c r="BK43" i="1"/>
  <c r="BP43" i="1"/>
  <c r="BQ43" i="1"/>
  <c r="BS43" i="1"/>
  <c r="BU43" i="1"/>
  <c r="BW43" i="1"/>
  <c r="CN43" i="1"/>
  <c r="CY43" i="1"/>
  <c r="DA43" i="1"/>
  <c r="DP43" i="1"/>
  <c r="EE43" i="1"/>
  <c r="K44" i="1"/>
  <c r="M44" i="1"/>
  <c r="R44" i="1"/>
  <c r="S44" i="1"/>
  <c r="AI44" i="1"/>
  <c r="AL44" i="1" s="1"/>
  <c r="AM44" i="1"/>
  <c r="AO44" i="1"/>
  <c r="AT44" i="1"/>
  <c r="AV44" i="1"/>
  <c r="AW44" i="1"/>
  <c r="BH44" i="1"/>
  <c r="BJ44" i="1"/>
  <c r="BK44" i="1"/>
  <c r="BP44" i="1"/>
  <c r="BQ44" i="1"/>
  <c r="BS44" i="1"/>
  <c r="BU44" i="1"/>
  <c r="BW44" i="1"/>
  <c r="CN44" i="1"/>
  <c r="CY44" i="1"/>
  <c r="DA44" i="1"/>
  <c r="DP44" i="1"/>
  <c r="EE44" i="1"/>
  <c r="K45" i="1"/>
  <c r="M45" i="1"/>
  <c r="R45" i="1"/>
  <c r="S45" i="1"/>
  <c r="AI45" i="1"/>
  <c r="AL45" i="1" s="1"/>
  <c r="AM45" i="1"/>
  <c r="AO45" i="1"/>
  <c r="AT45" i="1"/>
  <c r="AV45" i="1"/>
  <c r="AW45" i="1"/>
  <c r="BH45" i="1"/>
  <c r="BJ45" i="1"/>
  <c r="BK45" i="1"/>
  <c r="BP45" i="1"/>
  <c r="BQ45" i="1"/>
  <c r="BS45" i="1"/>
  <c r="BU45" i="1"/>
  <c r="BW45" i="1"/>
  <c r="CN45" i="1"/>
  <c r="CY45" i="1"/>
  <c r="DA45" i="1"/>
  <c r="DP45" i="1"/>
  <c r="EE45" i="1"/>
  <c r="K46" i="1"/>
  <c r="M46" i="1"/>
  <c r="R46" i="1"/>
  <c r="S46" i="1"/>
  <c r="AF46" i="1"/>
  <c r="AI46" i="1"/>
  <c r="AM46" i="1"/>
  <c r="AO46" i="1"/>
  <c r="AT46" i="1"/>
  <c r="AV46" i="1"/>
  <c r="AW46" i="1"/>
  <c r="BH46" i="1"/>
  <c r="BJ46" i="1"/>
  <c r="BK46" i="1"/>
  <c r="BP46" i="1"/>
  <c r="BQ46" i="1"/>
  <c r="BS46" i="1"/>
  <c r="BU46" i="1"/>
  <c r="BW46" i="1"/>
  <c r="CY46" i="1"/>
  <c r="DA46" i="1"/>
  <c r="DP46" i="1"/>
  <c r="EE46" i="1"/>
  <c r="K47" i="1"/>
  <c r="M47" i="1"/>
  <c r="R47" i="1"/>
  <c r="S47" i="1"/>
  <c r="AF47" i="1"/>
  <c r="AI47" i="1"/>
  <c r="AM47" i="1"/>
  <c r="AO47" i="1"/>
  <c r="AT47" i="1"/>
  <c r="AV47" i="1"/>
  <c r="AW47" i="1"/>
  <c r="BH47" i="1"/>
  <c r="BJ47" i="1"/>
  <c r="BK47" i="1"/>
  <c r="BP47" i="1"/>
  <c r="BQ47" i="1"/>
  <c r="BS47" i="1"/>
  <c r="BU47" i="1"/>
  <c r="BW47" i="1"/>
  <c r="CN47" i="1"/>
  <c r="CY47" i="1"/>
  <c r="DA47" i="1"/>
  <c r="K48" i="1"/>
  <c r="M48" i="1"/>
  <c r="R48" i="1"/>
  <c r="S48" i="1"/>
  <c r="AF48" i="1"/>
  <c r="AI48" i="1"/>
  <c r="AM48" i="1"/>
  <c r="AO48" i="1"/>
  <c r="AT48" i="1"/>
  <c r="AV48" i="1"/>
  <c r="AW48" i="1"/>
  <c r="BH48" i="1"/>
  <c r="BJ48" i="1"/>
  <c r="BK48" i="1"/>
  <c r="BP48" i="1"/>
  <c r="BQ48" i="1"/>
  <c r="BS48" i="1"/>
  <c r="BU48" i="1"/>
  <c r="BW48" i="1"/>
  <c r="CN48" i="1"/>
  <c r="CY48" i="1"/>
  <c r="DA48" i="1"/>
  <c r="K49" i="1"/>
  <c r="M49" i="1"/>
  <c r="R49" i="1"/>
  <c r="S49" i="1"/>
  <c r="AF49" i="1"/>
  <c r="AI49" i="1"/>
  <c r="AM49" i="1"/>
  <c r="AO49" i="1"/>
  <c r="AT49" i="1"/>
  <c r="AV49" i="1"/>
  <c r="AW49" i="1"/>
  <c r="BH49" i="1"/>
  <c r="BJ49" i="1"/>
  <c r="BK49" i="1"/>
  <c r="BP49" i="1"/>
  <c r="BQ49" i="1"/>
  <c r="BS49" i="1"/>
  <c r="BU49" i="1"/>
  <c r="BW49" i="1"/>
  <c r="CN49" i="1"/>
  <c r="CY49" i="1"/>
  <c r="DA49" i="1"/>
  <c r="D50" i="1"/>
  <c r="K50" i="1"/>
  <c r="M50" i="1"/>
  <c r="R50" i="1"/>
  <c r="S50" i="1"/>
  <c r="AF50" i="1"/>
  <c r="AI50" i="1"/>
  <c r="AM50" i="1"/>
  <c r="AO50" i="1"/>
  <c r="AT50" i="1"/>
  <c r="AV50" i="1"/>
  <c r="BH50" i="1"/>
  <c r="BJ50" i="1"/>
  <c r="BK50" i="1"/>
  <c r="BP50" i="1"/>
  <c r="BQ50" i="1"/>
  <c r="BS50" i="1"/>
  <c r="BU50" i="1"/>
  <c r="BW50" i="1"/>
  <c r="CN50" i="1"/>
  <c r="CY50" i="1"/>
  <c r="DA50" i="1"/>
  <c r="D4" i="62"/>
  <c r="D5" i="62"/>
  <c r="G5" i="62" s="1"/>
  <c r="D6" i="62"/>
  <c r="G6" i="62" s="1"/>
  <c r="F12" i="62"/>
  <c r="G12" i="62"/>
  <c r="F13" i="62"/>
  <c r="G13" i="62" s="1"/>
  <c r="F14" i="62"/>
  <c r="G14" i="62"/>
  <c r="F15" i="62"/>
  <c r="G15" i="62" s="1"/>
  <c r="F16" i="62"/>
  <c r="G16" i="62"/>
  <c r="F17" i="62"/>
  <c r="G17" i="62" s="1"/>
  <c r="F18" i="62"/>
  <c r="G18" i="62" s="1"/>
  <c r="F19" i="62"/>
  <c r="G19" i="62" s="1"/>
  <c r="F20" i="62"/>
  <c r="G20" i="62"/>
  <c r="F21" i="62"/>
  <c r="G21" i="62" s="1"/>
  <c r="F22" i="62"/>
  <c r="G22" i="62" s="1"/>
  <c r="F23" i="62"/>
  <c r="G23" i="62" s="1"/>
  <c r="F24" i="62"/>
  <c r="G24" i="62" s="1"/>
  <c r="F25" i="62"/>
  <c r="G25" i="62" s="1"/>
  <c r="F26" i="62"/>
  <c r="G26" i="62" s="1"/>
  <c r="F27" i="62"/>
  <c r="G27" i="62"/>
  <c r="F28" i="62"/>
  <c r="G28" i="62" s="1"/>
  <c r="F29" i="62"/>
  <c r="G29" i="62" s="1"/>
  <c r="F30" i="62"/>
  <c r="G30" i="62"/>
  <c r="F31" i="62"/>
  <c r="G31" i="62"/>
  <c r="F32" i="62"/>
  <c r="G32" i="62"/>
  <c r="F33" i="62"/>
  <c r="G33" i="62" s="1"/>
  <c r="F34" i="62"/>
  <c r="G34" i="62" s="1"/>
  <c r="F35" i="62"/>
  <c r="G35" i="62" s="1"/>
  <c r="F36" i="62"/>
  <c r="G36" i="62"/>
  <c r="F37" i="62"/>
  <c r="G37" i="62"/>
  <c r="F38" i="62"/>
  <c r="G38" i="62"/>
  <c r="F39" i="62"/>
  <c r="G39" i="62"/>
  <c r="F40" i="62"/>
  <c r="G40" i="62" s="1"/>
  <c r="F41" i="62"/>
  <c r="G41" i="62" s="1"/>
  <c r="F42" i="62"/>
  <c r="G42" i="62" s="1"/>
  <c r="F43" i="62"/>
  <c r="G43" i="62" s="1"/>
  <c r="F44" i="62"/>
  <c r="G44" i="62"/>
  <c r="F45" i="62"/>
  <c r="G45" i="62" s="1"/>
  <c r="F46" i="62"/>
  <c r="G46" i="62"/>
  <c r="F47" i="62"/>
  <c r="G47" i="62"/>
  <c r="F48" i="62"/>
  <c r="G48" i="62"/>
  <c r="F49" i="62"/>
  <c r="G49" i="62"/>
  <c r="F50" i="62"/>
  <c r="G50" i="62"/>
  <c r="F51" i="62"/>
  <c r="G51" i="62"/>
  <c r="F52" i="62"/>
  <c r="G52" i="62"/>
  <c r="F53" i="62"/>
  <c r="G53" i="62"/>
  <c r="F54" i="62"/>
  <c r="G54" i="62"/>
  <c r="F55" i="62"/>
  <c r="G55" i="62" s="1"/>
  <c r="F56" i="62"/>
  <c r="G56" i="62" s="1"/>
  <c r="F57" i="62"/>
  <c r="G57" i="62" s="1"/>
  <c r="F58" i="62"/>
  <c r="G58" i="62" s="1"/>
  <c r="F59" i="62"/>
  <c r="G59" i="62" s="1"/>
  <c r="F60" i="62"/>
  <c r="G60" i="62"/>
  <c r="I13" i="58"/>
  <c r="N27" i="63"/>
  <c r="N25" i="63"/>
  <c r="N23" i="63"/>
  <c r="P18" i="63"/>
  <c r="P20" i="63"/>
  <c r="AE54" i="35"/>
  <c r="AF54" i="35" s="1"/>
  <c r="AL54" i="35" s="1"/>
  <c r="AI53" i="35"/>
  <c r="AF53" i="35"/>
  <c r="AK53" i="35" s="1"/>
  <c r="K54" i="35"/>
  <c r="O54" i="35" s="1"/>
  <c r="D5" i="69"/>
  <c r="E5" i="69"/>
  <c r="P53" i="35"/>
  <c r="AF46" i="35"/>
  <c r="AH46" i="35"/>
  <c r="AI46" i="35"/>
  <c r="J11" i="58"/>
  <c r="P46" i="35"/>
  <c r="P44" i="35"/>
  <c r="D12" i="69"/>
  <c r="EV26" i="1"/>
  <c r="AF20" i="35"/>
  <c r="AJ20" i="35" s="1"/>
  <c r="AH20" i="35"/>
  <c r="AI20" i="35"/>
  <c r="Q9" i="35"/>
  <c r="S9" i="35" s="1"/>
  <c r="N16" i="62"/>
  <c r="N32" i="62"/>
  <c r="N48" i="62"/>
  <c r="CO6" i="1"/>
  <c r="P20" i="35"/>
  <c r="CO7" i="1"/>
  <c r="P17" i="95"/>
  <c r="M50" i="40"/>
  <c r="S50" i="40" s="1"/>
  <c r="CO8" i="1"/>
  <c r="I11" i="58"/>
  <c r="CN46" i="1"/>
  <c r="G13" i="58"/>
  <c r="H13" i="58"/>
  <c r="J13" i="58"/>
  <c r="M27" i="95"/>
  <c r="M10" i="95"/>
  <c r="M11" i="95"/>
  <c r="O10" i="95"/>
  <c r="DJ38" i="1"/>
  <c r="H11" i="58"/>
  <c r="D8" i="69"/>
  <c r="EL17" i="1"/>
  <c r="N13" i="53"/>
  <c r="K52" i="35"/>
  <c r="P25" i="95"/>
  <c r="AH48" i="35"/>
  <c r="Q35" i="35"/>
  <c r="S35" i="35"/>
  <c r="G18" i="58"/>
  <c r="CN5" i="1"/>
  <c r="H14" i="58"/>
  <c r="FA17" i="1" l="1"/>
  <c r="EH54" i="1"/>
  <c r="EH55" i="1"/>
  <c r="DH39" i="1"/>
  <c r="EH56" i="1"/>
  <c r="AA23" i="1"/>
  <c r="EZ28" i="1"/>
  <c r="EG4" i="1"/>
  <c r="EG7" i="1"/>
  <c r="EG8" i="1"/>
  <c r="EG40" i="1"/>
  <c r="EG39" i="1"/>
  <c r="BE43" i="1"/>
  <c r="EG42" i="1"/>
  <c r="EG16" i="1"/>
  <c r="EG49" i="1"/>
  <c r="AD48" i="1"/>
  <c r="EG19" i="1"/>
  <c r="EG52" i="1"/>
  <c r="EG22" i="1"/>
  <c r="EG11" i="1"/>
  <c r="EG23" i="1"/>
  <c r="DH18" i="1"/>
  <c r="EG30" i="1"/>
  <c r="EG32" i="1"/>
  <c r="EG3" i="1"/>
  <c r="CD25" i="1"/>
  <c r="EG12" i="1"/>
  <c r="EG47" i="1"/>
  <c r="EG26" i="1"/>
  <c r="EG45" i="1"/>
  <c r="EG46" i="1"/>
  <c r="EG28" i="1"/>
  <c r="P21" i="58"/>
  <c r="O14" i="58"/>
  <c r="N10" i="53"/>
  <c r="O14" i="95"/>
  <c r="AI52" i="35"/>
  <c r="I10" i="58"/>
  <c r="J6" i="58"/>
  <c r="AI12" i="35"/>
  <c r="AH12" i="35"/>
  <c r="N20" i="55"/>
  <c r="O13" i="55" s="1"/>
  <c r="Q43" i="35"/>
  <c r="S43" i="35" s="1"/>
  <c r="N19" i="55"/>
  <c r="E24" i="41"/>
  <c r="K24" i="41" s="1"/>
  <c r="N39" i="62"/>
  <c r="N25" i="95"/>
  <c r="N17" i="95"/>
  <c r="N9" i="95"/>
  <c r="N3" i="95"/>
  <c r="F78" i="55"/>
  <c r="P9" i="95"/>
  <c r="M48" i="95"/>
  <c r="M24" i="95"/>
  <c r="M8" i="95"/>
  <c r="M30" i="95"/>
  <c r="AH52" i="35"/>
  <c r="P42" i="35"/>
  <c r="Q16" i="35"/>
  <c r="S16" i="35" s="1"/>
  <c r="I6" i="58"/>
  <c r="O28" i="95"/>
  <c r="J10" i="58"/>
  <c r="O15" i="58"/>
  <c r="AE23" i="35"/>
  <c r="AF23" i="35" s="1"/>
  <c r="AL23" i="35" s="1"/>
  <c r="E13" i="69"/>
  <c r="AQ41" i="1"/>
  <c r="E10" i="69"/>
  <c r="EV23" i="1"/>
  <c r="Q22" i="35"/>
  <c r="S22" i="35" s="1"/>
  <c r="N22" i="63"/>
  <c r="N25" i="62"/>
  <c r="N56" i="62"/>
  <c r="O8" i="95"/>
  <c r="O7" i="58"/>
  <c r="P29" i="63"/>
  <c r="P30" i="63"/>
  <c r="M53" i="95"/>
  <c r="D6" i="69"/>
  <c r="Q47" i="35"/>
  <c r="S47" i="35" s="1"/>
  <c r="I17" i="58"/>
  <c r="P41" i="35"/>
  <c r="N29" i="63"/>
  <c r="N30" i="63"/>
  <c r="P36" i="35"/>
  <c r="P26" i="1"/>
  <c r="I18" i="58"/>
  <c r="N32" i="95"/>
  <c r="N15" i="95"/>
  <c r="N9" i="53"/>
  <c r="O30" i="95"/>
  <c r="P48" i="35"/>
  <c r="E25" i="41"/>
  <c r="K25" i="41" s="1"/>
  <c r="EV25" i="1"/>
  <c r="EW26" i="1" s="1"/>
  <c r="H18" i="58"/>
  <c r="AE49" i="35"/>
  <c r="AF49" i="35" s="1"/>
  <c r="AK49" i="35" s="1"/>
  <c r="AB43" i="1"/>
  <c r="Q14" i="35"/>
  <c r="S14" i="35" s="1"/>
  <c r="N57" i="62"/>
  <c r="AB6" i="1"/>
  <c r="E2" i="41"/>
  <c r="K2" i="41" s="1"/>
  <c r="P47" i="95"/>
  <c r="P39" i="95"/>
  <c r="P15" i="95"/>
  <c r="EG6" i="1"/>
  <c r="EG10" i="1"/>
  <c r="EG14" i="1"/>
  <c r="EG18" i="1"/>
  <c r="EG34" i="1"/>
  <c r="EG38" i="1"/>
  <c r="EG50" i="1"/>
  <c r="CK57" i="1"/>
  <c r="CI57" i="1"/>
  <c r="EY17" i="1"/>
  <c r="AZ24" i="1"/>
  <c r="EG15" i="1"/>
  <c r="E26" i="41"/>
  <c r="K26" i="41" s="1"/>
  <c r="EG27" i="1"/>
  <c r="EV31" i="1"/>
  <c r="EG31" i="1"/>
  <c r="EV35" i="1"/>
  <c r="EG35" i="1"/>
  <c r="EG43" i="1"/>
  <c r="EG51" i="1"/>
  <c r="DH15" i="1"/>
  <c r="DH11" i="1"/>
  <c r="DH46" i="1"/>
  <c r="DH30" i="1"/>
  <c r="T47" i="1"/>
  <c r="U43" i="1"/>
  <c r="B30" i="41"/>
  <c r="CG19" i="1"/>
  <c r="EG20" i="1"/>
  <c r="EV24" i="1"/>
  <c r="EG24" i="1"/>
  <c r="EV36" i="1"/>
  <c r="EW36" i="1" s="1"/>
  <c r="EG36" i="1"/>
  <c r="EV44" i="1"/>
  <c r="EG44" i="1"/>
  <c r="EG48" i="1"/>
  <c r="AZ10" i="1"/>
  <c r="J28" i="41"/>
  <c r="AA28" i="1"/>
  <c r="DL8" i="1"/>
  <c r="CE26" i="1"/>
  <c r="EG5" i="1"/>
  <c r="EG9" i="1"/>
  <c r="EG13" i="1"/>
  <c r="EG17" i="1"/>
  <c r="EG21" i="1"/>
  <c r="EG25" i="1"/>
  <c r="EV29" i="1"/>
  <c r="EG29" i="1"/>
  <c r="EG33" i="1"/>
  <c r="EG37" i="1"/>
  <c r="EG41" i="1"/>
  <c r="CD54" i="1"/>
  <c r="EG53" i="1"/>
  <c r="N20" i="63"/>
  <c r="P27" i="63"/>
  <c r="CP52" i="1" s="1"/>
  <c r="P25" i="63"/>
  <c r="CD28" i="1"/>
  <c r="P49" i="1"/>
  <c r="E27" i="41"/>
  <c r="K27" i="41" s="1"/>
  <c r="H41" i="41"/>
  <c r="EU25" i="1"/>
  <c r="AB29" i="1"/>
  <c r="AC29" i="1" s="1"/>
  <c r="AB27" i="1"/>
  <c r="AC28" i="1" s="1"/>
  <c r="CW48" i="1"/>
  <c r="B34" i="41"/>
  <c r="EU22" i="1"/>
  <c r="DJ19" i="1"/>
  <c r="AP39" i="1"/>
  <c r="EV27" i="1"/>
  <c r="EW27" i="1" s="1"/>
  <c r="B16" i="41"/>
  <c r="H42" i="41"/>
  <c r="V23" i="1"/>
  <c r="B23" i="41"/>
  <c r="U34" i="1"/>
  <c r="T57" i="1"/>
  <c r="U57" i="1"/>
  <c r="R57" i="35"/>
  <c r="S57" i="35" s="1"/>
  <c r="Q50" i="1"/>
  <c r="P35" i="1"/>
  <c r="Q49" i="1"/>
  <c r="EP50" i="1"/>
  <c r="EQ50" i="1" s="1"/>
  <c r="AD56" i="1"/>
  <c r="AE57" i="1" s="1"/>
  <c r="AA57" i="1"/>
  <c r="T34" i="1"/>
  <c r="EL49" i="1"/>
  <c r="X34" i="1"/>
  <c r="D33" i="41" s="1"/>
  <c r="CG4" i="1"/>
  <c r="U50" i="1"/>
  <c r="CD27" i="1"/>
  <c r="EK14" i="1"/>
  <c r="AK55" i="1"/>
  <c r="AJ56" i="35" s="1"/>
  <c r="AN56" i="1"/>
  <c r="AP56" i="1" s="1"/>
  <c r="P50" i="1"/>
  <c r="X50" i="1"/>
  <c r="Y50" i="1" s="1"/>
  <c r="J43" i="41"/>
  <c r="E41" i="41"/>
  <c r="K41" i="41" s="1"/>
  <c r="EL50" i="1"/>
  <c r="EE49" i="1"/>
  <c r="BF42" i="1"/>
  <c r="J42" i="41" s="1"/>
  <c r="V49" i="1"/>
  <c r="W49" i="1" s="1"/>
  <c r="EL35" i="1"/>
  <c r="Q24" i="1"/>
  <c r="X45" i="1"/>
  <c r="Q55" i="1"/>
  <c r="R56" i="35"/>
  <c r="S56" i="35" s="1"/>
  <c r="R51" i="35"/>
  <c r="X51" i="1"/>
  <c r="CD8" i="1"/>
  <c r="AL46" i="1"/>
  <c r="P24" i="1"/>
  <c r="B51" i="41"/>
  <c r="CW22" i="1"/>
  <c r="CJ4" i="1"/>
  <c r="CG13" i="1"/>
  <c r="CG15" i="1"/>
  <c r="CJ30" i="1"/>
  <c r="CJ46" i="1"/>
  <c r="DH24" i="1"/>
  <c r="EU52" i="1"/>
  <c r="DL29" i="1"/>
  <c r="CJ17" i="1"/>
  <c r="CJ33" i="1"/>
  <c r="CE42" i="1"/>
  <c r="CJ18" i="1"/>
  <c r="F17" i="41" s="1"/>
  <c r="DJ24" i="1"/>
  <c r="CG26" i="1"/>
  <c r="EU27" i="1"/>
  <c r="DL13" i="1"/>
  <c r="CE4" i="1"/>
  <c r="CJ19" i="1"/>
  <c r="H40" i="41"/>
  <c r="AZ23" i="1"/>
  <c r="AZ53" i="1"/>
  <c r="AE30" i="1"/>
  <c r="AZ31" i="1"/>
  <c r="J12" i="41"/>
  <c r="AX37" i="1"/>
  <c r="AX15" i="1"/>
  <c r="O52" i="35"/>
  <c r="AI9" i="35"/>
  <c r="AH9" i="35"/>
  <c r="P25" i="35"/>
  <c r="AE27" i="35"/>
  <c r="AF33" i="35"/>
  <c r="AL33" i="35" s="1"/>
  <c r="AI33" i="35"/>
  <c r="AH33" i="35"/>
  <c r="AI22" i="35"/>
  <c r="AF22" i="35"/>
  <c r="AL22" i="35" s="1"/>
  <c r="AH22" i="35"/>
  <c r="AH36" i="35"/>
  <c r="AI36" i="35"/>
  <c r="AF36" i="35"/>
  <c r="AL36" i="35" s="1"/>
  <c r="AF6" i="35"/>
  <c r="AK6" i="35" s="1"/>
  <c r="AH6" i="35"/>
  <c r="AI6" i="35"/>
  <c r="AH40" i="35"/>
  <c r="AI40" i="35"/>
  <c r="AG40" i="35"/>
  <c r="AF40" i="35"/>
  <c r="AK40" i="35" s="1"/>
  <c r="AI30" i="35"/>
  <c r="AH30" i="35"/>
  <c r="AF30" i="35"/>
  <c r="AJ30" i="35" s="1"/>
  <c r="P13" i="35"/>
  <c r="Q6" i="35"/>
  <c r="S6" i="35" s="1"/>
  <c r="AH50" i="35"/>
  <c r="Q39" i="35"/>
  <c r="S39" i="35" s="1"/>
  <c r="AI50" i="35"/>
  <c r="Q36" i="35"/>
  <c r="S36" i="35" s="1"/>
  <c r="P33" i="35"/>
  <c r="P30" i="35"/>
  <c r="Q30" i="35"/>
  <c r="S30" i="35" s="1"/>
  <c r="Q23" i="35"/>
  <c r="S23" i="35" s="1"/>
  <c r="Q50" i="35"/>
  <c r="S50" i="35" s="1"/>
  <c r="P26" i="35"/>
  <c r="P50" i="35"/>
  <c r="P40" i="35"/>
  <c r="P5" i="35"/>
  <c r="Q19" i="35"/>
  <c r="S19" i="35" s="1"/>
  <c r="Q5" i="35"/>
  <c r="S5" i="35" s="1"/>
  <c r="Q41" i="35"/>
  <c r="S41" i="35" s="1"/>
  <c r="AE8" i="35"/>
  <c r="AF8" i="35" s="1"/>
  <c r="AL8" i="35" s="1"/>
  <c r="AG12" i="35"/>
  <c r="AE38" i="35"/>
  <c r="Q32" i="35"/>
  <c r="S32" i="35" s="1"/>
  <c r="Q25" i="35"/>
  <c r="S25" i="35" s="1"/>
  <c r="AE11" i="35"/>
  <c r="AF11" i="35" s="1"/>
  <c r="Q49" i="35"/>
  <c r="S49" i="35" s="1"/>
  <c r="AG49" i="35"/>
  <c r="Q44" i="35"/>
  <c r="S44" i="35" s="1"/>
  <c r="AG50" i="35"/>
  <c r="AH19" i="35"/>
  <c r="AI19" i="35"/>
  <c r="AH49" i="35"/>
  <c r="AI49" i="35"/>
  <c r="P19" i="35"/>
  <c r="Q28" i="35"/>
  <c r="S28" i="35" s="1"/>
  <c r="AF44" i="35"/>
  <c r="AL44" i="35" s="1"/>
  <c r="Q40" i="35"/>
  <c r="S40" i="35" s="1"/>
  <c r="P10" i="35"/>
  <c r="O51" i="35"/>
  <c r="Q34" i="35"/>
  <c r="S34" i="35" s="1"/>
  <c r="AG22" i="35"/>
  <c r="P3" i="35"/>
  <c r="AH3" i="35"/>
  <c r="P22" i="35"/>
  <c r="AI3" i="35"/>
  <c r="Q31" i="35"/>
  <c r="S31" i="35" s="1"/>
  <c r="AE21" i="35"/>
  <c r="AF21" i="35" s="1"/>
  <c r="AL21" i="35" s="1"/>
  <c r="M18" i="40"/>
  <c r="S18" i="40" s="1"/>
  <c r="L29" i="40"/>
  <c r="R29" i="40" s="1"/>
  <c r="L57" i="40"/>
  <c r="R57" i="40" s="1"/>
  <c r="M57" i="40"/>
  <c r="S57" i="40" s="1"/>
  <c r="L50" i="40"/>
  <c r="R50" i="40" s="1"/>
  <c r="M27" i="40"/>
  <c r="S27" i="40" s="1"/>
  <c r="M16" i="40"/>
  <c r="S16" i="40" s="1"/>
  <c r="L28" i="40"/>
  <c r="R28" i="40" s="1"/>
  <c r="M29" i="40"/>
  <c r="S29" i="40" s="1"/>
  <c r="L16" i="40"/>
  <c r="R16" i="40" s="1"/>
  <c r="L22" i="40"/>
  <c r="R22" i="40" s="1"/>
  <c r="M45" i="40"/>
  <c r="S45" i="40" s="1"/>
  <c r="L7" i="40"/>
  <c r="R7" i="40" s="1"/>
  <c r="M31" i="40"/>
  <c r="S31" i="40" s="1"/>
  <c r="M39" i="40"/>
  <c r="S39" i="40" s="1"/>
  <c r="M6" i="40"/>
  <c r="S6" i="40" s="1"/>
  <c r="M23" i="40"/>
  <c r="S23" i="40" s="1"/>
  <c r="L40" i="40"/>
  <c r="R40" i="40" s="1"/>
  <c r="M22" i="40"/>
  <c r="S22" i="40" s="1"/>
  <c r="M42" i="40"/>
  <c r="S42" i="40" s="1"/>
  <c r="M12" i="40"/>
  <c r="S12" i="40" s="1"/>
  <c r="M10" i="40"/>
  <c r="S10" i="40" s="1"/>
  <c r="L18" i="40"/>
  <c r="R18" i="40" s="1"/>
  <c r="U49" i="1"/>
  <c r="EE48" i="1"/>
  <c r="X26" i="1"/>
  <c r="P27" i="1"/>
  <c r="CW23" i="1"/>
  <c r="EU35" i="1"/>
  <c r="CE25" i="1"/>
  <c r="CE41" i="1"/>
  <c r="EU38" i="1"/>
  <c r="J14" i="41"/>
  <c r="CJ9" i="1"/>
  <c r="CJ41" i="1"/>
  <c r="AZ3" i="1"/>
  <c r="AQ47" i="1"/>
  <c r="CE11" i="1"/>
  <c r="CE43" i="1"/>
  <c r="U26" i="1"/>
  <c r="CJ44" i="1"/>
  <c r="AA39" i="1"/>
  <c r="X27" i="1"/>
  <c r="EU18" i="1"/>
  <c r="BE16" i="1"/>
  <c r="AP26" i="1"/>
  <c r="Q26" i="1"/>
  <c r="CE29" i="1"/>
  <c r="EE8" i="1"/>
  <c r="T24" i="1"/>
  <c r="Q48" i="1"/>
  <c r="J15" i="41"/>
  <c r="CE45" i="1"/>
  <c r="P48" i="1"/>
  <c r="EP35" i="1"/>
  <c r="EQ35" i="1" s="1"/>
  <c r="B48" i="41"/>
  <c r="P42" i="1"/>
  <c r="EM32" i="1"/>
  <c r="T49" i="1"/>
  <c r="BD37" i="1"/>
  <c r="CG6" i="1"/>
  <c r="B2" i="41"/>
  <c r="V12" i="1"/>
  <c r="C11" i="41" s="1"/>
  <c r="EE31" i="1"/>
  <c r="E36" i="41"/>
  <c r="K36" i="41" s="1"/>
  <c r="DL11" i="1"/>
  <c r="BD45" i="1"/>
  <c r="X23" i="1"/>
  <c r="AZ36" i="1"/>
  <c r="CJ5" i="1"/>
  <c r="AA26" i="1"/>
  <c r="H14" i="41"/>
  <c r="BD16" i="1"/>
  <c r="BE45" i="1"/>
  <c r="H44" i="41"/>
  <c r="AA29" i="1"/>
  <c r="B25" i="41"/>
  <c r="H15" i="41"/>
  <c r="EF6" i="1"/>
  <c r="EM6" i="1" s="1"/>
  <c r="E53" i="41"/>
  <c r="K53" i="41" s="1"/>
  <c r="AB37" i="1"/>
  <c r="AC38" i="1" s="1"/>
  <c r="BE15" i="1"/>
  <c r="CG22" i="1"/>
  <c r="BD13" i="1"/>
  <c r="EL44" i="1"/>
  <c r="AA7" i="1"/>
  <c r="AZ17" i="1"/>
  <c r="AZ49" i="1"/>
  <c r="BE12" i="1"/>
  <c r="AA38" i="1"/>
  <c r="BE14" i="1"/>
  <c r="H11" i="41"/>
  <c r="AB8" i="1"/>
  <c r="AX43" i="1"/>
  <c r="AB42" i="1"/>
  <c r="H13" i="41"/>
  <c r="EL47" i="1"/>
  <c r="BD14" i="1"/>
  <c r="AB26" i="1"/>
  <c r="U24" i="1"/>
  <c r="J44" i="41"/>
  <c r="BE13" i="1"/>
  <c r="P23" i="1"/>
  <c r="CE12" i="1"/>
  <c r="AA37" i="1"/>
  <c r="BD44" i="1"/>
  <c r="E9" i="41"/>
  <c r="K9" i="41" s="1"/>
  <c r="AE41" i="1"/>
  <c r="BD42" i="1"/>
  <c r="DL9" i="1"/>
  <c r="BD43" i="1"/>
  <c r="DL14" i="1"/>
  <c r="EO47" i="1"/>
  <c r="AA32" i="1"/>
  <c r="AG47" i="35"/>
  <c r="BE42" i="1"/>
  <c r="I42" i="41" s="1"/>
  <c r="J26" i="41"/>
  <c r="DL53" i="1"/>
  <c r="T3" i="1"/>
  <c r="CJ24" i="1"/>
  <c r="DL17" i="1"/>
  <c r="EP18" i="1"/>
  <c r="EQ18" i="1" s="1"/>
  <c r="CG25" i="1"/>
  <c r="CD7" i="1"/>
  <c r="BE41" i="1"/>
  <c r="CD41" i="1"/>
  <c r="AB14" i="1"/>
  <c r="AC15" i="1" s="1"/>
  <c r="X30" i="1"/>
  <c r="EE23" i="1"/>
  <c r="Y33" i="1"/>
  <c r="EF21" i="1"/>
  <c r="EM21" i="1" s="1"/>
  <c r="AP12" i="1"/>
  <c r="CD36" i="1"/>
  <c r="EF5" i="1"/>
  <c r="CJ27" i="1"/>
  <c r="AP5" i="1"/>
  <c r="AX46" i="1"/>
  <c r="Q18" i="1"/>
  <c r="H2" i="41"/>
  <c r="AE12" i="1"/>
  <c r="AA44" i="1"/>
  <c r="T6" i="1"/>
  <c r="DL4" i="1"/>
  <c r="P45" i="1"/>
  <c r="AZ28" i="1"/>
  <c r="BD12" i="1"/>
  <c r="DL31" i="1"/>
  <c r="Q46" i="1"/>
  <c r="AQ43" i="1"/>
  <c r="P46" i="1"/>
  <c r="AQ44" i="1"/>
  <c r="EU53" i="1"/>
  <c r="AP46" i="1"/>
  <c r="AP27" i="1"/>
  <c r="Q45" i="1"/>
  <c r="AD7" i="1"/>
  <c r="AE7" i="1" s="1"/>
  <c r="Q9" i="1"/>
  <c r="AX31" i="1"/>
  <c r="P9" i="1"/>
  <c r="U48" i="1"/>
  <c r="AZ37" i="1"/>
  <c r="X39" i="1"/>
  <c r="V3" i="1"/>
  <c r="W4" i="1" s="1"/>
  <c r="EL45" i="1"/>
  <c r="BF22" i="1"/>
  <c r="J22" i="41" s="1"/>
  <c r="X46" i="1"/>
  <c r="Q47" i="1"/>
  <c r="P47" i="1"/>
  <c r="T48" i="1"/>
  <c r="EL46" i="1"/>
  <c r="AZ51" i="1"/>
  <c r="X47" i="1"/>
  <c r="EU31" i="1"/>
  <c r="BD17" i="1"/>
  <c r="DL19" i="1"/>
  <c r="C34" i="41"/>
  <c r="AA5" i="1"/>
  <c r="U25" i="1"/>
  <c r="BD18" i="1"/>
  <c r="CD33" i="1"/>
  <c r="AZ6" i="1"/>
  <c r="CW26" i="1"/>
  <c r="EP10" i="1"/>
  <c r="EQ10" i="1" s="1"/>
  <c r="T25" i="1"/>
  <c r="X31" i="1"/>
  <c r="AZ4" i="1"/>
  <c r="V18" i="1"/>
  <c r="T26" i="1"/>
  <c r="CE44" i="1"/>
  <c r="AE42" i="1"/>
  <c r="H55" i="41"/>
  <c r="CE27" i="1"/>
  <c r="AA34" i="1"/>
  <c r="EE47" i="1"/>
  <c r="Q25" i="1"/>
  <c r="B24" i="41"/>
  <c r="AZ14" i="1"/>
  <c r="AZ46" i="1"/>
  <c r="CG12" i="1"/>
  <c r="CG27" i="1"/>
  <c r="H54" i="41"/>
  <c r="H53" i="41"/>
  <c r="E13" i="41"/>
  <c r="K13" i="41" s="1"/>
  <c r="AP19" i="1"/>
  <c r="AZ15" i="1"/>
  <c r="AZ47" i="1"/>
  <c r="EU42" i="1"/>
  <c r="CD14" i="1"/>
  <c r="J29" i="41"/>
  <c r="EF19" i="1"/>
  <c r="EL19" i="1" s="1"/>
  <c r="P30" i="1"/>
  <c r="Q3" i="1"/>
  <c r="V9" i="1"/>
  <c r="C9" i="41" s="1"/>
  <c r="EU49" i="1"/>
  <c r="Q19" i="1"/>
  <c r="EK8" i="1"/>
  <c r="P3" i="1"/>
  <c r="B9" i="41"/>
  <c r="AC50" i="1"/>
  <c r="Y18" i="1"/>
  <c r="P19" i="1"/>
  <c r="Q10" i="1"/>
  <c r="DH8" i="1"/>
  <c r="B45" i="41"/>
  <c r="EM10" i="1"/>
  <c r="V30" i="1"/>
  <c r="C29" i="41" s="1"/>
  <c r="U11" i="1"/>
  <c r="P10" i="1"/>
  <c r="EM30" i="1"/>
  <c r="V31" i="1"/>
  <c r="T31" i="1"/>
  <c r="AB3" i="1"/>
  <c r="CE46" i="1"/>
  <c r="U3" i="1"/>
  <c r="AX47" i="1"/>
  <c r="AX36" i="1"/>
  <c r="T11" i="1"/>
  <c r="B31" i="41"/>
  <c r="E8" i="41"/>
  <c r="K8" i="41" s="1"/>
  <c r="C35" i="41"/>
  <c r="AE53" i="1"/>
  <c r="B47" i="41"/>
  <c r="EU46" i="1"/>
  <c r="T10" i="1"/>
  <c r="U31" i="1"/>
  <c r="Q31" i="1"/>
  <c r="EE18" i="1"/>
  <c r="B18" i="41"/>
  <c r="EM38" i="1"/>
  <c r="V39" i="1"/>
  <c r="B10" i="41"/>
  <c r="B46" i="41"/>
  <c r="AQ3" i="1"/>
  <c r="P31" i="1"/>
  <c r="EL9" i="1"/>
  <c r="H30" i="41"/>
  <c r="EP38" i="1"/>
  <c r="EQ38" i="1" s="1"/>
  <c r="CE14" i="1"/>
  <c r="U40" i="1"/>
  <c r="Q11" i="1"/>
  <c r="EK9" i="1"/>
  <c r="E7" i="41"/>
  <c r="K7" i="41" s="1"/>
  <c r="V46" i="1"/>
  <c r="W46" i="1" s="1"/>
  <c r="CD16" i="1"/>
  <c r="Y19" i="1"/>
  <c r="EL18" i="1"/>
  <c r="AX44" i="1"/>
  <c r="AX24" i="1"/>
  <c r="P11" i="1"/>
  <c r="EE9" i="1"/>
  <c r="V47" i="1"/>
  <c r="W48" i="1" s="1"/>
  <c r="AA49" i="1"/>
  <c r="Q39" i="1"/>
  <c r="V2" i="1"/>
  <c r="DH9" i="1"/>
  <c r="BE17" i="1"/>
  <c r="AB2" i="1"/>
  <c r="EU26" i="1"/>
  <c r="H17" i="41"/>
  <c r="EU45" i="1"/>
  <c r="U10" i="1"/>
  <c r="X2" i="1"/>
  <c r="D2" i="41" s="1"/>
  <c r="U46" i="1"/>
  <c r="AX41" i="1"/>
  <c r="EE30" i="1"/>
  <c r="X10" i="1"/>
  <c r="D9" i="41" s="1"/>
  <c r="CG20" i="1"/>
  <c r="CG36" i="1"/>
  <c r="CJ13" i="1"/>
  <c r="P2" i="1"/>
  <c r="CD9" i="1"/>
  <c r="U47" i="1"/>
  <c r="X11" i="1"/>
  <c r="D11" i="41" s="1"/>
  <c r="B11" i="41"/>
  <c r="EP47" i="1"/>
  <c r="EQ47" i="1" s="1"/>
  <c r="EE10" i="1"/>
  <c r="AX6" i="1"/>
  <c r="EE3" i="1"/>
  <c r="AB16" i="1"/>
  <c r="AC16" i="1" s="1"/>
  <c r="DI37" i="1"/>
  <c r="AX54" i="1"/>
  <c r="EL31" i="1"/>
  <c r="EM31" i="1"/>
  <c r="EP31" i="1"/>
  <c r="EQ31" i="1" s="1"/>
  <c r="DL24" i="1"/>
  <c r="V37" i="1"/>
  <c r="C36" i="41" s="1"/>
  <c r="DL25" i="1"/>
  <c r="DJ14" i="1"/>
  <c r="AZ43" i="1"/>
  <c r="AA13" i="1"/>
  <c r="DI47" i="1"/>
  <c r="DL26" i="1"/>
  <c r="AD26" i="1"/>
  <c r="AX20" i="1"/>
  <c r="DH14" i="1"/>
  <c r="E34" i="41"/>
  <c r="K34" i="41" s="1"/>
  <c r="R54" i="35"/>
  <c r="B5" i="41"/>
  <c r="CJ25" i="1"/>
  <c r="AE13" i="1"/>
  <c r="AZ42" i="1"/>
  <c r="CW21" i="1"/>
  <c r="EP41" i="1"/>
  <c r="EQ41" i="1" s="1"/>
  <c r="D16" i="41"/>
  <c r="AA40" i="1"/>
  <c r="AZ45" i="1"/>
  <c r="AL48" i="1"/>
  <c r="B19" i="41"/>
  <c r="CJ10" i="1"/>
  <c r="CJ26" i="1"/>
  <c r="CW25" i="1"/>
  <c r="DL7" i="1"/>
  <c r="Q16" i="1"/>
  <c r="V53" i="1"/>
  <c r="T54" i="1"/>
  <c r="AG19" i="35"/>
  <c r="DJ11" i="1"/>
  <c r="AP18" i="1"/>
  <c r="EE25" i="1"/>
  <c r="U18" i="1"/>
  <c r="T17" i="1"/>
  <c r="P16" i="1"/>
  <c r="EK10" i="1"/>
  <c r="DJ9" i="1"/>
  <c r="AZ48" i="1"/>
  <c r="CD12" i="1"/>
  <c r="EI25" i="1"/>
  <c r="EJ25" i="1" s="1"/>
  <c r="AX56" i="1"/>
  <c r="AB51" i="1"/>
  <c r="AC51" i="1" s="1"/>
  <c r="CG14" i="1"/>
  <c r="CG28" i="1"/>
  <c r="AA43" i="1"/>
  <c r="EE26" i="1"/>
  <c r="AG20" i="35"/>
  <c r="U19" i="1"/>
  <c r="DJ10" i="1"/>
  <c r="AZ18" i="1"/>
  <c r="AX52" i="1"/>
  <c r="AA14" i="1"/>
  <c r="EU43" i="1"/>
  <c r="CJ12" i="1"/>
  <c r="CE28" i="1"/>
  <c r="EI3" i="1"/>
  <c r="EJ3" i="1" s="1"/>
  <c r="Y17" i="1"/>
  <c r="E15" i="41"/>
  <c r="K15" i="41" s="1"/>
  <c r="AZ52" i="1"/>
  <c r="AE43" i="1"/>
  <c r="AB41" i="1"/>
  <c r="T19" i="1"/>
  <c r="Q17" i="1"/>
  <c r="DH10" i="1"/>
  <c r="AA31" i="1"/>
  <c r="D17" i="41"/>
  <c r="AL47" i="1"/>
  <c r="AB40" i="1"/>
  <c r="U17" i="1"/>
  <c r="T18" i="1"/>
  <c r="J13" i="41"/>
  <c r="AB39" i="1"/>
  <c r="AC39" i="1" s="1"/>
  <c r="CG29" i="1"/>
  <c r="AP23" i="1"/>
  <c r="P17" i="1"/>
  <c r="AA42" i="1"/>
  <c r="AD22" i="1"/>
  <c r="AE22" i="1" s="1"/>
  <c r="CE30" i="1"/>
  <c r="DH53" i="1"/>
  <c r="CG30" i="1"/>
  <c r="CE16" i="1"/>
  <c r="AX34" i="1"/>
  <c r="AQ33" i="1"/>
  <c r="H38" i="41"/>
  <c r="EE22" i="1"/>
  <c r="AG3" i="35"/>
  <c r="EM37" i="1"/>
  <c r="EP2" i="1"/>
  <c r="EQ2" i="1" s="1"/>
  <c r="AX9" i="1"/>
  <c r="U5" i="1"/>
  <c r="E40" i="41"/>
  <c r="K40" i="41" s="1"/>
  <c r="X53" i="1"/>
  <c r="AB52" i="1"/>
  <c r="D12" i="41"/>
  <c r="AB23" i="1"/>
  <c r="AC24" i="1" s="1"/>
  <c r="X4" i="1"/>
  <c r="D3" i="41" s="1"/>
  <c r="AA51" i="1"/>
  <c r="AA41" i="1"/>
  <c r="B3" i="41"/>
  <c r="EF15" i="1"/>
  <c r="EP16" i="1"/>
  <c r="EQ16" i="1" s="1"/>
  <c r="EU24" i="1"/>
  <c r="E21" i="41"/>
  <c r="K21" i="41" s="1"/>
  <c r="CE47" i="1"/>
  <c r="B29" i="41"/>
  <c r="X43" i="1"/>
  <c r="EU50" i="1"/>
  <c r="E35" i="41"/>
  <c r="K35" i="41" s="1"/>
  <c r="AD15" i="1"/>
  <c r="AE15" i="1" s="1"/>
  <c r="AD10" i="1"/>
  <c r="AE11" i="1" s="1"/>
  <c r="AX22" i="1"/>
  <c r="Q53" i="1"/>
  <c r="AA50" i="1"/>
  <c r="AA25" i="1"/>
  <c r="DL39" i="1"/>
  <c r="AB12" i="1"/>
  <c r="B4" i="41"/>
  <c r="AA15" i="1"/>
  <c r="Q38" i="1"/>
  <c r="P53" i="1"/>
  <c r="DP47" i="1"/>
  <c r="P38" i="1"/>
  <c r="AX11" i="1"/>
  <c r="AG6" i="35"/>
  <c r="AX51" i="1"/>
  <c r="EI19" i="1"/>
  <c r="EK19" i="1" s="1"/>
  <c r="X38" i="1"/>
  <c r="AZ25" i="1"/>
  <c r="AB11" i="1"/>
  <c r="AC11" i="1" s="1"/>
  <c r="EV40" i="1"/>
  <c r="EP26" i="1"/>
  <c r="EQ26" i="1" s="1"/>
  <c r="B38" i="41"/>
  <c r="J16" i="41"/>
  <c r="J45" i="41"/>
  <c r="AD34" i="1"/>
  <c r="AE34" i="1" s="1"/>
  <c r="CE36" i="1"/>
  <c r="AA24" i="1"/>
  <c r="AG33" i="35"/>
  <c r="AA53" i="1"/>
  <c r="W36" i="1"/>
  <c r="D32" i="41"/>
  <c r="EV34" i="1"/>
  <c r="EM26" i="1"/>
  <c r="U39" i="1"/>
  <c r="J17" i="41"/>
  <c r="T52" i="1"/>
  <c r="DI7" i="1"/>
  <c r="AB53" i="1"/>
  <c r="AP20" i="1"/>
  <c r="AX40" i="1"/>
  <c r="T39" i="1"/>
  <c r="B17" i="41"/>
  <c r="AB13" i="1"/>
  <c r="V38" i="1"/>
  <c r="EP17" i="1"/>
  <c r="EQ17" i="1" s="1"/>
  <c r="U6" i="1"/>
  <c r="V16" i="1"/>
  <c r="AZ16" i="1"/>
  <c r="CW53" i="1"/>
  <c r="V17" i="1"/>
  <c r="EE16" i="1"/>
  <c r="CJ31" i="1"/>
  <c r="EU19" i="1"/>
  <c r="AX39" i="1"/>
  <c r="V19" i="1"/>
  <c r="BD31" i="1"/>
  <c r="AZ40" i="1"/>
  <c r="EP44" i="1"/>
  <c r="EQ44" i="1" s="1"/>
  <c r="EU34" i="1"/>
  <c r="CG40" i="1"/>
  <c r="CD30" i="1"/>
  <c r="AQ48" i="1"/>
  <c r="AQ49" i="1"/>
  <c r="AQ17" i="1"/>
  <c r="AP17" i="1"/>
  <c r="AG30" i="35"/>
  <c r="AP29" i="1"/>
  <c r="AE17" i="1"/>
  <c r="W29" i="1"/>
  <c r="C28" i="41"/>
  <c r="D8" i="41"/>
  <c r="AP15" i="1"/>
  <c r="AQ15" i="1"/>
  <c r="B43" i="41"/>
  <c r="CD47" i="1"/>
  <c r="Q54" i="1"/>
  <c r="BD55" i="1"/>
  <c r="EJ56" i="1"/>
  <c r="EK56" i="1"/>
  <c r="CW27" i="1"/>
  <c r="B28" i="41"/>
  <c r="BE8" i="1"/>
  <c r="I7" i="41" s="1"/>
  <c r="V43" i="1"/>
  <c r="T9" i="1"/>
  <c r="AQ21" i="1"/>
  <c r="CE31" i="1"/>
  <c r="AZ12" i="1"/>
  <c r="AZ44" i="1"/>
  <c r="X48" i="1"/>
  <c r="Y49" i="1" s="1"/>
  <c r="AD49" i="1"/>
  <c r="DL33" i="1"/>
  <c r="EV48" i="1"/>
  <c r="P55" i="1"/>
  <c r="BD56" i="1"/>
  <c r="CK55" i="1"/>
  <c r="F54" i="41"/>
  <c r="CI55" i="1"/>
  <c r="CG7" i="1"/>
  <c r="B55" i="41"/>
  <c r="EP56" i="1"/>
  <c r="EQ56" i="1" s="1"/>
  <c r="EE56" i="1"/>
  <c r="CW29" i="1"/>
  <c r="AA21" i="1"/>
  <c r="H7" i="41"/>
  <c r="BD47" i="1"/>
  <c r="AX28" i="1"/>
  <c r="H25" i="41"/>
  <c r="X52" i="1"/>
  <c r="EV49" i="1"/>
  <c r="BE54" i="1"/>
  <c r="X44" i="1"/>
  <c r="DI19" i="1"/>
  <c r="Q52" i="1"/>
  <c r="CE17" i="1"/>
  <c r="E32" i="41"/>
  <c r="K32" i="41" s="1"/>
  <c r="BD4" i="1"/>
  <c r="P56" i="1"/>
  <c r="BF54" i="1"/>
  <c r="J53" i="41" s="1"/>
  <c r="CD11" i="1"/>
  <c r="BD54" i="1"/>
  <c r="AP21" i="1"/>
  <c r="AA19" i="1"/>
  <c r="AP10" i="1"/>
  <c r="BD46" i="1"/>
  <c r="AX42" i="1"/>
  <c r="U13" i="1"/>
  <c r="AX4" i="1"/>
  <c r="BE46" i="1"/>
  <c r="B37" i="41"/>
  <c r="Q51" i="1"/>
  <c r="AB18" i="1"/>
  <c r="EV50" i="1"/>
  <c r="Q56" i="1"/>
  <c r="BE55" i="1"/>
  <c r="AP50" i="1"/>
  <c r="CG16" i="1"/>
  <c r="T35" i="1"/>
  <c r="EE50" i="1"/>
  <c r="AP35" i="1"/>
  <c r="U27" i="1"/>
  <c r="AZ22" i="1"/>
  <c r="T13" i="1"/>
  <c r="AG38" i="35"/>
  <c r="H45" i="41"/>
  <c r="B26" i="41"/>
  <c r="B15" i="41"/>
  <c r="P51" i="1"/>
  <c r="U53" i="1"/>
  <c r="V50" i="1"/>
  <c r="AB36" i="1"/>
  <c r="EF24" i="1"/>
  <c r="CD10" i="1"/>
  <c r="EV51" i="1"/>
  <c r="BF55" i="1"/>
  <c r="CD45" i="1"/>
  <c r="CD4" i="1"/>
  <c r="Q35" i="1"/>
  <c r="EP8" i="1"/>
  <c r="EQ8" i="1" s="1"/>
  <c r="EJ38" i="1"/>
  <c r="T27" i="1"/>
  <c r="EE20" i="1"/>
  <c r="AX8" i="1"/>
  <c r="T53" i="1"/>
  <c r="V51" i="1"/>
  <c r="BE56" i="1"/>
  <c r="AZ7" i="1"/>
  <c r="B7" i="41"/>
  <c r="P54" i="1"/>
  <c r="AD19" i="1"/>
  <c r="AE19" i="1" s="1"/>
  <c r="B27" i="41"/>
  <c r="Q42" i="1"/>
  <c r="CD3" i="1"/>
  <c r="CE32" i="1"/>
  <c r="V52" i="1"/>
  <c r="E51" i="41"/>
  <c r="K51" i="41" s="1"/>
  <c r="BF56" i="1"/>
  <c r="DL28" i="1"/>
  <c r="EP43" i="1"/>
  <c r="EQ43" i="1" s="1"/>
  <c r="P52" i="1"/>
  <c r="AB4" i="1"/>
  <c r="E46" i="41"/>
  <c r="K46" i="41" s="1"/>
  <c r="DJ39" i="1"/>
  <c r="V27" i="1"/>
  <c r="C27" i="41" s="1"/>
  <c r="P8" i="1"/>
  <c r="AB31" i="1"/>
  <c r="U28" i="1"/>
  <c r="DJ25" i="1"/>
  <c r="AX19" i="1"/>
  <c r="DJ6" i="1"/>
  <c r="B36" i="41"/>
  <c r="AQ9" i="1"/>
  <c r="EV53" i="1"/>
  <c r="EW54" i="1" s="1"/>
  <c r="AK54" i="1"/>
  <c r="B53" i="41"/>
  <c r="EP54" i="1"/>
  <c r="EQ54" i="1" s="1"/>
  <c r="EE54" i="1"/>
  <c r="H47" i="41"/>
  <c r="V44" i="1"/>
  <c r="B54" i="41"/>
  <c r="EP55" i="1"/>
  <c r="EQ55" i="1" s="1"/>
  <c r="EE55" i="1"/>
  <c r="AX27" i="1"/>
  <c r="CG8" i="1"/>
  <c r="CG31" i="1"/>
  <c r="B49" i="41"/>
  <c r="AA8" i="1"/>
  <c r="EV43" i="1"/>
  <c r="T28" i="1"/>
  <c r="DH6" i="1"/>
  <c r="H3" i="41"/>
  <c r="U52" i="1"/>
  <c r="B52" i="41"/>
  <c r="EP37" i="1"/>
  <c r="EQ37" i="1" s="1"/>
  <c r="CJ29" i="1"/>
  <c r="CG45" i="1"/>
  <c r="EV30" i="1"/>
  <c r="DJ20" i="1"/>
  <c r="CW8" i="1"/>
  <c r="H4" i="41"/>
  <c r="DL43" i="1"/>
  <c r="U36" i="1"/>
  <c r="U29" i="1"/>
  <c r="Q28" i="1"/>
  <c r="AX10" i="1"/>
  <c r="E44" i="41"/>
  <c r="K44" i="41" s="1"/>
  <c r="BE4" i="1"/>
  <c r="J52" i="41"/>
  <c r="DI33" i="1"/>
  <c r="EP51" i="1"/>
  <c r="EQ51" i="1" s="1"/>
  <c r="EP36" i="1"/>
  <c r="EQ36" i="1" s="1"/>
  <c r="CD13" i="1"/>
  <c r="AB44" i="1"/>
  <c r="AB21" i="1"/>
  <c r="U45" i="1"/>
  <c r="U44" i="1"/>
  <c r="T36" i="1"/>
  <c r="EL34" i="1"/>
  <c r="U30" i="1"/>
  <c r="T29" i="1"/>
  <c r="P28" i="1"/>
  <c r="B44" i="41"/>
  <c r="H12" i="41"/>
  <c r="AQ40" i="1"/>
  <c r="EE52" i="1"/>
  <c r="X15" i="1"/>
  <c r="AA33" i="1"/>
  <c r="EN47" i="1"/>
  <c r="EF13" i="1"/>
  <c r="EP13" i="1" s="1"/>
  <c r="EQ13" i="1" s="1"/>
  <c r="CE15" i="1"/>
  <c r="EV33" i="1"/>
  <c r="EI18" i="1"/>
  <c r="CW44" i="1"/>
  <c r="T56" i="1"/>
  <c r="B35" i="41"/>
  <c r="AB17" i="1"/>
  <c r="T37" i="1"/>
  <c r="Q36" i="1"/>
  <c r="AX32" i="1"/>
  <c r="Q29" i="1"/>
  <c r="EE27" i="1"/>
  <c r="EE7" i="1"/>
  <c r="E43" i="41"/>
  <c r="K43" i="41" s="1"/>
  <c r="EL51" i="1"/>
  <c r="AL52" i="1"/>
  <c r="BD52" i="1"/>
  <c r="X28" i="1"/>
  <c r="EF12" i="1"/>
  <c r="EL12" i="1" s="1"/>
  <c r="CE48" i="1"/>
  <c r="E14" i="41"/>
  <c r="K14" i="41" s="1"/>
  <c r="U56" i="1"/>
  <c r="U9" i="1"/>
  <c r="Q44" i="1"/>
  <c r="P36" i="1"/>
  <c r="P29" i="1"/>
  <c r="U16" i="1"/>
  <c r="DJ7" i="1"/>
  <c r="E22" i="41"/>
  <c r="K22" i="41" s="1"/>
  <c r="X29" i="1"/>
  <c r="CD35" i="1"/>
  <c r="V54" i="1"/>
  <c r="EL42" i="1"/>
  <c r="T16" i="1"/>
  <c r="DH7" i="1"/>
  <c r="V13" i="1"/>
  <c r="DL18" i="1"/>
  <c r="X54" i="1"/>
  <c r="AZ54" i="1"/>
  <c r="DH54" i="1"/>
  <c r="EU54" i="1"/>
  <c r="Q37" i="1"/>
  <c r="V15" i="1"/>
  <c r="CG34" i="1"/>
  <c r="CD22" i="1"/>
  <c r="EV37" i="1"/>
  <c r="V55" i="1"/>
  <c r="CI56" i="1"/>
  <c r="T55" i="1"/>
  <c r="T45" i="1"/>
  <c r="U38" i="1"/>
  <c r="T30" i="1"/>
  <c r="Q15" i="1"/>
  <c r="T38" i="1"/>
  <c r="E12" i="41"/>
  <c r="K12" i="41" s="1"/>
  <c r="AZ26" i="1"/>
  <c r="EV21" i="1"/>
  <c r="CJ53" i="1"/>
  <c r="CI54" i="1" s="1"/>
  <c r="CD24" i="1"/>
  <c r="EV32" i="1"/>
  <c r="AB7" i="1"/>
  <c r="CD23" i="1"/>
  <c r="AJ7" i="35"/>
  <c r="P37" i="1"/>
  <c r="EE28" i="1"/>
  <c r="E42" i="41"/>
  <c r="K42" i="41" s="1"/>
  <c r="E31" i="41"/>
  <c r="K31" i="41" s="1"/>
  <c r="E11" i="41"/>
  <c r="K11" i="41" s="1"/>
  <c r="AA12" i="1"/>
  <c r="DL20" i="1"/>
  <c r="CG3" i="1"/>
  <c r="CE34" i="1"/>
  <c r="CD26" i="1"/>
  <c r="CW51" i="1"/>
  <c r="X55" i="1"/>
  <c r="AX55" i="1"/>
  <c r="F55" i="41"/>
  <c r="E29" i="41"/>
  <c r="K29" i="41" s="1"/>
  <c r="U37" i="1"/>
  <c r="CJ16" i="1"/>
  <c r="E33" i="41"/>
  <c r="K33" i="41" s="1"/>
  <c r="EP42" i="1"/>
  <c r="EQ42" i="1" s="1"/>
  <c r="CD34" i="1"/>
  <c r="CD21" i="1"/>
  <c r="BE53" i="1"/>
  <c r="EL43" i="1"/>
  <c r="DJ42" i="1"/>
  <c r="EE29" i="1"/>
  <c r="B42" i="41"/>
  <c r="EM36" i="1"/>
  <c r="AX53" i="1"/>
  <c r="X36" i="1"/>
  <c r="Y37" i="1" s="1"/>
  <c r="DI10" i="1"/>
  <c r="EV38" i="1"/>
  <c r="EI11" i="1"/>
  <c r="EJ11" i="1" s="1"/>
  <c r="V56" i="1"/>
  <c r="W57" i="1" s="1"/>
  <c r="AZ55" i="1"/>
  <c r="CK56" i="1"/>
  <c r="J46" i="41"/>
  <c r="T44" i="1"/>
  <c r="V8" i="1"/>
  <c r="CD15" i="1"/>
  <c r="CE53" i="1"/>
  <c r="AL49" i="1"/>
  <c r="AQ13" i="1"/>
  <c r="B8" i="41"/>
  <c r="H52" i="41"/>
  <c r="AL50" i="1"/>
  <c r="DH42" i="1"/>
  <c r="AX33" i="1"/>
  <c r="EK17" i="1"/>
  <c r="BE11" i="1"/>
  <c r="R53" i="35"/>
  <c r="EP46" i="1"/>
  <c r="EQ46" i="1" s="1"/>
  <c r="CE35" i="1"/>
  <c r="CD39" i="1"/>
  <c r="X56" i="1"/>
  <c r="Y57" i="1" s="1"/>
  <c r="X35" i="1"/>
  <c r="P43" i="1"/>
  <c r="J8" i="41"/>
  <c r="DL15" i="1"/>
  <c r="U55" i="1"/>
  <c r="B50" i="41"/>
  <c r="U35" i="1"/>
  <c r="EE14" i="1"/>
  <c r="Q8" i="1"/>
  <c r="X42" i="1"/>
  <c r="EP34" i="1"/>
  <c r="EQ34" i="1" s="1"/>
  <c r="AZ27" i="1"/>
  <c r="H51" i="41"/>
  <c r="AX25" i="1"/>
  <c r="EU28" i="1"/>
  <c r="AE54" i="1"/>
  <c r="T43" i="1"/>
  <c r="EU51" i="1"/>
  <c r="EE51" i="1"/>
  <c r="P44" i="1"/>
  <c r="AP22" i="1"/>
  <c r="CD46" i="1"/>
  <c r="E10" i="41"/>
  <c r="K10" i="41" s="1"/>
  <c r="EP45" i="1"/>
  <c r="EQ45" i="1" s="1"/>
  <c r="EU29" i="1"/>
  <c r="EV41" i="1"/>
  <c r="AB54" i="1"/>
  <c r="AZ56" i="1"/>
  <c r="AL51" i="1"/>
  <c r="E20" i="41"/>
  <c r="K20" i="41" s="1"/>
  <c r="Q43" i="1"/>
  <c r="U54" i="1"/>
  <c r="W35" i="1"/>
  <c r="DJ17" i="1"/>
  <c r="DJ8" i="1"/>
  <c r="AA17" i="1"/>
  <c r="AA16" i="1"/>
  <c r="EP30" i="1"/>
  <c r="EQ30" i="1" s="1"/>
  <c r="CG21" i="1"/>
  <c r="EV20" i="1"/>
  <c r="AQ51" i="1"/>
  <c r="AP51" i="1"/>
  <c r="AG52" i="35"/>
  <c r="DP52" i="1"/>
  <c r="AO51" i="1"/>
  <c r="DP50" i="1"/>
  <c r="AN52" i="1"/>
  <c r="AG53" i="35" s="1"/>
  <c r="AP48" i="1"/>
  <c r="AJ52" i="35"/>
  <c r="AP49" i="1"/>
  <c r="F80" i="55"/>
  <c r="G80" i="55"/>
  <c r="H80" i="55"/>
  <c r="M46" i="95"/>
  <c r="N27" i="95"/>
  <c r="M39" i="95"/>
  <c r="N37" i="95"/>
  <c r="M37" i="95"/>
  <c r="N44" i="95"/>
  <c r="M40" i="95"/>
  <c r="N24" i="95"/>
  <c r="M49" i="95"/>
  <c r="M41" i="95"/>
  <c r="N48" i="95"/>
  <c r="N46" i="95"/>
  <c r="M22" i="95"/>
  <c r="N51" i="95"/>
  <c r="N36" i="95"/>
  <c r="M14" i="95"/>
  <c r="N21" i="95"/>
  <c r="M6" i="95"/>
  <c r="M36" i="95"/>
  <c r="M51" i="95"/>
  <c r="N42" i="95"/>
  <c r="N34" i="95"/>
  <c r="N47" i="95"/>
  <c r="M25" i="95"/>
  <c r="M33" i="95"/>
  <c r="M47" i="95"/>
  <c r="N53" i="95"/>
  <c r="N43" i="95"/>
  <c r="N29" i="95"/>
  <c r="N35" i="95"/>
  <c r="N13" i="95"/>
  <c r="N5" i="95"/>
  <c r="N45" i="95"/>
  <c r="N31" i="95"/>
  <c r="N38" i="95"/>
  <c r="N8" i="95"/>
  <c r="M20" i="95"/>
  <c r="M12" i="95"/>
  <c r="M32" i="95"/>
  <c r="M52" i="95"/>
  <c r="M31" i="95"/>
  <c r="M17" i="95"/>
  <c r="M45" i="95"/>
  <c r="M9" i="95"/>
  <c r="P21" i="95"/>
  <c r="P40" i="95"/>
  <c r="P51" i="95"/>
  <c r="P24" i="95"/>
  <c r="P37" i="95"/>
  <c r="P44" i="95"/>
  <c r="P23" i="95"/>
  <c r="O42" i="95"/>
  <c r="O29" i="95"/>
  <c r="O34" i="95"/>
  <c r="O24" i="95"/>
  <c r="O17" i="95"/>
  <c r="O37" i="95"/>
  <c r="O44" i="95"/>
  <c r="P27" i="95"/>
  <c r="O21" i="95"/>
  <c r="O48" i="95"/>
  <c r="P33" i="95"/>
  <c r="P13" i="95"/>
  <c r="O6" i="95"/>
  <c r="O40" i="95"/>
  <c r="O27" i="95"/>
  <c r="O33" i="95"/>
  <c r="P52" i="95"/>
  <c r="P31" i="95"/>
  <c r="P49" i="95"/>
  <c r="P36" i="95"/>
  <c r="P16" i="95"/>
  <c r="O49" i="95"/>
  <c r="O23" i="95"/>
  <c r="O36" i="95"/>
  <c r="O45" i="95"/>
  <c r="O32" i="95"/>
  <c r="O13" i="95"/>
  <c r="O51" i="95"/>
  <c r="O26" i="95"/>
  <c r="P12" i="95"/>
  <c r="P7" i="95"/>
  <c r="O47" i="95"/>
  <c r="O22" i="95"/>
  <c r="O12" i="95"/>
  <c r="O46" i="95"/>
  <c r="P30" i="95"/>
  <c r="O43" i="95"/>
  <c r="O53" i="95"/>
  <c r="O3" i="95"/>
  <c r="P35" i="95"/>
  <c r="P41" i="95"/>
  <c r="O35" i="95"/>
  <c r="O9" i="95"/>
  <c r="O41" i="95"/>
  <c r="P34" i="95"/>
  <c r="P8" i="95"/>
  <c r="P3" i="95"/>
  <c r="AJ9" i="35"/>
  <c r="AL9" i="35"/>
  <c r="AK54" i="35"/>
  <c r="AJ54" i="35"/>
  <c r="AJ12" i="35"/>
  <c r="AL12" i="35"/>
  <c r="AK7" i="35"/>
  <c r="DP51" i="1"/>
  <c r="DP49" i="1"/>
  <c r="EL52" i="1"/>
  <c r="EM53" i="1"/>
  <c r="EP53" i="1"/>
  <c r="EQ53" i="1" s="1"/>
  <c r="EP52" i="1"/>
  <c r="EQ52" i="1" s="1"/>
  <c r="CW45" i="1"/>
  <c r="CW20" i="1"/>
  <c r="CW18" i="1"/>
  <c r="CW52" i="1"/>
  <c r="CW39" i="1"/>
  <c r="CW40" i="1"/>
  <c r="CW41" i="1"/>
  <c r="CW9" i="1"/>
  <c r="CW10" i="1"/>
  <c r="CW19" i="1"/>
  <c r="CW12" i="1"/>
  <c r="CW11" i="1"/>
  <c r="CW14" i="1"/>
  <c r="CW15" i="1"/>
  <c r="CW30" i="1"/>
  <c r="CW5" i="1"/>
  <c r="CW33" i="1"/>
  <c r="CW3" i="1"/>
  <c r="CW4" i="1"/>
  <c r="CW16" i="1"/>
  <c r="CW31" i="1"/>
  <c r="CW42" i="1"/>
  <c r="CW50" i="1"/>
  <c r="CW47" i="1"/>
  <c r="CW17" i="1"/>
  <c r="CW49" i="1"/>
  <c r="CW46" i="1"/>
  <c r="CW13" i="1"/>
  <c r="CW43" i="1"/>
  <c r="CW24" i="1"/>
  <c r="CW28" i="1"/>
  <c r="E50" i="41"/>
  <c r="K50" i="41" s="1"/>
  <c r="CJ51" i="1"/>
  <c r="DL47" i="1"/>
  <c r="CD52" i="1"/>
  <c r="DH48" i="1"/>
  <c r="E49" i="41"/>
  <c r="K49" i="41" s="1"/>
  <c r="CJ32" i="1"/>
  <c r="CD53" i="1"/>
  <c r="DL48" i="1"/>
  <c r="DL49" i="1"/>
  <c r="DH40" i="1"/>
  <c r="CG39" i="1"/>
  <c r="E47" i="41"/>
  <c r="K47" i="41" s="1"/>
  <c r="EV52" i="1"/>
  <c r="EV47" i="1"/>
  <c r="E39" i="41"/>
  <c r="K39" i="41" s="1"/>
  <c r="CD40" i="1"/>
  <c r="CG51" i="1"/>
  <c r="CJ45" i="1"/>
  <c r="DJ41" i="1"/>
  <c r="EV39" i="1"/>
  <c r="DH41" i="1"/>
  <c r="E38" i="41"/>
  <c r="K38" i="41" s="1"/>
  <c r="E48" i="41"/>
  <c r="K48" i="41" s="1"/>
  <c r="CD42" i="1"/>
  <c r="DL44" i="1"/>
  <c r="CD50" i="1"/>
  <c r="DJ40" i="1"/>
  <c r="DH51" i="1"/>
  <c r="E37" i="41"/>
  <c r="K37" i="41" s="1"/>
  <c r="CG37" i="1"/>
  <c r="DJ51" i="1"/>
  <c r="CD32" i="1"/>
  <c r="CG32" i="1"/>
  <c r="CJ38" i="1"/>
  <c r="CJ39" i="1"/>
  <c r="CD43" i="1"/>
  <c r="CJ40" i="1"/>
  <c r="DL45" i="1"/>
  <c r="CD49" i="1"/>
  <c r="CD37" i="1"/>
  <c r="DJ34" i="1"/>
  <c r="DH34" i="1"/>
  <c r="EV45" i="1"/>
  <c r="DL34" i="1"/>
  <c r="CG42" i="1"/>
  <c r="CG46" i="1"/>
  <c r="E52" i="41"/>
  <c r="K52" i="41" s="1"/>
  <c r="EV46" i="1"/>
  <c r="CD48" i="1"/>
  <c r="DJ35" i="1"/>
  <c r="DL41" i="1"/>
  <c r="CD51" i="1"/>
  <c r="DL35" i="1"/>
  <c r="DH35" i="1"/>
  <c r="CJ43" i="1"/>
  <c r="DI8" i="1"/>
  <c r="DI38" i="1"/>
  <c r="DI27" i="1"/>
  <c r="DI32" i="1"/>
  <c r="DI22" i="1"/>
  <c r="DI25" i="1"/>
  <c r="DI11" i="1"/>
  <c r="DI24" i="1"/>
  <c r="DI21" i="1"/>
  <c r="DI41" i="1"/>
  <c r="DI40" i="1"/>
  <c r="DI14" i="1"/>
  <c r="DI3" i="1"/>
  <c r="DI4" i="1"/>
  <c r="DI31" i="1"/>
  <c r="DI26" i="1"/>
  <c r="DI9" i="1"/>
  <c r="DI49" i="1"/>
  <c r="DI48" i="1"/>
  <c r="DI5" i="1"/>
  <c r="DI52" i="1"/>
  <c r="DI12" i="1"/>
  <c r="DI42" i="1"/>
  <c r="DI18" i="1"/>
  <c r="AK52" i="35"/>
  <c r="H46" i="41"/>
  <c r="EI53" i="1"/>
  <c r="EK53" i="1" s="1"/>
  <c r="BE47" i="1"/>
  <c r="AL52" i="35"/>
  <c r="DH50" i="1"/>
  <c r="BD48" i="1"/>
  <c r="CG53" i="1"/>
  <c r="EK49" i="1"/>
  <c r="EJ49" i="1"/>
  <c r="EK12" i="1"/>
  <c r="EJ12" i="1"/>
  <c r="EJ7" i="1"/>
  <c r="EK7" i="1"/>
  <c r="EJ41" i="1"/>
  <c r="EK41" i="1"/>
  <c r="EJ40" i="1"/>
  <c r="EK40" i="1"/>
  <c r="CJ6" i="1"/>
  <c r="CI6" i="1" s="1"/>
  <c r="CJ34" i="1"/>
  <c r="DL10" i="1"/>
  <c r="EU39" i="1"/>
  <c r="DH19" i="1"/>
  <c r="CJ23" i="1"/>
  <c r="DL12" i="1"/>
  <c r="DL42" i="1"/>
  <c r="EU41" i="1"/>
  <c r="CE9" i="1"/>
  <c r="DH32" i="1"/>
  <c r="CG23" i="1"/>
  <c r="CG52" i="1"/>
  <c r="CJ52" i="1"/>
  <c r="DJ18" i="1"/>
  <c r="BE5" i="1"/>
  <c r="CG10" i="1"/>
  <c r="DL37" i="1"/>
  <c r="CJ22" i="1"/>
  <c r="DL40" i="1"/>
  <c r="CG9" i="1"/>
  <c r="EU40" i="1"/>
  <c r="CJ37" i="1"/>
  <c r="DJ48" i="1"/>
  <c r="DJ53" i="1"/>
  <c r="EI15" i="1"/>
  <c r="EJ24" i="1"/>
  <c r="BD28" i="1"/>
  <c r="DH33" i="1"/>
  <c r="DL16" i="1"/>
  <c r="DL46" i="1"/>
  <c r="EU44" i="1"/>
  <c r="CJ11" i="1"/>
  <c r="DJ32" i="1"/>
  <c r="EK50" i="1"/>
  <c r="DJ21" i="1"/>
  <c r="BE32" i="1"/>
  <c r="DJ49" i="1"/>
  <c r="DH21" i="1"/>
  <c r="CE19" i="1"/>
  <c r="CE6" i="1"/>
  <c r="H31" i="41"/>
  <c r="DJ50" i="1"/>
  <c r="DH49" i="1"/>
  <c r="EU47" i="1"/>
  <c r="DL21" i="1"/>
  <c r="EU20" i="1"/>
  <c r="CJ28" i="1"/>
  <c r="CJ42" i="1"/>
  <c r="BD5" i="1"/>
  <c r="BF11" i="1"/>
  <c r="J10" i="41" s="1"/>
  <c r="CE52" i="1"/>
  <c r="DL22" i="1"/>
  <c r="EU21" i="1"/>
  <c r="CJ14" i="1"/>
  <c r="DH4" i="1"/>
  <c r="DL38" i="1"/>
  <c r="CJ7" i="1"/>
  <c r="DH20" i="1"/>
  <c r="DJ52" i="1"/>
  <c r="H24" i="41"/>
  <c r="EU37" i="1"/>
  <c r="DJ16" i="1"/>
  <c r="DL23" i="1"/>
  <c r="CJ15" i="1"/>
  <c r="DH16" i="1"/>
  <c r="CG11" i="1"/>
  <c r="CE7" i="1"/>
  <c r="EU23" i="1"/>
  <c r="EI30" i="1"/>
  <c r="EK30" i="1" s="1"/>
  <c r="CG50" i="1"/>
  <c r="CJ35" i="1"/>
  <c r="CG38" i="1"/>
  <c r="CE22" i="1"/>
  <c r="DJ43" i="1"/>
  <c r="CE38" i="1"/>
  <c r="DJ15" i="1"/>
  <c r="DH43" i="1"/>
  <c r="CE39" i="1"/>
  <c r="CE37" i="1"/>
  <c r="CE23" i="1"/>
  <c r="EK26" i="1"/>
  <c r="CG47" i="1"/>
  <c r="DJ31" i="1"/>
  <c r="DJ29" i="1"/>
  <c r="DH52" i="1"/>
  <c r="DH31" i="1"/>
  <c r="CJ36" i="1"/>
  <c r="DJ33" i="1"/>
  <c r="AJ53" i="35"/>
  <c r="CE40" i="1"/>
  <c r="CE13" i="1"/>
  <c r="BD19" i="1"/>
  <c r="DL30" i="1"/>
  <c r="CJ3" i="1"/>
  <c r="CJ47" i="1"/>
  <c r="CK48" i="1" s="1"/>
  <c r="DJ30" i="1"/>
  <c r="DJ26" i="1"/>
  <c r="CG48" i="1"/>
  <c r="DL5" i="1"/>
  <c r="DL36" i="1"/>
  <c r="CG35" i="1"/>
  <c r="CJ21" i="1"/>
  <c r="EJ51" i="1"/>
  <c r="CG43" i="1"/>
  <c r="DJ27" i="1"/>
  <c r="DH26" i="1"/>
  <c r="CG24" i="1"/>
  <c r="H16" i="41"/>
  <c r="J47" i="41"/>
  <c r="DL32" i="1"/>
  <c r="CE18" i="1"/>
  <c r="CJ49" i="1"/>
  <c r="CI49" i="1" s="1"/>
  <c r="DH3" i="1"/>
  <c r="BD49" i="1"/>
  <c r="DH27" i="1"/>
  <c r="CE24" i="1"/>
  <c r="CG5" i="1"/>
  <c r="J9" i="41"/>
  <c r="BD3" i="1"/>
  <c r="H27" i="41"/>
  <c r="BD29" i="1"/>
  <c r="BD36" i="1"/>
  <c r="BE2" i="1"/>
  <c r="BD35" i="1"/>
  <c r="BE29" i="1"/>
  <c r="BE3" i="1"/>
  <c r="H48" i="41"/>
  <c r="H9" i="41"/>
  <c r="H35" i="41"/>
  <c r="BD23" i="1"/>
  <c r="BE28" i="1"/>
  <c r="BE27" i="1"/>
  <c r="BE18" i="1"/>
  <c r="BD53" i="1"/>
  <c r="H23" i="41"/>
  <c r="BD24" i="1"/>
  <c r="H26" i="41"/>
  <c r="BF40" i="1"/>
  <c r="J40" i="41" s="1"/>
  <c r="BD25" i="1"/>
  <c r="BF3" i="1"/>
  <c r="J2" i="41" s="1"/>
  <c r="BE44" i="1"/>
  <c r="BE30" i="1"/>
  <c r="I30" i="41" s="1"/>
  <c r="BD27" i="1"/>
  <c r="H43" i="41"/>
  <c r="H29" i="41"/>
  <c r="BE26" i="1"/>
  <c r="I25" i="41" s="1"/>
  <c r="H18" i="41"/>
  <c r="BE36" i="1"/>
  <c r="BF7" i="1"/>
  <c r="J7" i="41" s="1"/>
  <c r="H28" i="41"/>
  <c r="BF36" i="1"/>
  <c r="J35" i="41" s="1"/>
  <c r="BD8" i="1"/>
  <c r="BD30" i="1"/>
  <c r="H32" i="41"/>
  <c r="I24" i="41"/>
  <c r="H21" i="41"/>
  <c r="AZ32" i="1"/>
  <c r="AX29" i="1"/>
  <c r="AZ5" i="1"/>
  <c r="AZ35" i="1"/>
  <c r="AX13" i="1"/>
  <c r="AZ29" i="1"/>
  <c r="AX30" i="1"/>
  <c r="AX3" i="1"/>
  <c r="AZ8" i="1"/>
  <c r="AZ9" i="1"/>
  <c r="AZ39" i="1"/>
  <c r="AZ41" i="1"/>
  <c r="AZ30" i="1"/>
  <c r="AZ33" i="1"/>
  <c r="AX50" i="1"/>
  <c r="AZ50" i="1"/>
  <c r="AX21" i="1"/>
  <c r="AX38" i="1"/>
  <c r="AX18" i="1"/>
  <c r="AX23" i="1"/>
  <c r="AX7" i="1"/>
  <c r="AL50" i="35"/>
  <c r="AK51" i="35"/>
  <c r="AJ51" i="35"/>
  <c r="AL20" i="35"/>
  <c r="AE55" i="1"/>
  <c r="AA54" i="1"/>
  <c r="AA55" i="1"/>
  <c r="AB55" i="1"/>
  <c r="AA56" i="1"/>
  <c r="AB56" i="1"/>
  <c r="AC57" i="1" s="1"/>
  <c r="AF13" i="35"/>
  <c r="AI13" i="35"/>
  <c r="AH13" i="35"/>
  <c r="AG13" i="35"/>
  <c r="J37" i="41"/>
  <c r="J38" i="41"/>
  <c r="DI29" i="1"/>
  <c r="EK4" i="1"/>
  <c r="EJ4" i="1"/>
  <c r="AJ14" i="35"/>
  <c r="AK14" i="35"/>
  <c r="AL14" i="35"/>
  <c r="AK47" i="35"/>
  <c r="AL47" i="35"/>
  <c r="AJ47" i="35"/>
  <c r="AP14" i="1"/>
  <c r="AQ14" i="1"/>
  <c r="AG32" i="35"/>
  <c r="AF32" i="35"/>
  <c r="AH32" i="35"/>
  <c r="AI32" i="35"/>
  <c r="CJ20" i="1"/>
  <c r="CE21" i="1"/>
  <c r="CE20" i="1"/>
  <c r="V41" i="1"/>
  <c r="AE3" i="1"/>
  <c r="EJ6" i="1"/>
  <c r="EK6" i="1"/>
  <c r="AQ36" i="1"/>
  <c r="AP36" i="1"/>
  <c r="EM3" i="1"/>
  <c r="EL3" i="1"/>
  <c r="AL46" i="35"/>
  <c r="AJ46" i="35"/>
  <c r="AK46" i="35"/>
  <c r="AI7" i="35"/>
  <c r="AH7" i="35"/>
  <c r="AG7" i="35"/>
  <c r="AQ29" i="1"/>
  <c r="AZ19" i="1"/>
  <c r="AQ37" i="1"/>
  <c r="AP37" i="1"/>
  <c r="E7" i="69"/>
  <c r="P15" i="63"/>
  <c r="AP28" i="1"/>
  <c r="AQ28" i="1"/>
  <c r="EL29" i="1"/>
  <c r="EM29" i="1"/>
  <c r="Q7" i="1"/>
  <c r="P7" i="1"/>
  <c r="EK42" i="1"/>
  <c r="EJ42" i="1"/>
  <c r="O17" i="55"/>
  <c r="O16" i="55"/>
  <c r="O14" i="55"/>
  <c r="O15" i="55"/>
  <c r="P43" i="35"/>
  <c r="AE43" i="35"/>
  <c r="AI21" i="35"/>
  <c r="AH21" i="35"/>
  <c r="AG21" i="35"/>
  <c r="AE4" i="1"/>
  <c r="EP40" i="1"/>
  <c r="EQ40" i="1" s="1"/>
  <c r="AE31" i="35"/>
  <c r="AQ31" i="1"/>
  <c r="AZ20" i="1"/>
  <c r="AZ21" i="1"/>
  <c r="AQ38" i="1"/>
  <c r="AP38" i="1"/>
  <c r="P14" i="63"/>
  <c r="EI20" i="1"/>
  <c r="DJ37" i="1"/>
  <c r="EI37" i="1"/>
  <c r="O7" i="95"/>
  <c r="N41" i="95"/>
  <c r="N40" i="95"/>
  <c r="CW6" i="1"/>
  <c r="CW7" i="1"/>
  <c r="P34" i="35"/>
  <c r="AE34" i="35"/>
  <c r="EP25" i="1"/>
  <c r="EQ25" i="1" s="1"/>
  <c r="EM25" i="1"/>
  <c r="CJ50" i="1"/>
  <c r="EJ5" i="1"/>
  <c r="EK5" i="1"/>
  <c r="EU33" i="1"/>
  <c r="AX35" i="1"/>
  <c r="AF24" i="35"/>
  <c r="AH24" i="35"/>
  <c r="AI24" i="35"/>
  <c r="AG24" i="35"/>
  <c r="AG17" i="35"/>
  <c r="EK36" i="1"/>
  <c r="EJ36" i="1"/>
  <c r="H16" i="58"/>
  <c r="G16" i="58"/>
  <c r="J16" i="58"/>
  <c r="EL6" i="1"/>
  <c r="EL41" i="1"/>
  <c r="EM41" i="1"/>
  <c r="L27" i="40"/>
  <c r="R27" i="40" s="1"/>
  <c r="O16" i="95"/>
  <c r="O15" i="95"/>
  <c r="DI34" i="1"/>
  <c r="DI35" i="1"/>
  <c r="AH10" i="35"/>
  <c r="AI10" i="35"/>
  <c r="AG10" i="35"/>
  <c r="DJ4" i="1"/>
  <c r="DH5" i="1"/>
  <c r="DJ5" i="1"/>
  <c r="L54" i="35"/>
  <c r="M54" i="35"/>
  <c r="M3" i="95"/>
  <c r="M4" i="95"/>
  <c r="AQ4" i="1"/>
  <c r="AP4" i="1"/>
  <c r="L47" i="40"/>
  <c r="R47" i="40" s="1"/>
  <c r="M47" i="40"/>
  <c r="S47" i="40" s="1"/>
  <c r="EP7" i="1"/>
  <c r="EQ7" i="1" s="1"/>
  <c r="T7" i="1"/>
  <c r="U7" i="1"/>
  <c r="U8" i="1"/>
  <c r="B6" i="41"/>
  <c r="T8" i="1"/>
  <c r="X7" i="1"/>
  <c r="D7" i="41" s="1"/>
  <c r="M41" i="40"/>
  <c r="S41" i="40" s="1"/>
  <c r="L41" i="40"/>
  <c r="R41" i="40" s="1"/>
  <c r="EK43" i="1"/>
  <c r="EJ43" i="1"/>
  <c r="AQ7" i="1"/>
  <c r="AP7" i="1"/>
  <c r="AL10" i="35"/>
  <c r="AK10" i="35"/>
  <c r="P41" i="1"/>
  <c r="Q41" i="1"/>
  <c r="T41" i="1"/>
  <c r="U41" i="1"/>
  <c r="B40" i="41"/>
  <c r="T42" i="1"/>
  <c r="U42" i="1"/>
  <c r="M16" i="95"/>
  <c r="M15" i="95"/>
  <c r="B41" i="41"/>
  <c r="AD47" i="1"/>
  <c r="AE47" i="1" s="1"/>
  <c r="J27" i="41"/>
  <c r="EP29" i="1"/>
  <c r="EQ29" i="1" s="1"/>
  <c r="EK34" i="1"/>
  <c r="EJ34" i="1"/>
  <c r="DI39" i="1"/>
  <c r="EV17" i="1"/>
  <c r="E16" i="41"/>
  <c r="K16" i="41" s="1"/>
  <c r="CD17" i="1"/>
  <c r="EJ33" i="1"/>
  <c r="EK33" i="1"/>
  <c r="CO22" i="1"/>
  <c r="CN22" i="1"/>
  <c r="AH8" i="35"/>
  <c r="BD6" i="1"/>
  <c r="H5" i="41"/>
  <c r="H6" i="41"/>
  <c r="BE6" i="1"/>
  <c r="BF6" i="1"/>
  <c r="M52" i="35"/>
  <c r="L52" i="35"/>
  <c r="DL50" i="1"/>
  <c r="B14" i="41"/>
  <c r="U15" i="1"/>
  <c r="B13" i="41"/>
  <c r="X14" i="1"/>
  <c r="P14" i="1"/>
  <c r="T14" i="1"/>
  <c r="U14" i="1"/>
  <c r="T15" i="1"/>
  <c r="V14" i="1"/>
  <c r="AL19" i="35"/>
  <c r="AK19" i="35"/>
  <c r="AJ19" i="35"/>
  <c r="O16" i="58"/>
  <c r="O9" i="58"/>
  <c r="O6" i="58"/>
  <c r="O8" i="58"/>
  <c r="O11" i="58"/>
  <c r="O13" i="58"/>
  <c r="O10" i="58"/>
  <c r="DH28" i="1"/>
  <c r="AP16" i="1"/>
  <c r="AQ16" i="1"/>
  <c r="CD18" i="1"/>
  <c r="EV18" i="1"/>
  <c r="L43" i="40"/>
  <c r="R43" i="40" s="1"/>
  <c r="M43" i="40"/>
  <c r="S43" i="40" s="1"/>
  <c r="AI8" i="35"/>
  <c r="DH29" i="1"/>
  <c r="DJ28" i="1"/>
  <c r="BE19" i="1"/>
  <c r="AX5" i="1"/>
  <c r="AF45" i="35"/>
  <c r="AI45" i="35"/>
  <c r="AH45" i="35"/>
  <c r="AG45" i="35"/>
  <c r="AG42" i="35"/>
  <c r="AF42" i="35"/>
  <c r="AH42" i="35"/>
  <c r="AI42" i="35"/>
  <c r="AE39" i="35"/>
  <c r="P39" i="35"/>
  <c r="AQ45" i="1"/>
  <c r="AG46" i="35"/>
  <c r="AH53" i="35"/>
  <c r="AA36" i="1"/>
  <c r="AA35" i="1"/>
  <c r="AD35" i="1"/>
  <c r="AB35" i="1"/>
  <c r="AC35" i="1" s="1"/>
  <c r="DL51" i="1"/>
  <c r="DL52" i="1"/>
  <c r="CN24" i="1"/>
  <c r="CO24" i="1"/>
  <c r="AZ11" i="1"/>
  <c r="J51" i="41"/>
  <c r="AP42" i="1"/>
  <c r="AQ42" i="1"/>
  <c r="EL14" i="1"/>
  <c r="EM14" i="1"/>
  <c r="E17" i="41"/>
  <c r="K17" i="41" s="1"/>
  <c r="AB9" i="1"/>
  <c r="AA9" i="1"/>
  <c r="AA10" i="1"/>
  <c r="AD9" i="1"/>
  <c r="EU48" i="1"/>
  <c r="AQ34" i="1"/>
  <c r="AQ30" i="1"/>
  <c r="BD9" i="1"/>
  <c r="H8" i="41"/>
  <c r="BE9" i="1"/>
  <c r="EV19" i="1"/>
  <c r="CD19" i="1"/>
  <c r="E18" i="41"/>
  <c r="K18" i="41" s="1"/>
  <c r="CD20" i="1"/>
  <c r="E19" i="41"/>
  <c r="K19" i="41" s="1"/>
  <c r="EJ29" i="1"/>
  <c r="EK29" i="1"/>
  <c r="CO25" i="1"/>
  <c r="AJ3" i="35"/>
  <c r="AA47" i="1"/>
  <c r="AF27" i="35"/>
  <c r="AG27" i="35"/>
  <c r="AI27" i="35"/>
  <c r="AH27" i="35"/>
  <c r="AG36" i="35"/>
  <c r="J34" i="41"/>
  <c r="N15" i="63"/>
  <c r="EJ28" i="1"/>
  <c r="BF19" i="1"/>
  <c r="J18" i="41" s="1"/>
  <c r="EU32" i="1"/>
  <c r="EU30" i="1"/>
  <c r="EP28" i="1"/>
  <c r="EQ28" i="1" s="1"/>
  <c r="EL28" i="1"/>
  <c r="EM28" i="1"/>
  <c r="EK21" i="1"/>
  <c r="EJ21" i="1"/>
  <c r="T20" i="1"/>
  <c r="U20" i="1"/>
  <c r="P20" i="1"/>
  <c r="Q20" i="1"/>
  <c r="X20" i="1"/>
  <c r="EP20" i="1"/>
  <c r="EQ20" i="1" s="1"/>
  <c r="B20" i="41"/>
  <c r="V20" i="1"/>
  <c r="M9" i="40"/>
  <c r="S9" i="40" s="1"/>
  <c r="L9" i="40"/>
  <c r="R9" i="40" s="1"/>
  <c r="AE4" i="35"/>
  <c r="P4" i="35"/>
  <c r="AK3" i="35"/>
  <c r="EL40" i="1"/>
  <c r="CW32" i="1"/>
  <c r="AK20" i="35"/>
  <c r="V7" i="1"/>
  <c r="O12" i="58"/>
  <c r="AG25" i="35"/>
  <c r="BD7" i="1"/>
  <c r="DI6" i="1"/>
  <c r="DL27" i="1"/>
  <c r="V33" i="1"/>
  <c r="W34" i="1" s="1"/>
  <c r="P33" i="1"/>
  <c r="Q33" i="1"/>
  <c r="T33" i="1"/>
  <c r="U33" i="1"/>
  <c r="EP33" i="1"/>
  <c r="EQ33" i="1" s="1"/>
  <c r="B33" i="41"/>
  <c r="B32" i="41"/>
  <c r="EJ27" i="1"/>
  <c r="EK27" i="1"/>
  <c r="CO10" i="1"/>
  <c r="CN10" i="1"/>
  <c r="EM48" i="1"/>
  <c r="EL48" i="1"/>
  <c r="EP48" i="1"/>
  <c r="EQ48" i="1" s="1"/>
  <c r="H36" i="41"/>
  <c r="BE37" i="1"/>
  <c r="L53" i="35"/>
  <c r="M53" i="35"/>
  <c r="CD5" i="1"/>
  <c r="E4" i="41"/>
  <c r="K4" i="41" s="1"/>
  <c r="E5" i="41"/>
  <c r="K5" i="41" s="1"/>
  <c r="AL53" i="35"/>
  <c r="AH25" i="35"/>
  <c r="AI47" i="35"/>
  <c r="AH47" i="35"/>
  <c r="AZ34" i="1"/>
  <c r="BD38" i="1"/>
  <c r="H37" i="41"/>
  <c r="BE38" i="1"/>
  <c r="AI25" i="35"/>
  <c r="AF26" i="35"/>
  <c r="AI26" i="35"/>
  <c r="AG26" i="35"/>
  <c r="AH26" i="35"/>
  <c r="EJ13" i="1"/>
  <c r="EK13" i="1"/>
  <c r="AH14" i="35"/>
  <c r="AI14" i="35"/>
  <c r="AG14" i="35"/>
  <c r="EP14" i="1"/>
  <c r="EQ14" i="1" s="1"/>
  <c r="AC25" i="1"/>
  <c r="BE39" i="1"/>
  <c r="BD39" i="1"/>
  <c r="AQ24" i="1"/>
  <c r="AP24" i="1"/>
  <c r="EJ48" i="1"/>
  <c r="EK48" i="1"/>
  <c r="AA46" i="1"/>
  <c r="AB46" i="1"/>
  <c r="BF20" i="1"/>
  <c r="H19" i="41"/>
  <c r="BD20" i="1"/>
  <c r="AQ6" i="1"/>
  <c r="AP6" i="1"/>
  <c r="AJ25" i="35"/>
  <c r="AK25" i="35"/>
  <c r="G15" i="58"/>
  <c r="I15" i="58"/>
  <c r="P18" i="35"/>
  <c r="AE18" i="35"/>
  <c r="BD21" i="1"/>
  <c r="EM27" i="1"/>
  <c r="EL27" i="1"/>
  <c r="AE16" i="35"/>
  <c r="P16" i="35"/>
  <c r="H8" i="58"/>
  <c r="I8" i="58"/>
  <c r="J8" i="58"/>
  <c r="AE14" i="1"/>
  <c r="EP27" i="1"/>
  <c r="EQ27" i="1" s="1"/>
  <c r="AX12" i="1"/>
  <c r="AG41" i="35"/>
  <c r="AH41" i="35"/>
  <c r="AI41" i="35"/>
  <c r="AF41" i="35"/>
  <c r="BE50" i="1"/>
  <c r="I49" i="41" s="1"/>
  <c r="H50" i="41"/>
  <c r="BD50" i="1"/>
  <c r="H49" i="41"/>
  <c r="BD51" i="1"/>
  <c r="BF50" i="1"/>
  <c r="EJ47" i="1"/>
  <c r="EK47" i="1"/>
  <c r="EI44" i="1"/>
  <c r="DH44" i="1"/>
  <c r="DJ44" i="1"/>
  <c r="DH45" i="1"/>
  <c r="DJ45" i="1"/>
  <c r="AA22" i="1"/>
  <c r="AB22" i="1"/>
  <c r="P14" i="35"/>
  <c r="L30" i="40"/>
  <c r="R30" i="40" s="1"/>
  <c r="AH23" i="35"/>
  <c r="AG23" i="35"/>
  <c r="EL33" i="1"/>
  <c r="EM33" i="1"/>
  <c r="AK50" i="35"/>
  <c r="DI46" i="1"/>
  <c r="AI54" i="35"/>
  <c r="AH54" i="35"/>
  <c r="AX16" i="1"/>
  <c r="AX17" i="1"/>
  <c r="AF5" i="35"/>
  <c r="AI5" i="35"/>
  <c r="AH5" i="35"/>
  <c r="AG5" i="35"/>
  <c r="AQ2" i="1"/>
  <c r="AP2" i="1"/>
  <c r="EL20" i="1"/>
  <c r="EM20" i="1"/>
  <c r="AX48" i="1"/>
  <c r="AX49" i="1"/>
  <c r="AZ38" i="1"/>
  <c r="AA45" i="1"/>
  <c r="AB45" i="1"/>
  <c r="AD45" i="1"/>
  <c r="X22" i="1"/>
  <c r="B21" i="41"/>
  <c r="P22" i="1"/>
  <c r="Q22" i="1"/>
  <c r="T22" i="1"/>
  <c r="U22" i="1"/>
  <c r="EP22" i="1"/>
  <c r="EQ22" i="1" s="1"/>
  <c r="V22" i="1"/>
  <c r="T23" i="1"/>
  <c r="U23" i="1"/>
  <c r="B22" i="41"/>
  <c r="EJ45" i="1"/>
  <c r="EK45" i="1"/>
  <c r="U51" i="1"/>
  <c r="T51" i="1"/>
  <c r="EP39" i="1"/>
  <c r="EQ39" i="1" s="1"/>
  <c r="DI53" i="1"/>
  <c r="AX26" i="1"/>
  <c r="AB33" i="1"/>
  <c r="DJ46" i="1"/>
  <c r="AX14" i="1"/>
  <c r="P9" i="35"/>
  <c r="BF5" i="1"/>
  <c r="J4" i="41" s="1"/>
  <c r="AD50" i="1"/>
  <c r="EU36" i="1"/>
  <c r="AC48" i="1"/>
  <c r="L42" i="40"/>
  <c r="R42" i="40" s="1"/>
  <c r="BD41" i="1"/>
  <c r="CE10" i="1"/>
  <c r="H22" i="41"/>
  <c r="BE23" i="1"/>
  <c r="I22" i="41" s="1"/>
  <c r="M49" i="40"/>
  <c r="S49" i="40" s="1"/>
  <c r="P12" i="1"/>
  <c r="Q12" i="1"/>
  <c r="T12" i="1"/>
  <c r="U12" i="1"/>
  <c r="EP49" i="1"/>
  <c r="EQ49" i="1" s="1"/>
  <c r="DH38" i="1"/>
  <c r="P20" i="95"/>
  <c r="N7" i="95"/>
  <c r="N6" i="95"/>
  <c r="AD5" i="1"/>
  <c r="AB5" i="1"/>
  <c r="AC6" i="1" s="1"/>
  <c r="V40" i="1"/>
  <c r="B39" i="41"/>
  <c r="X40" i="1"/>
  <c r="CQ52" i="1"/>
  <c r="CP53" i="1"/>
  <c r="BF21" i="1"/>
  <c r="EF11" i="1"/>
  <c r="X25" i="1"/>
  <c r="V25" i="1"/>
  <c r="EK16" i="1"/>
  <c r="EJ16" i="1"/>
  <c r="DH23" i="1"/>
  <c r="M38" i="95"/>
  <c r="I80" i="55"/>
  <c r="BE21" i="1"/>
  <c r="AH17" i="35"/>
  <c r="AG44" i="35"/>
  <c r="AZ13" i="1"/>
  <c r="BD32" i="1"/>
  <c r="BD11" i="1"/>
  <c r="AI15" i="35"/>
  <c r="AH15" i="35"/>
  <c r="AG15" i="35"/>
  <c r="AF15" i="35"/>
  <c r="E30" i="41"/>
  <c r="K30" i="41" s="1"/>
  <c r="BF24" i="1"/>
  <c r="J23" i="41" s="1"/>
  <c r="AI51" i="35"/>
  <c r="AH51" i="35"/>
  <c r="AG51" i="35"/>
  <c r="EM23" i="1"/>
  <c r="EL23" i="1"/>
  <c r="CJ8" i="1"/>
  <c r="CE8" i="1"/>
  <c r="EI22" i="1"/>
  <c r="DH22" i="1"/>
  <c r="DJ22" i="1"/>
  <c r="DJ23" i="1"/>
  <c r="CD6" i="1"/>
  <c r="AI44" i="35"/>
  <c r="AE31" i="1"/>
  <c r="DI36" i="1"/>
  <c r="EP23" i="1"/>
  <c r="EQ23" i="1" s="1"/>
  <c r="W11" i="1"/>
  <c r="EK52" i="1"/>
  <c r="EJ52" i="1"/>
  <c r="H20" i="41"/>
  <c r="E45" i="41"/>
  <c r="K45" i="41" s="1"/>
  <c r="AC49" i="1"/>
  <c r="BD34" i="1"/>
  <c r="BD33" i="1"/>
  <c r="BF25" i="1"/>
  <c r="N28" i="62"/>
  <c r="N43" i="62"/>
  <c r="AD32" i="1"/>
  <c r="AE32" i="1" s="1"/>
  <c r="AB32" i="1"/>
  <c r="EM22" i="1"/>
  <c r="EL22" i="1"/>
  <c r="X24" i="1"/>
  <c r="V24" i="1"/>
  <c r="CD44" i="1"/>
  <c r="L21" i="40"/>
  <c r="R21" i="40" s="1"/>
  <c r="T40" i="1"/>
  <c r="BD26" i="1"/>
  <c r="BD22" i="1"/>
  <c r="AF48" i="35"/>
  <c r="AG48" i="35"/>
  <c r="I9" i="58"/>
  <c r="J9" i="58"/>
  <c r="E6" i="41"/>
  <c r="K6" i="41" s="1"/>
  <c r="X21" i="1"/>
  <c r="P21" i="1"/>
  <c r="Q21" i="1"/>
  <c r="T21" i="1"/>
  <c r="U21" i="1"/>
  <c r="V21" i="1"/>
  <c r="EM8" i="1"/>
  <c r="EL8" i="1"/>
  <c r="P34" i="1"/>
  <c r="Q34" i="1"/>
  <c r="CG49" i="1"/>
  <c r="DH12" i="1"/>
  <c r="DJ12" i="1"/>
  <c r="DH13" i="1"/>
  <c r="DJ13" i="1"/>
  <c r="CW34" i="1"/>
  <c r="O25" i="95"/>
  <c r="AP25" i="1"/>
  <c r="P45" i="35"/>
  <c r="N30" i="62"/>
  <c r="DH36" i="1"/>
  <c r="DJ36" i="1"/>
  <c r="CW35" i="1"/>
  <c r="CW36" i="1"/>
  <c r="AF38" i="35"/>
  <c r="AH38" i="35"/>
  <c r="AI38" i="35"/>
  <c r="EP9" i="1"/>
  <c r="EQ9" i="1" s="1"/>
  <c r="BD40" i="1"/>
  <c r="Q40" i="1"/>
  <c r="EM7" i="1"/>
  <c r="EL7" i="1"/>
  <c r="CE49" i="1"/>
  <c r="CD29" i="1"/>
  <c r="E28" i="41"/>
  <c r="K28" i="41" s="1"/>
  <c r="EK35" i="1"/>
  <c r="EJ35" i="1"/>
  <c r="EL39" i="1"/>
  <c r="BF33" i="1"/>
  <c r="J32" i="41" s="1"/>
  <c r="V6" i="1"/>
  <c r="P6" i="1"/>
  <c r="X6" i="1"/>
  <c r="Q6" i="1"/>
  <c r="P42" i="95"/>
  <c r="N23" i="95"/>
  <c r="Y13" i="1"/>
  <c r="AA6" i="1"/>
  <c r="Q13" i="1"/>
  <c r="AE18" i="1"/>
  <c r="AE37" i="1"/>
  <c r="EP32" i="1"/>
  <c r="EQ32" i="1" s="1"/>
  <c r="CD31" i="1"/>
  <c r="P13" i="1"/>
  <c r="AP8" i="1"/>
  <c r="G17" i="58"/>
  <c r="H7" i="58"/>
  <c r="AE38" i="1"/>
  <c r="DI45" i="1"/>
  <c r="P32" i="1"/>
  <c r="Q32" i="1"/>
  <c r="V32" i="1"/>
  <c r="T32" i="1"/>
  <c r="U32" i="1"/>
  <c r="M29" i="95"/>
  <c r="AA48" i="1"/>
  <c r="H39" i="41"/>
  <c r="DI20" i="1"/>
  <c r="AE29" i="35"/>
  <c r="H33" i="41"/>
  <c r="BE34" i="1"/>
  <c r="I33" i="41" s="1"/>
  <c r="AD20" i="1"/>
  <c r="AA20" i="1"/>
  <c r="AB20" i="1"/>
  <c r="V5" i="1"/>
  <c r="P5" i="1"/>
  <c r="Q5" i="1"/>
  <c r="T5" i="1"/>
  <c r="X5" i="1"/>
  <c r="O11" i="95"/>
  <c r="AF17" i="35"/>
  <c r="AI17" i="35"/>
  <c r="B12" i="41"/>
  <c r="BD10" i="1"/>
  <c r="BE10" i="1"/>
  <c r="H10" i="41"/>
  <c r="CE51" i="1"/>
  <c r="CE50" i="1"/>
  <c r="EI46" i="1"/>
  <c r="DH47" i="1"/>
  <c r="DJ47" i="1"/>
  <c r="EK32" i="1"/>
  <c r="EJ32" i="1"/>
  <c r="AQ11" i="1"/>
  <c r="AP11" i="1"/>
  <c r="AQ32" i="1"/>
  <c r="EF4" i="1"/>
  <c r="N28" i="95"/>
  <c r="N16" i="95"/>
  <c r="Y9" i="1"/>
  <c r="AG9" i="35"/>
  <c r="H34" i="41"/>
  <c r="BE35" i="1"/>
  <c r="AX45" i="1"/>
  <c r="N16" i="63"/>
  <c r="N17" i="63"/>
  <c r="O53" i="35"/>
  <c r="EM16" i="1"/>
  <c r="EL16" i="1"/>
  <c r="P4" i="1"/>
  <c r="Q4" i="1"/>
  <c r="T4" i="1"/>
  <c r="U4" i="1"/>
  <c r="M35" i="40"/>
  <c r="S35" i="40" s="1"/>
  <c r="E9" i="69"/>
  <c r="BE48" i="1"/>
  <c r="BE51" i="1"/>
  <c r="AA11" i="1"/>
  <c r="AA52" i="1"/>
  <c r="AD24" i="1"/>
  <c r="AE24" i="1" s="1"/>
  <c r="I12" i="58"/>
  <c r="H51" i="35"/>
  <c r="AB30" i="1"/>
  <c r="M44" i="95"/>
  <c r="M18" i="95"/>
  <c r="H12" i="58"/>
  <c r="EP3" i="1"/>
  <c r="EQ3" i="1" s="1"/>
  <c r="P6" i="95"/>
  <c r="P17" i="35"/>
  <c r="P12" i="35"/>
  <c r="P7" i="35"/>
  <c r="G12" i="58"/>
  <c r="M17" i="40"/>
  <c r="S17" i="40" s="1"/>
  <c r="EV22" i="1"/>
  <c r="AE28" i="35"/>
  <c r="BD15" i="1"/>
  <c r="M46" i="40"/>
  <c r="S46" i="40" s="1"/>
  <c r="AD25" i="1"/>
  <c r="N39" i="95"/>
  <c r="AE35" i="35"/>
  <c r="AD39" i="1"/>
  <c r="CE5" i="1"/>
  <c r="M24" i="40"/>
  <c r="S24" i="40" s="1"/>
  <c r="BE52" i="1"/>
  <c r="AA3" i="1"/>
  <c r="AA27" i="1"/>
  <c r="E23" i="41"/>
  <c r="K23" i="41" s="1"/>
  <c r="CD38" i="1"/>
  <c r="P52" i="35"/>
  <c r="AA4" i="1"/>
  <c r="G10" i="58"/>
  <c r="AD27" i="1"/>
  <c r="CG44" i="1"/>
  <c r="AE37" i="35"/>
  <c r="BF31" i="1"/>
  <c r="P51" i="35"/>
  <c r="L13" i="40"/>
  <c r="R13" i="40" s="1"/>
  <c r="L37" i="40"/>
  <c r="R37" i="40" s="1"/>
  <c r="BF49" i="1"/>
  <c r="J48" i="41" s="1"/>
  <c r="AA18" i="1"/>
  <c r="AD28" i="1"/>
  <c r="AN53" i="1"/>
  <c r="F19" i="58"/>
  <c r="J19" i="58" s="1"/>
  <c r="AA30" i="1"/>
  <c r="E3" i="41"/>
  <c r="K3" i="41" s="1"/>
  <c r="P29" i="95"/>
  <c r="EI39" i="1"/>
  <c r="EI23" i="1"/>
  <c r="L38" i="40"/>
  <c r="R38" i="40" s="1"/>
  <c r="AD44" i="1"/>
  <c r="AE44" i="1" s="1"/>
  <c r="EI31" i="1"/>
  <c r="O50" i="95"/>
  <c r="L8" i="40"/>
  <c r="R8" i="40" s="1"/>
  <c r="EV28" i="1"/>
  <c r="EV42" i="1"/>
  <c r="EH8" i="1" l="1"/>
  <c r="FE8" i="1"/>
  <c r="EH28" i="1"/>
  <c r="FE28" i="1"/>
  <c r="EH46" i="1"/>
  <c r="EH45" i="1"/>
  <c r="EH48" i="1"/>
  <c r="EH37" i="1"/>
  <c r="EH43" i="1"/>
  <c r="EH41" i="1"/>
  <c r="EH33" i="1"/>
  <c r="EH35" i="1"/>
  <c r="EH3" i="1"/>
  <c r="FE3" i="1"/>
  <c r="EH53" i="1"/>
  <c r="EH29" i="1"/>
  <c r="EH32" i="1"/>
  <c r="EH44" i="1"/>
  <c r="EH24" i="1"/>
  <c r="FE24" i="1"/>
  <c r="EH31" i="1"/>
  <c r="EH30" i="1"/>
  <c r="FB55" i="1"/>
  <c r="EH20" i="1"/>
  <c r="FE20" i="1"/>
  <c r="EH25" i="1"/>
  <c r="FE25" i="1"/>
  <c r="EH36" i="1"/>
  <c r="AC30" i="1"/>
  <c r="EH21" i="1"/>
  <c r="FE21" i="1"/>
  <c r="EH27" i="1"/>
  <c r="FE27" i="1"/>
  <c r="EH23" i="1"/>
  <c r="FE23" i="1"/>
  <c r="FB54" i="1"/>
  <c r="EH17" i="1"/>
  <c r="FE17" i="1"/>
  <c r="EH11" i="1"/>
  <c r="FE11" i="1"/>
  <c r="EH13" i="1"/>
  <c r="FE13" i="1"/>
  <c r="EH15" i="1"/>
  <c r="FE15" i="1"/>
  <c r="EH22" i="1"/>
  <c r="FE22" i="1"/>
  <c r="EH9" i="1"/>
  <c r="FE9" i="1"/>
  <c r="EH52" i="1"/>
  <c r="EH18" i="1"/>
  <c r="FE18" i="1"/>
  <c r="EH10" i="1"/>
  <c r="FE10" i="1"/>
  <c r="EH26" i="1"/>
  <c r="FE26" i="1"/>
  <c r="AC27" i="1"/>
  <c r="EH47" i="1"/>
  <c r="EH12" i="1"/>
  <c r="FE12" i="1"/>
  <c r="EH5" i="1"/>
  <c r="FE5" i="1"/>
  <c r="EH19" i="1"/>
  <c r="FE19" i="1"/>
  <c r="FB56" i="1"/>
  <c r="EH39" i="1"/>
  <c r="EH40" i="1"/>
  <c r="EH6" i="1"/>
  <c r="FE6" i="1"/>
  <c r="EH4" i="1"/>
  <c r="FE4" i="1"/>
  <c r="EZ29" i="1"/>
  <c r="FE29" i="1" s="1"/>
  <c r="EH51" i="1"/>
  <c r="EH49" i="1"/>
  <c r="EH14" i="1"/>
  <c r="FE14" i="1"/>
  <c r="EH7" i="1"/>
  <c r="FE7" i="1"/>
  <c r="EH50" i="1"/>
  <c r="EH16" i="1"/>
  <c r="FE16" i="1"/>
  <c r="EH38" i="1"/>
  <c r="EH42" i="1"/>
  <c r="EH34" i="1"/>
  <c r="C48" i="41"/>
  <c r="EW45" i="1"/>
  <c r="EW24" i="1"/>
  <c r="C49" i="41"/>
  <c r="AE49" i="1"/>
  <c r="EK3" i="1"/>
  <c r="EW37" i="1"/>
  <c r="EW44" i="1"/>
  <c r="EW32" i="1"/>
  <c r="Y51" i="1"/>
  <c r="AJ23" i="35"/>
  <c r="AK23" i="35"/>
  <c r="O12" i="55"/>
  <c r="EW28" i="1"/>
  <c r="AI23" i="35"/>
  <c r="O11" i="55"/>
  <c r="EW35" i="1"/>
  <c r="EM12" i="1"/>
  <c r="F27" i="41"/>
  <c r="N27" i="41" s="1"/>
  <c r="AG8" i="35"/>
  <c r="AL49" i="35"/>
  <c r="AC44" i="1"/>
  <c r="EW49" i="1"/>
  <c r="AC43" i="1"/>
  <c r="J41" i="41"/>
  <c r="EW30" i="1"/>
  <c r="O10" i="55"/>
  <c r="AJ49" i="35"/>
  <c r="EW25" i="1"/>
  <c r="EY16" i="1"/>
  <c r="FA16" i="1" s="1"/>
  <c r="AJ22" i="35"/>
  <c r="CI31" i="1"/>
  <c r="W18" i="1"/>
  <c r="C12" i="41"/>
  <c r="I47" i="41"/>
  <c r="Y27" i="1"/>
  <c r="AE56" i="1"/>
  <c r="Y46" i="1"/>
  <c r="W12" i="1"/>
  <c r="CK5" i="1"/>
  <c r="Y34" i="1"/>
  <c r="AJ8" i="35"/>
  <c r="AO55" i="1"/>
  <c r="AL6" i="35"/>
  <c r="AK33" i="35"/>
  <c r="AJ33" i="35"/>
  <c r="EP19" i="1"/>
  <c r="EQ19" i="1" s="1"/>
  <c r="CI30" i="1"/>
  <c r="D49" i="41"/>
  <c r="CK18" i="1"/>
  <c r="F3" i="41"/>
  <c r="L3" i="41" s="1"/>
  <c r="D50" i="41"/>
  <c r="W37" i="1"/>
  <c r="F12" i="41"/>
  <c r="N12" i="41" s="1"/>
  <c r="CK10" i="1"/>
  <c r="AK21" i="35"/>
  <c r="AJ21" i="35"/>
  <c r="CK17" i="1"/>
  <c r="AN55" i="1"/>
  <c r="AQ55" i="1" s="1"/>
  <c r="AK22" i="35"/>
  <c r="CK22" i="1"/>
  <c r="CI19" i="1"/>
  <c r="AQ56" i="1"/>
  <c r="AG57" i="35"/>
  <c r="AK8" i="35"/>
  <c r="AK36" i="35"/>
  <c r="AJ36" i="35"/>
  <c r="F18" i="41"/>
  <c r="L18" i="41" s="1"/>
  <c r="CK41" i="1"/>
  <c r="AK44" i="35"/>
  <c r="AN54" i="1"/>
  <c r="AP54" i="1" s="1"/>
  <c r="AJ55" i="35"/>
  <c r="CI44" i="1"/>
  <c r="CK23" i="1"/>
  <c r="CI10" i="1"/>
  <c r="CI41" i="1"/>
  <c r="CK19" i="1"/>
  <c r="AJ44" i="35"/>
  <c r="CI26" i="1"/>
  <c r="AL30" i="35"/>
  <c r="CI18" i="1"/>
  <c r="AK30" i="35"/>
  <c r="AJ6" i="35"/>
  <c r="I15" i="41"/>
  <c r="D36" i="41"/>
  <c r="D30" i="41"/>
  <c r="D26" i="41"/>
  <c r="Y3" i="1"/>
  <c r="AC14" i="1"/>
  <c r="AC37" i="1"/>
  <c r="I16" i="41"/>
  <c r="Q53" i="35"/>
  <c r="Q54" i="35"/>
  <c r="S54" i="35" s="1"/>
  <c r="AG11" i="35"/>
  <c r="AH11" i="35"/>
  <c r="AI11" i="35"/>
  <c r="AJ40" i="35"/>
  <c r="AL40" i="35"/>
  <c r="Q52" i="35"/>
  <c r="S52" i="35" s="1"/>
  <c r="M30" i="40"/>
  <c r="S30" i="40" s="1"/>
  <c r="M40" i="40"/>
  <c r="S40" i="40" s="1"/>
  <c r="L39" i="40"/>
  <c r="R39" i="40" s="1"/>
  <c r="M13" i="40"/>
  <c r="S13" i="40" s="1"/>
  <c r="L45" i="40"/>
  <c r="R45" i="40" s="1"/>
  <c r="L49" i="40"/>
  <c r="R49" i="40" s="1"/>
  <c r="L10" i="40"/>
  <c r="R10" i="40" s="1"/>
  <c r="L31" i="40"/>
  <c r="R31" i="40" s="1"/>
  <c r="L12" i="40"/>
  <c r="R12" i="40" s="1"/>
  <c r="L6" i="40"/>
  <c r="R6" i="40" s="1"/>
  <c r="M28" i="40"/>
  <c r="S28" i="40" s="1"/>
  <c r="L56" i="40"/>
  <c r="R56" i="40" s="1"/>
  <c r="M56" i="40"/>
  <c r="S56" i="40" s="1"/>
  <c r="L51" i="40"/>
  <c r="R51" i="40" s="1"/>
  <c r="M15" i="40"/>
  <c r="S15" i="40" s="1"/>
  <c r="L15" i="40"/>
  <c r="R15" i="40" s="1"/>
  <c r="L17" i="40"/>
  <c r="R17" i="40" s="1"/>
  <c r="M37" i="40"/>
  <c r="S37" i="40" s="1"/>
  <c r="M8" i="40"/>
  <c r="S8" i="40" s="1"/>
  <c r="M21" i="40"/>
  <c r="S21" i="40" s="1"/>
  <c r="L23" i="40"/>
  <c r="R23" i="40" s="1"/>
  <c r="M7" i="40"/>
  <c r="S7" i="40" s="1"/>
  <c r="AC26" i="1"/>
  <c r="F15" i="41"/>
  <c r="L15" i="41" s="1"/>
  <c r="F43" i="41"/>
  <c r="N43" i="41" s="1"/>
  <c r="I35" i="41"/>
  <c r="F9" i="41"/>
  <c r="N9" i="41" s="1"/>
  <c r="AE16" i="1"/>
  <c r="CI11" i="1"/>
  <c r="F5" i="41"/>
  <c r="L5" i="41" s="1"/>
  <c r="F4" i="41"/>
  <c r="L4" i="41" s="1"/>
  <c r="Y4" i="1"/>
  <c r="I45" i="41"/>
  <c r="CK45" i="1"/>
  <c r="CI5" i="1"/>
  <c r="EP21" i="1"/>
  <c r="EQ21" i="1" s="1"/>
  <c r="AE48" i="1"/>
  <c r="I44" i="41"/>
  <c r="CI17" i="1"/>
  <c r="AE8" i="1"/>
  <c r="AC33" i="1"/>
  <c r="AC42" i="1"/>
  <c r="I14" i="41"/>
  <c r="EL21" i="1"/>
  <c r="C2" i="41"/>
  <c r="F16" i="41"/>
  <c r="L16" i="41" s="1"/>
  <c r="AC12" i="1"/>
  <c r="I12" i="41"/>
  <c r="AC4" i="1"/>
  <c r="L55" i="41"/>
  <c r="AC45" i="1"/>
  <c r="I13" i="41"/>
  <c r="W47" i="1"/>
  <c r="Y10" i="1"/>
  <c r="I11" i="41"/>
  <c r="W31" i="1"/>
  <c r="EK25" i="1"/>
  <c r="Y39" i="1"/>
  <c r="CI16" i="1"/>
  <c r="CK32" i="1"/>
  <c r="D42" i="41"/>
  <c r="W39" i="1"/>
  <c r="EM19" i="1"/>
  <c r="C47" i="41"/>
  <c r="C3" i="41"/>
  <c r="CK31" i="1"/>
  <c r="EK11" i="1"/>
  <c r="AC54" i="1"/>
  <c r="I41" i="41"/>
  <c r="EW41" i="1"/>
  <c r="EP6" i="1"/>
  <c r="EQ6" i="1" s="1"/>
  <c r="I40" i="41"/>
  <c r="EL5" i="1"/>
  <c r="EM5" i="1"/>
  <c r="Y38" i="1"/>
  <c r="W16" i="1"/>
  <c r="F24" i="41"/>
  <c r="M24" i="41" s="1"/>
  <c r="W30" i="1"/>
  <c r="D45" i="41"/>
  <c r="CK25" i="1"/>
  <c r="CI25" i="1"/>
  <c r="CK44" i="1"/>
  <c r="C17" i="41"/>
  <c r="F25" i="41"/>
  <c r="L25" i="41" s="1"/>
  <c r="J55" i="41"/>
  <c r="N55" i="41" s="1"/>
  <c r="C30" i="41"/>
  <c r="EW52" i="1"/>
  <c r="CK26" i="1"/>
  <c r="W28" i="1"/>
  <c r="CK28" i="1"/>
  <c r="CI12" i="1"/>
  <c r="CK30" i="1"/>
  <c r="F29" i="41"/>
  <c r="N29" i="41" s="1"/>
  <c r="W27" i="1"/>
  <c r="CI29" i="1"/>
  <c r="C26" i="41"/>
  <c r="CK29" i="1"/>
  <c r="F39" i="41"/>
  <c r="L39" i="41" s="1"/>
  <c r="W10" i="1"/>
  <c r="EP5" i="1"/>
  <c r="EQ5" i="1" s="1"/>
  <c r="D48" i="41"/>
  <c r="I17" i="41"/>
  <c r="M17" i="41" s="1"/>
  <c r="D31" i="41"/>
  <c r="CI23" i="1"/>
  <c r="EP12" i="1"/>
  <c r="EQ12" i="1" s="1"/>
  <c r="CI39" i="1"/>
  <c r="Y12" i="1"/>
  <c r="D46" i="41"/>
  <c r="C8" i="41"/>
  <c r="L54" i="41"/>
  <c r="Y11" i="1"/>
  <c r="AC3" i="1"/>
  <c r="CK3" i="1"/>
  <c r="F11" i="41"/>
  <c r="L11" i="41" s="1"/>
  <c r="CI28" i="1"/>
  <c r="AC32" i="1"/>
  <c r="EW50" i="1"/>
  <c r="D35" i="41"/>
  <c r="C46" i="41"/>
  <c r="Y36" i="1"/>
  <c r="Y32" i="1"/>
  <c r="CK13" i="1"/>
  <c r="EW46" i="1"/>
  <c r="F28" i="41"/>
  <c r="L28" i="41" s="1"/>
  <c r="Y31" i="1"/>
  <c r="Y47" i="1"/>
  <c r="CK16" i="1"/>
  <c r="D10" i="41"/>
  <c r="W3" i="1"/>
  <c r="CK12" i="1"/>
  <c r="CI13" i="1"/>
  <c r="EW31" i="1"/>
  <c r="C37" i="41"/>
  <c r="C45" i="41"/>
  <c r="AC17" i="1"/>
  <c r="F10" i="41"/>
  <c r="N10" i="41" s="1"/>
  <c r="I37" i="41"/>
  <c r="C52" i="41"/>
  <c r="EW33" i="1"/>
  <c r="AC52" i="1"/>
  <c r="Y53" i="1"/>
  <c r="L17" i="41"/>
  <c r="D37" i="41"/>
  <c r="CK4" i="1"/>
  <c r="I8" i="41"/>
  <c r="I2" i="41"/>
  <c r="D52" i="41"/>
  <c r="EW29" i="1"/>
  <c r="D41" i="41"/>
  <c r="EL15" i="1"/>
  <c r="EM15" i="1"/>
  <c r="EM13" i="1"/>
  <c r="Y43" i="1"/>
  <c r="C16" i="41"/>
  <c r="W17" i="1"/>
  <c r="EW22" i="1"/>
  <c r="EL13" i="1"/>
  <c r="EW18" i="1"/>
  <c r="C15" i="41"/>
  <c r="EW38" i="1"/>
  <c r="W38" i="1"/>
  <c r="AC13" i="1"/>
  <c r="Y42" i="1"/>
  <c r="J11" i="41"/>
  <c r="AC41" i="1"/>
  <c r="AE23" i="1"/>
  <c r="CI45" i="1"/>
  <c r="AC40" i="1"/>
  <c r="C38" i="41"/>
  <c r="W15" i="1"/>
  <c r="AC36" i="1"/>
  <c r="DI43" i="1"/>
  <c r="AE33" i="1"/>
  <c r="EW34" i="1"/>
  <c r="F42" i="41"/>
  <c r="M42" i="41" s="1"/>
  <c r="EJ19" i="1"/>
  <c r="W9" i="1"/>
  <c r="F30" i="41"/>
  <c r="L30" i="41" s="1"/>
  <c r="CK27" i="1"/>
  <c r="F26" i="41"/>
  <c r="N26" i="41" s="1"/>
  <c r="C51" i="41"/>
  <c r="AE27" i="1"/>
  <c r="I46" i="41"/>
  <c r="EP15" i="1"/>
  <c r="EQ15" i="1" s="1"/>
  <c r="CI27" i="1"/>
  <c r="I4" i="41"/>
  <c r="D38" i="41"/>
  <c r="W50" i="1"/>
  <c r="W19" i="1"/>
  <c r="C18" i="41"/>
  <c r="AC53" i="1"/>
  <c r="F34" i="41"/>
  <c r="L34" i="41" s="1"/>
  <c r="AC55" i="1"/>
  <c r="F20" i="41"/>
  <c r="L20" i="41" s="1"/>
  <c r="N17" i="41"/>
  <c r="F52" i="41"/>
  <c r="N52" i="41" s="1"/>
  <c r="EM24" i="1"/>
  <c r="EP24" i="1"/>
  <c r="EQ24" i="1" s="1"/>
  <c r="EL24" i="1"/>
  <c r="I43" i="41"/>
  <c r="CK40" i="1"/>
  <c r="J3" i="41"/>
  <c r="W52" i="1"/>
  <c r="W54" i="1"/>
  <c r="C53" i="41"/>
  <c r="EJ18" i="1"/>
  <c r="EK18" i="1"/>
  <c r="CI37" i="1"/>
  <c r="I54" i="41"/>
  <c r="M54" i="41" s="1"/>
  <c r="C33" i="41"/>
  <c r="W13" i="1"/>
  <c r="Y29" i="1"/>
  <c r="D29" i="41"/>
  <c r="D28" i="41"/>
  <c r="Y30" i="1"/>
  <c r="CK54" i="1"/>
  <c r="AE20" i="1"/>
  <c r="EW23" i="1"/>
  <c r="AC56" i="1"/>
  <c r="W44" i="1"/>
  <c r="C44" i="41"/>
  <c r="EW51" i="1"/>
  <c r="F40" i="41"/>
  <c r="L40" i="41" s="1"/>
  <c r="F53" i="41"/>
  <c r="L53" i="41" s="1"/>
  <c r="AO54" i="1"/>
  <c r="D15" i="41"/>
  <c r="Y16" i="1"/>
  <c r="J54" i="41"/>
  <c r="N54" i="41" s="1"/>
  <c r="EW42" i="1"/>
  <c r="AE45" i="1"/>
  <c r="Y55" i="1"/>
  <c r="D54" i="41"/>
  <c r="W55" i="1"/>
  <c r="C54" i="41"/>
  <c r="Y48" i="1"/>
  <c r="D47" i="41"/>
  <c r="W53" i="1"/>
  <c r="W56" i="1"/>
  <c r="C55" i="41"/>
  <c r="Y28" i="1"/>
  <c r="D27" i="41"/>
  <c r="W51" i="1"/>
  <c r="C50" i="41"/>
  <c r="S53" i="35"/>
  <c r="Y54" i="1"/>
  <c r="D53" i="41"/>
  <c r="D51" i="41"/>
  <c r="Y52" i="1"/>
  <c r="AC18" i="1"/>
  <c r="AC19" i="1"/>
  <c r="AC31" i="1"/>
  <c r="F22" i="41"/>
  <c r="M22" i="41" s="1"/>
  <c r="D34" i="41"/>
  <c r="Y35" i="1"/>
  <c r="AC5" i="1"/>
  <c r="C43" i="41"/>
  <c r="W43" i="1"/>
  <c r="C42" i="41"/>
  <c r="F31" i="41"/>
  <c r="L31" i="41" s="1"/>
  <c r="DI28" i="1"/>
  <c r="EW21" i="1"/>
  <c r="Y56" i="1"/>
  <c r="D55" i="41"/>
  <c r="I55" i="41"/>
  <c r="M55" i="41" s="1"/>
  <c r="W45" i="1"/>
  <c r="D44" i="41"/>
  <c r="Y44" i="1"/>
  <c r="D43" i="41"/>
  <c r="Y45" i="1"/>
  <c r="I53" i="41"/>
  <c r="AE21" i="1"/>
  <c r="CI40" i="1"/>
  <c r="AC7" i="1"/>
  <c r="AC8" i="1"/>
  <c r="AQ52" i="1"/>
  <c r="AP52" i="1"/>
  <c r="CQ53" i="1"/>
  <c r="CP54" i="1"/>
  <c r="CK53" i="1"/>
  <c r="EJ53" i="1"/>
  <c r="CI53" i="1"/>
  <c r="CK38" i="1"/>
  <c r="CI46" i="1"/>
  <c r="F37" i="41"/>
  <c r="L37" i="41" s="1"/>
  <c r="CK46" i="1"/>
  <c r="CK42" i="1"/>
  <c r="CI38" i="1"/>
  <c r="F45" i="41"/>
  <c r="L45" i="41" s="1"/>
  <c r="CI32" i="1"/>
  <c r="CI42" i="1"/>
  <c r="F41" i="41"/>
  <c r="L41" i="41" s="1"/>
  <c r="CK37" i="1"/>
  <c r="EW47" i="1"/>
  <c r="CI43" i="1"/>
  <c r="EW40" i="1"/>
  <c r="EW39" i="1"/>
  <c r="EW53" i="1"/>
  <c r="CK39" i="1"/>
  <c r="CK43" i="1"/>
  <c r="F38" i="41"/>
  <c r="L38" i="41" s="1"/>
  <c r="EW48" i="1"/>
  <c r="EW43" i="1"/>
  <c r="F44" i="41"/>
  <c r="N44" i="41" s="1"/>
  <c r="CI33" i="1"/>
  <c r="F32" i="41"/>
  <c r="N32" i="41" s="1"/>
  <c r="CK33" i="1"/>
  <c r="DI30" i="1"/>
  <c r="DI23" i="1"/>
  <c r="DI50" i="1"/>
  <c r="DI13" i="1"/>
  <c r="DI51" i="1"/>
  <c r="CK49" i="1"/>
  <c r="F48" i="41"/>
  <c r="N48" i="41" s="1"/>
  <c r="I51" i="41"/>
  <c r="CI22" i="1"/>
  <c r="F47" i="41"/>
  <c r="L47" i="41" s="1"/>
  <c r="CI24" i="1"/>
  <c r="CI47" i="1"/>
  <c r="CK7" i="1"/>
  <c r="CI7" i="1"/>
  <c r="F6" i="41"/>
  <c r="L6" i="41" s="1"/>
  <c r="CK36" i="1"/>
  <c r="F14" i="41"/>
  <c r="CI15" i="1"/>
  <c r="CK15" i="1"/>
  <c r="F35" i="41"/>
  <c r="L35" i="41" s="1"/>
  <c r="CK24" i="1"/>
  <c r="CK47" i="1"/>
  <c r="F46" i="41"/>
  <c r="L46" i="41" s="1"/>
  <c r="CI14" i="1"/>
  <c r="F13" i="41"/>
  <c r="CK14" i="1"/>
  <c r="CK11" i="1"/>
  <c r="F51" i="41"/>
  <c r="L51" i="41" s="1"/>
  <c r="CI52" i="1"/>
  <c r="CK52" i="1"/>
  <c r="EJ30" i="1"/>
  <c r="CI36" i="1"/>
  <c r="F23" i="41"/>
  <c r="L23" i="41" s="1"/>
  <c r="F2" i="41"/>
  <c r="L2" i="41" s="1"/>
  <c r="EJ15" i="1"/>
  <c r="EK15" i="1"/>
  <c r="CI48" i="1"/>
  <c r="F36" i="41"/>
  <c r="L36" i="41" s="1"/>
  <c r="J24" i="41"/>
  <c r="I26" i="41"/>
  <c r="CK35" i="1"/>
  <c r="J36" i="41"/>
  <c r="I5" i="41"/>
  <c r="CI21" i="1"/>
  <c r="I31" i="41"/>
  <c r="I32" i="41"/>
  <c r="CI35" i="1"/>
  <c r="CK6" i="1"/>
  <c r="J6" i="41"/>
  <c r="CI34" i="1"/>
  <c r="F33" i="41"/>
  <c r="L33" i="41" s="1"/>
  <c r="CK34" i="1"/>
  <c r="CI3" i="1"/>
  <c r="CI4" i="1"/>
  <c r="F21" i="41"/>
  <c r="L21" i="41" s="1"/>
  <c r="I28" i="41"/>
  <c r="I27" i="41"/>
  <c r="I23" i="41"/>
  <c r="I18" i="41"/>
  <c r="J19" i="41"/>
  <c r="I50" i="41"/>
  <c r="J39" i="41"/>
  <c r="I36" i="41"/>
  <c r="I29" i="41"/>
  <c r="I6" i="41"/>
  <c r="I3" i="41"/>
  <c r="AI31" i="35"/>
  <c r="AH31" i="35"/>
  <c r="AG31" i="35"/>
  <c r="AF31" i="35"/>
  <c r="AG35" i="35"/>
  <c r="AF35" i="35"/>
  <c r="AH35" i="35"/>
  <c r="AI35" i="35"/>
  <c r="CK8" i="1"/>
  <c r="F7" i="41"/>
  <c r="M7" i="41" s="1"/>
  <c r="CI8" i="1"/>
  <c r="J20" i="41"/>
  <c r="EJ44" i="1"/>
  <c r="EK44" i="1"/>
  <c r="C23" i="41"/>
  <c r="W24" i="1"/>
  <c r="M51" i="40"/>
  <c r="S51" i="40" s="1"/>
  <c r="D6" i="41"/>
  <c r="Y7" i="1"/>
  <c r="EK46" i="1"/>
  <c r="EJ46" i="1"/>
  <c r="Y24" i="1"/>
  <c r="D23" i="41"/>
  <c r="AE51" i="1"/>
  <c r="AE50" i="1"/>
  <c r="W22" i="1"/>
  <c r="C21" i="41"/>
  <c r="C22" i="41"/>
  <c r="W23" i="1"/>
  <c r="DI16" i="1"/>
  <c r="DI15" i="1"/>
  <c r="AF34" i="35"/>
  <c r="AH34" i="35"/>
  <c r="AI34" i="35"/>
  <c r="AG34" i="35"/>
  <c r="EM4" i="1"/>
  <c r="EL4" i="1"/>
  <c r="EP4" i="1"/>
  <c r="EQ4" i="1" s="1"/>
  <c r="M53" i="40"/>
  <c r="S53" i="40" s="1"/>
  <c r="L53" i="40"/>
  <c r="R53" i="40" s="1"/>
  <c r="L52" i="40"/>
  <c r="R52" i="40" s="1"/>
  <c r="M52" i="40"/>
  <c r="S52" i="40" s="1"/>
  <c r="AH18" i="35"/>
  <c r="AF18" i="35"/>
  <c r="AG18" i="35"/>
  <c r="AI18" i="35"/>
  <c r="W42" i="1"/>
  <c r="W41" i="1"/>
  <c r="C40" i="41"/>
  <c r="C41" i="41"/>
  <c r="AE25" i="1"/>
  <c r="AE26" i="1"/>
  <c r="L32" i="40"/>
  <c r="R32" i="40" s="1"/>
  <c r="M32" i="40"/>
  <c r="S32" i="40" s="1"/>
  <c r="C19" i="41"/>
  <c r="W20" i="1"/>
  <c r="AF39" i="35"/>
  <c r="AI39" i="35"/>
  <c r="AH39" i="35"/>
  <c r="AG39" i="35"/>
  <c r="L25" i="40"/>
  <c r="R25" i="40" s="1"/>
  <c r="M25" i="40"/>
  <c r="S25" i="40" s="1"/>
  <c r="AF28" i="35"/>
  <c r="AH28" i="35"/>
  <c r="AI28" i="35"/>
  <c r="AG28" i="35"/>
  <c r="AJ5" i="35"/>
  <c r="AK5" i="35"/>
  <c r="AL5" i="35"/>
  <c r="J49" i="41"/>
  <c r="J5" i="41"/>
  <c r="DI44" i="1"/>
  <c r="L19" i="40"/>
  <c r="R19" i="40" s="1"/>
  <c r="M19" i="40"/>
  <c r="S19" i="40" s="1"/>
  <c r="Y40" i="1"/>
  <c r="D39" i="41"/>
  <c r="D19" i="41"/>
  <c r="Y20" i="1"/>
  <c r="AL42" i="35"/>
  <c r="AJ42" i="35"/>
  <c r="AK42" i="35"/>
  <c r="F19" i="41"/>
  <c r="L19" i="41" s="1"/>
  <c r="CI20" i="1"/>
  <c r="CK20" i="1"/>
  <c r="CK21" i="1"/>
  <c r="EL11" i="1"/>
  <c r="EM11" i="1"/>
  <c r="C31" i="41"/>
  <c r="W32" i="1"/>
  <c r="AC10" i="1"/>
  <c r="AC9" i="1"/>
  <c r="F49" i="41"/>
  <c r="L49" i="41" s="1"/>
  <c r="F50" i="41"/>
  <c r="L50" i="41" s="1"/>
  <c r="CK50" i="1"/>
  <c r="CK51" i="1"/>
  <c r="CI50" i="1"/>
  <c r="AQ53" i="1"/>
  <c r="AP53" i="1"/>
  <c r="I9" i="41"/>
  <c r="I10" i="41"/>
  <c r="C39" i="41"/>
  <c r="W40" i="1"/>
  <c r="W33" i="1"/>
  <c r="C32" i="41"/>
  <c r="W6" i="1"/>
  <c r="C5" i="41"/>
  <c r="W25" i="1"/>
  <c r="C24" i="41"/>
  <c r="C25" i="41"/>
  <c r="W26" i="1"/>
  <c r="AE29" i="1"/>
  <c r="AE28" i="1"/>
  <c r="AK15" i="35"/>
  <c r="AJ15" i="35"/>
  <c r="AL15" i="35"/>
  <c r="AG54" i="35"/>
  <c r="J50" i="41"/>
  <c r="AG43" i="35"/>
  <c r="AF43" i="35"/>
  <c r="AI43" i="35"/>
  <c r="AH43" i="35"/>
  <c r="Y5" i="1"/>
  <c r="D4" i="41"/>
  <c r="I48" i="41"/>
  <c r="EK22" i="1"/>
  <c r="EJ22" i="1"/>
  <c r="C20" i="41"/>
  <c r="W21" i="1"/>
  <c r="AL41" i="35"/>
  <c r="AK41" i="35"/>
  <c r="AJ41" i="35"/>
  <c r="J30" i="41"/>
  <c r="J31" i="41"/>
  <c r="M34" i="40"/>
  <c r="S34" i="40" s="1"/>
  <c r="L34" i="40"/>
  <c r="R34" i="40" s="1"/>
  <c r="D24" i="41"/>
  <c r="Y25" i="1"/>
  <c r="Y26" i="1"/>
  <c r="D25" i="41"/>
  <c r="L14" i="40"/>
  <c r="R14" i="40" s="1"/>
  <c r="M14" i="40"/>
  <c r="S14" i="40" s="1"/>
  <c r="J21" i="41"/>
  <c r="Y21" i="1"/>
  <c r="D20" i="41"/>
  <c r="L46" i="40"/>
  <c r="R46" i="40" s="1"/>
  <c r="L35" i="40"/>
  <c r="R35" i="40" s="1"/>
  <c r="D5" i="41"/>
  <c r="Y6" i="1"/>
  <c r="L20" i="40"/>
  <c r="R20" i="40" s="1"/>
  <c r="M20" i="40"/>
  <c r="S20" i="40" s="1"/>
  <c r="AL17" i="35"/>
  <c r="AK17" i="35"/>
  <c r="AJ17" i="35"/>
  <c r="M33" i="40"/>
  <c r="S33" i="40" s="1"/>
  <c r="L33" i="40"/>
  <c r="R33" i="40" s="1"/>
  <c r="W5" i="1"/>
  <c r="C4" i="41"/>
  <c r="L44" i="40"/>
  <c r="R44" i="40" s="1"/>
  <c r="M44" i="40"/>
  <c r="S44" i="40" s="1"/>
  <c r="W7" i="1"/>
  <c r="C6" i="41"/>
  <c r="C7" i="41"/>
  <c r="W8" i="1"/>
  <c r="I19" i="41"/>
  <c r="CK9" i="1"/>
  <c r="EK37" i="1"/>
  <c r="EJ37" i="1"/>
  <c r="Y41" i="1"/>
  <c r="AL13" i="35"/>
  <c r="AK13" i="35"/>
  <c r="AJ13" i="35"/>
  <c r="M55" i="40"/>
  <c r="S55" i="40" s="1"/>
  <c r="L55" i="40"/>
  <c r="R55" i="40" s="1"/>
  <c r="L54" i="40"/>
  <c r="R54" i="40" s="1"/>
  <c r="M54" i="40"/>
  <c r="S54" i="40" s="1"/>
  <c r="AC46" i="1"/>
  <c r="I34" i="41"/>
  <c r="AC20" i="1"/>
  <c r="AC21" i="1"/>
  <c r="M38" i="40"/>
  <c r="S38" i="40" s="1"/>
  <c r="I21" i="41"/>
  <c r="I20" i="41"/>
  <c r="CI9" i="1"/>
  <c r="D40" i="41"/>
  <c r="AE9" i="1"/>
  <c r="AE10" i="1"/>
  <c r="AJ38" i="35"/>
  <c r="AL38" i="35"/>
  <c r="AK38" i="35"/>
  <c r="EW19" i="1"/>
  <c r="F8" i="41"/>
  <c r="N8" i="41" s="1"/>
  <c r="EK20" i="1"/>
  <c r="EJ20" i="1"/>
  <c r="EJ23" i="1"/>
  <c r="EK23" i="1"/>
  <c r="AE39" i="1"/>
  <c r="AE40" i="1"/>
  <c r="AG4" i="35"/>
  <c r="AF4" i="35"/>
  <c r="AH4" i="35"/>
  <c r="AI4" i="35"/>
  <c r="AL27" i="35"/>
  <c r="AK27" i="35"/>
  <c r="AJ27" i="35"/>
  <c r="L48" i="40"/>
  <c r="R48" i="40" s="1"/>
  <c r="M48" i="40"/>
  <c r="S48" i="40" s="1"/>
  <c r="M51" i="35"/>
  <c r="L51" i="35"/>
  <c r="J33" i="41"/>
  <c r="AE35" i="1"/>
  <c r="AE36" i="1"/>
  <c r="AH16" i="35"/>
  <c r="AF16" i="35"/>
  <c r="AI16" i="35"/>
  <c r="AG16" i="35"/>
  <c r="AK32" i="35"/>
  <c r="AL32" i="35"/>
  <c r="AJ32" i="35"/>
  <c r="D21" i="41"/>
  <c r="D22" i="41"/>
  <c r="Y23" i="1"/>
  <c r="Y22" i="1"/>
  <c r="AF37" i="35"/>
  <c r="AI37" i="35"/>
  <c r="AG37" i="35"/>
  <c r="AH37" i="35"/>
  <c r="J25" i="41"/>
  <c r="L24" i="40"/>
  <c r="R24" i="40" s="1"/>
  <c r="M26" i="40"/>
  <c r="S26" i="40" s="1"/>
  <c r="L26" i="40"/>
  <c r="R26" i="40" s="1"/>
  <c r="W14" i="1"/>
  <c r="C14" i="41"/>
  <c r="C13" i="41"/>
  <c r="AJ11" i="35"/>
  <c r="AL11" i="35"/>
  <c r="AK11" i="35"/>
  <c r="EJ39" i="1"/>
  <c r="EK39" i="1"/>
  <c r="AE5" i="1"/>
  <c r="AE6" i="1"/>
  <c r="AL45" i="35"/>
  <c r="AJ45" i="35"/>
  <c r="AK45" i="35"/>
  <c r="EP11" i="1"/>
  <c r="EQ11" i="1" s="1"/>
  <c r="CI51" i="1"/>
  <c r="Y8" i="1"/>
  <c r="AE46" i="1"/>
  <c r="M11" i="40"/>
  <c r="S11" i="40" s="1"/>
  <c r="L11" i="40"/>
  <c r="R11" i="40" s="1"/>
  <c r="AC23" i="1"/>
  <c r="AC22" i="1"/>
  <c r="EJ31" i="1"/>
  <c r="EK31" i="1"/>
  <c r="AC47" i="1"/>
  <c r="I38" i="41"/>
  <c r="I39" i="41"/>
  <c r="Y15" i="1"/>
  <c r="D14" i="41"/>
  <c r="D13" i="41"/>
  <c r="Y14" i="1"/>
  <c r="I52" i="41"/>
  <c r="L36" i="40"/>
  <c r="R36" i="40" s="1"/>
  <c r="M36" i="40"/>
  <c r="S36" i="40" s="1"/>
  <c r="AH29" i="35"/>
  <c r="AF29" i="35"/>
  <c r="AG29" i="35"/>
  <c r="AI29" i="35"/>
  <c r="AC34" i="1"/>
  <c r="AJ48" i="35"/>
  <c r="AK48" i="35"/>
  <c r="AL48" i="35"/>
  <c r="AK26" i="35"/>
  <c r="AL26" i="35"/>
  <c r="AJ26" i="35"/>
  <c r="EW20" i="1"/>
  <c r="AK24" i="35"/>
  <c r="AL24" i="35"/>
  <c r="AJ24" i="35"/>
  <c r="FB35" i="1" l="1"/>
  <c r="FB34" i="1"/>
  <c r="FB41" i="1"/>
  <c r="FB21" i="1"/>
  <c r="FB42" i="1"/>
  <c r="FB43" i="1"/>
  <c r="FB44" i="1"/>
  <c r="FB32" i="1"/>
  <c r="FB29" i="1"/>
  <c r="FB39" i="1"/>
  <c r="FB38" i="1"/>
  <c r="FB47" i="1"/>
  <c r="FB36" i="1"/>
  <c r="FB37" i="1"/>
  <c r="FB16" i="1"/>
  <c r="FB25" i="1"/>
  <c r="FB48" i="1"/>
  <c r="FB26" i="1"/>
  <c r="FB51" i="1"/>
  <c r="FB50" i="1"/>
  <c r="FB20" i="1"/>
  <c r="FB45" i="1"/>
  <c r="FB24" i="1"/>
  <c r="FB40" i="1"/>
  <c r="FB33" i="1"/>
  <c r="FB46" i="1"/>
  <c r="FB22" i="1"/>
  <c r="FB19" i="1"/>
  <c r="FB18" i="1"/>
  <c r="EZ30" i="1"/>
  <c r="FB17" i="1"/>
  <c r="FB23" i="1"/>
  <c r="FB30" i="1"/>
  <c r="FB28" i="1"/>
  <c r="FB15" i="1"/>
  <c r="FB27" i="1"/>
  <c r="FB52" i="1"/>
  <c r="FB53" i="1"/>
  <c r="FB49" i="1"/>
  <c r="FB31" i="1"/>
  <c r="L12" i="41"/>
  <c r="N3" i="41"/>
  <c r="M27" i="41"/>
  <c r="M4" i="41"/>
  <c r="L27" i="41"/>
  <c r="N16" i="41"/>
  <c r="EY15" i="1"/>
  <c r="FA15" i="1" s="1"/>
  <c r="N18" i="41"/>
  <c r="AP55" i="1"/>
  <c r="AG56" i="35"/>
  <c r="M3" i="41"/>
  <c r="M12" i="41"/>
  <c r="M18" i="41"/>
  <c r="M15" i="41"/>
  <c r="AQ54" i="1"/>
  <c r="AG55" i="35"/>
  <c r="M5" i="41"/>
  <c r="N4" i="41"/>
  <c r="M29" i="41"/>
  <c r="M43" i="41"/>
  <c r="L9" i="41"/>
  <c r="L43" i="41"/>
  <c r="N5" i="41"/>
  <c r="M9" i="41"/>
  <c r="N15" i="41"/>
  <c r="N11" i="41"/>
  <c r="M16" i="41"/>
  <c r="M13" i="41"/>
  <c r="L29" i="41"/>
  <c r="L24" i="41"/>
  <c r="L10" i="41"/>
  <c r="N31" i="41"/>
  <c r="N24" i="41"/>
  <c r="N30" i="41"/>
  <c r="M25" i="41"/>
  <c r="N34" i="41"/>
  <c r="M11" i="41"/>
  <c r="M20" i="41"/>
  <c r="M30" i="41"/>
  <c r="N39" i="41"/>
  <c r="M39" i="41"/>
  <c r="N25" i="41"/>
  <c r="M26" i="41"/>
  <c r="M10" i="41"/>
  <c r="N28" i="41"/>
  <c r="L52" i="41"/>
  <c r="M52" i="41"/>
  <c r="N40" i="41"/>
  <c r="L26" i="41"/>
  <c r="M28" i="41"/>
  <c r="N20" i="41"/>
  <c r="N42" i="41"/>
  <c r="L42" i="41"/>
  <c r="M34" i="41"/>
  <c r="M23" i="41"/>
  <c r="M40" i="41"/>
  <c r="M53" i="41"/>
  <c r="N19" i="41"/>
  <c r="N53" i="41"/>
  <c r="N22" i="41"/>
  <c r="L22" i="41"/>
  <c r="M48" i="41"/>
  <c r="M21" i="41"/>
  <c r="M31" i="41"/>
  <c r="N21" i="41"/>
  <c r="N37" i="41"/>
  <c r="CP55" i="1"/>
  <c r="CQ54" i="1"/>
  <c r="N36" i="41"/>
  <c r="M37" i="41"/>
  <c r="N6" i="41"/>
  <c r="N38" i="41"/>
  <c r="N41" i="41"/>
  <c r="L44" i="41"/>
  <c r="M38" i="41"/>
  <c r="M32" i="41"/>
  <c r="M41" i="41"/>
  <c r="M44" i="41"/>
  <c r="L32" i="41"/>
  <c r="M36" i="41"/>
  <c r="L48" i="41"/>
  <c r="N45" i="41"/>
  <c r="M45" i="41"/>
  <c r="N47" i="41"/>
  <c r="M47" i="41"/>
  <c r="N51" i="41"/>
  <c r="M6" i="41"/>
  <c r="M8" i="41"/>
  <c r="N23" i="41"/>
  <c r="L8" i="41"/>
  <c r="M2" i="41"/>
  <c r="N2" i="41"/>
  <c r="L14" i="41"/>
  <c r="M14" i="41"/>
  <c r="N14" i="41"/>
  <c r="M51" i="41"/>
  <c r="M35" i="41"/>
  <c r="N46" i="41"/>
  <c r="M33" i="41"/>
  <c r="M46" i="41"/>
  <c r="N33" i="41"/>
  <c r="N13" i="41"/>
  <c r="L13" i="41"/>
  <c r="N35" i="41"/>
  <c r="M50" i="41"/>
  <c r="N49" i="41"/>
  <c r="M49" i="41"/>
  <c r="AK29" i="35"/>
  <c r="AJ29" i="35"/>
  <c r="AL29" i="35"/>
  <c r="AJ39" i="35"/>
  <c r="AL39" i="35"/>
  <c r="AK39" i="35"/>
  <c r="Q51" i="35"/>
  <c r="S51" i="35" s="1"/>
  <c r="AK34" i="35"/>
  <c r="AJ34" i="35"/>
  <c r="AL34" i="35"/>
  <c r="AL16" i="35"/>
  <c r="AK16" i="35"/>
  <c r="AJ16" i="35"/>
  <c r="N50" i="41"/>
  <c r="AK4" i="35"/>
  <c r="AJ4" i="35"/>
  <c r="AL4" i="35"/>
  <c r="L7" i="41"/>
  <c r="N7" i="41"/>
  <c r="AL35" i="35"/>
  <c r="AK35" i="35"/>
  <c r="AJ35" i="35"/>
  <c r="AK18" i="35"/>
  <c r="AJ18" i="35"/>
  <c r="AL18" i="35"/>
  <c r="AK37" i="35"/>
  <c r="AL37" i="35"/>
  <c r="AJ37" i="35"/>
  <c r="M19" i="41"/>
  <c r="AK31" i="35"/>
  <c r="AJ31" i="35"/>
  <c r="AL31" i="35"/>
  <c r="AL43" i="35"/>
  <c r="AK43" i="35"/>
  <c r="AJ43" i="35"/>
  <c r="AK28" i="35"/>
  <c r="AJ28" i="35"/>
  <c r="AL28" i="35"/>
  <c r="EZ31" i="1" l="1"/>
  <c r="FE30" i="1"/>
  <c r="EY14" i="1"/>
  <c r="CP56" i="1"/>
  <c r="CQ55" i="1"/>
  <c r="CX37" i="1"/>
  <c r="FA14" i="1" l="1"/>
  <c r="FB14" i="1"/>
  <c r="EZ32" i="1"/>
  <c r="FE31" i="1"/>
  <c r="EY13" i="1"/>
  <c r="CQ56" i="1"/>
  <c r="CP57" i="1"/>
  <c r="CU37" i="1"/>
  <c r="CV37" i="1"/>
  <c r="CS38" i="1"/>
  <c r="CT37" i="1"/>
  <c r="FA13" i="1" l="1"/>
  <c r="FB13" i="1"/>
  <c r="EZ33" i="1"/>
  <c r="FE32" i="1"/>
  <c r="EY12" i="1"/>
  <c r="CQ57" i="1"/>
  <c r="CP58" i="1"/>
  <c r="CW37" i="1"/>
  <c r="CW38" i="1"/>
  <c r="FA12" i="1" l="1"/>
  <c r="FB12" i="1"/>
  <c r="EZ34" i="1"/>
  <c r="FE33" i="1"/>
  <c r="EY11" i="1"/>
  <c r="CP59" i="1"/>
  <c r="CQ59" i="1" s="1"/>
  <c r="CQ58" i="1"/>
  <c r="FA11" i="1" l="1"/>
  <c r="FB11" i="1"/>
  <c r="EZ35" i="1"/>
  <c r="FE34" i="1"/>
  <c r="EY10" i="1"/>
  <c r="FA10" i="1" l="1"/>
  <c r="FB10" i="1"/>
  <c r="EZ36" i="1"/>
  <c r="FE35" i="1"/>
  <c r="EY9" i="1"/>
  <c r="FA9" i="1" l="1"/>
  <c r="FB9" i="1"/>
  <c r="EZ37" i="1"/>
  <c r="FE36" i="1"/>
  <c r="EY8" i="1"/>
  <c r="FA8" i="1" l="1"/>
  <c r="FB8" i="1"/>
  <c r="EZ38" i="1"/>
  <c r="FE37" i="1"/>
  <c r="EY7" i="1"/>
  <c r="FA7" i="1" l="1"/>
  <c r="FB7" i="1"/>
  <c r="EZ39" i="1"/>
  <c r="FE38" i="1"/>
  <c r="EY6" i="1"/>
  <c r="FA6" i="1" l="1"/>
  <c r="FB6" i="1"/>
  <c r="EZ40" i="1"/>
  <c r="FE39" i="1"/>
  <c r="EY5" i="1"/>
  <c r="FA5" i="1" l="1"/>
  <c r="FB5" i="1"/>
  <c r="EZ41" i="1"/>
  <c r="FE40" i="1"/>
  <c r="EY4" i="1"/>
  <c r="FA4" i="1" l="1"/>
  <c r="FB4" i="1"/>
  <c r="EZ42" i="1"/>
  <c r="FE41" i="1"/>
  <c r="EY3" i="1"/>
  <c r="FA3" i="1" l="1"/>
  <c r="FB3" i="1"/>
  <c r="EZ43" i="1"/>
  <c r="FE42" i="1"/>
  <c r="EY2" i="1"/>
  <c r="FA2" i="1" l="1"/>
  <c r="FB2" i="1"/>
  <c r="EZ44" i="1"/>
  <c r="FE43" i="1"/>
  <c r="EZ45" i="1" l="1"/>
  <c r="FE44" i="1"/>
  <c r="EZ46" i="1" l="1"/>
  <c r="FE45" i="1"/>
  <c r="EZ47" i="1" l="1"/>
  <c r="FE46" i="1"/>
  <c r="EZ48" i="1" l="1"/>
  <c r="FE47" i="1"/>
  <c r="EZ49" i="1" l="1"/>
  <c r="FE48" i="1"/>
  <c r="EZ50" i="1" l="1"/>
  <c r="FE49" i="1"/>
  <c r="EZ51" i="1" l="1"/>
  <c r="FE50" i="1"/>
  <c r="EZ52" i="1" l="1"/>
  <c r="FE51" i="1"/>
  <c r="EZ53" i="1" l="1"/>
  <c r="FE52" i="1"/>
  <c r="EZ54" i="1" l="1"/>
  <c r="FE53" i="1"/>
  <c r="EZ55" i="1" l="1"/>
  <c r="FE54" i="1"/>
  <c r="EZ56" i="1" l="1"/>
  <c r="FE55" i="1"/>
  <c r="EZ57" i="1" l="1"/>
  <c r="FE56" i="1"/>
  <c r="FE57" i="1" l="1"/>
  <c r="EZ58" i="1"/>
  <c r="FE58" i="1" l="1"/>
  <c r="EZ59" i="1"/>
  <c r="FE59" i="1" l="1"/>
  <c r="EZ60" i="1"/>
</calcChain>
</file>

<file path=xl/comments1.xml><?xml version="1.0" encoding="utf-8"?>
<comments xmlns="http://schemas.openxmlformats.org/spreadsheetml/2006/main">
  <authors>
    <author>Francky</author>
    <author>Franck Nadaud</author>
    <author>Zardoz</author>
    <author>A</author>
    <author>HP</author>
  </authors>
  <commentList>
    <comment ref="A1" authorId="0">
      <text>
        <r>
          <rPr>
            <b/>
            <sz val="8"/>
            <color indexed="81"/>
            <rFont val="Tahoma"/>
            <family val="2"/>
          </rPr>
          <t>Notes de MAJ finale:
1) maintenir cohérence des parcs avec données CCFA
2) vérifier la date conventionnelle des données CCFA
3) comme le cpdp édite les consos en fin d'année, il conviendra de décaler les données population, parc d'une année pour bien avoir les quantités relatives à l'année révolue
4) au besoin il faut comparer les deux méthodos ;
Historique des versions
V0 : version initiale Laure Lambrot 1997 ;
V1: actualisation IFE Francky 2002 ;
V2: version article Zurich 2004 ;
V3: version actualisée &amp; harmonisée 2006 ; diffusée en interne à Philippe Quirion.
V4: version actualisée en base 2000 INSEE = tous les indices de prix adoptés sont ceux des comptes nationaux en base 2000 publiés par l'INSEE
V5.0.09 : version dans laquelle les indices sont remplacés à chaque MAJ de l'INSEE ; période = 1960-2009
V6.0.11: version prenant en compte le changement de base INSEE de 2011: passage de la base 2000 à 2005.</t>
        </r>
        <r>
          <rPr>
            <sz val="8"/>
            <color indexed="81"/>
            <rFont val="Tahoma"/>
            <family val="2"/>
          </rPr>
          <t xml:space="preserve">
</t>
        </r>
      </text>
    </comment>
    <comment ref="B1" authorId="0">
      <text>
        <r>
          <rPr>
            <b/>
            <sz val="8"/>
            <color indexed="81"/>
            <rFont val="Tahoma"/>
            <family val="2"/>
          </rPr>
          <t>Population au 1er Janvier, (milliers)
série INSEE mouvement population métropole</t>
        </r>
        <r>
          <rPr>
            <sz val="8"/>
            <color indexed="81"/>
            <rFont val="Tahoma"/>
            <family val="2"/>
          </rPr>
          <t xml:space="preserve">
http://www.insee.fr/fr/themes/tableau.asp?reg_id=0&amp;ref_id=NATnon02150
fichier séries longues depuis 1946</t>
        </r>
      </text>
    </comment>
    <comment ref="C1" authorId="0">
      <text>
        <r>
          <rPr>
            <b/>
            <sz val="8"/>
            <color indexed="81"/>
            <rFont val="Tahoma"/>
            <family val="2"/>
          </rPr>
          <t>Population au 1er Janvier année t+1 , (milliers) = population année t révolue
série INED mouvement population métropole</t>
        </r>
        <r>
          <rPr>
            <sz val="8"/>
            <color indexed="81"/>
            <rFont val="Tahoma"/>
            <family val="2"/>
          </rPr>
          <t xml:space="preserve">
 </t>
        </r>
      </text>
    </comment>
    <comment ref="D1" authorId="0">
      <text>
        <r>
          <rPr>
            <b/>
            <sz val="8"/>
            <color indexed="81"/>
            <rFont val="Tahoma"/>
            <family val="2"/>
          </rPr>
          <t>Population en milieu d'année, (milliers)
série INED mouvement pop 46-06, métropole</t>
        </r>
        <r>
          <rPr>
            <sz val="8"/>
            <color indexed="81"/>
            <rFont val="Tahoma"/>
            <family val="2"/>
          </rPr>
          <t xml:space="preserve">
</t>
        </r>
      </text>
    </comment>
    <comment ref="E1" authorId="0">
      <text>
        <r>
          <rPr>
            <sz val="8"/>
            <color indexed="81"/>
            <rFont val="Tahoma"/>
            <family val="2"/>
          </rPr>
          <t xml:space="preserve">population Métropole en milieu d'année, série INSEE sur la consommation des ménages 
fichier conso2006_t4.xls
</t>
        </r>
      </text>
    </comment>
    <comment ref="F1" authorId="1">
      <text>
        <r>
          <rPr>
            <sz val="8"/>
            <color indexed="81"/>
            <rFont val="Tahoma"/>
            <family val="2"/>
          </rPr>
          <t xml:space="preserve">Bases ONU sur la population urbaine mondiale: File 21: Annual Percentage of Population at Mid-Year Residing in Urban Areas by Major Area, Region and Country, 1950-2050
WUP2014-F21-Proportion_Urban_Annual
</t>
        </r>
      </text>
    </comment>
    <comment ref="G1" authorId="0">
      <text>
        <r>
          <rPr>
            <b/>
            <sz val="10"/>
            <color indexed="81"/>
            <rFont val="Tahoma"/>
            <family val="2"/>
          </rPr>
          <t>Données ONU</t>
        </r>
        <r>
          <rPr>
            <sz val="10"/>
            <color indexed="81"/>
            <rFont val="Tahoma"/>
            <family val="2"/>
          </rPr>
          <t xml:space="preserve">
World Urbanization Prospects: The 1999 Revision</t>
        </r>
      </text>
    </comment>
    <comment ref="H1" authorId="0">
      <text>
        <r>
          <rPr>
            <sz val="8"/>
            <color indexed="81"/>
            <rFont val="Tahoma"/>
            <family val="2"/>
          </rPr>
          <t xml:space="preserve">nombre de ménages Métropole en milieu d'année, série INSEE sur la consommation des ménages 
fichier conso2006_t4.xls
</t>
        </r>
      </text>
    </comment>
    <comment ref="I1" authorId="0">
      <text>
        <r>
          <rPr>
            <b/>
            <sz val="8"/>
            <color indexed="81"/>
            <rFont val="Tahoma"/>
            <family val="2"/>
          </rPr>
          <t>sources: 1960-1988 Annuaire rétrospectif de la France, tableau 30 p. 153 ; 1989 à 2001 : CCFA</t>
        </r>
        <r>
          <rPr>
            <sz val="8"/>
            <color indexed="81"/>
            <rFont val="Tahoma"/>
            <family val="2"/>
          </rPr>
          <t xml:space="preserve">
2002 à 2007 : INSEE En gras : valeurs interpolées</t>
        </r>
      </text>
    </comment>
    <comment ref="J1" authorId="0">
      <text>
        <r>
          <rPr>
            <b/>
            <sz val="8"/>
            <color indexed="81"/>
            <rFont val="Tahoma"/>
            <family val="2"/>
          </rPr>
          <t>part des ménages équipés de deux voitures ou plus ; INSEE</t>
        </r>
        <r>
          <rPr>
            <sz val="8"/>
            <color indexed="81"/>
            <rFont val="Tahoma"/>
            <family val="2"/>
          </rPr>
          <t xml:space="preserve">
</t>
        </r>
      </text>
    </comment>
    <comment ref="V1" authorId="0">
      <text>
        <r>
          <rPr>
            <b/>
            <sz val="8"/>
            <color indexed="81"/>
            <rFont val="Tahoma"/>
            <family val="2"/>
          </rPr>
          <t>Consommation de carburant par habitant</t>
        </r>
        <r>
          <rPr>
            <sz val="8"/>
            <color indexed="81"/>
            <rFont val="Tahoma"/>
            <family val="2"/>
          </rPr>
          <t xml:space="preserve">
en mètres cubes / habitant</t>
        </r>
      </text>
    </comment>
    <comment ref="X1" authorId="0">
      <text>
        <r>
          <rPr>
            <b/>
            <sz val="8"/>
            <color indexed="81"/>
            <rFont val="Tahoma"/>
            <family val="2"/>
          </rPr>
          <t>Consommation de carburant par ménage</t>
        </r>
        <r>
          <rPr>
            <sz val="8"/>
            <color indexed="81"/>
            <rFont val="Tahoma"/>
            <family val="2"/>
          </rPr>
          <t xml:space="preserve">
en mètres cubes / ménage</t>
        </r>
      </text>
    </comment>
    <comment ref="Y1" authorId="0">
      <text>
        <r>
          <rPr>
            <b/>
            <sz val="8"/>
            <color indexed="81"/>
            <rFont val="Tahoma"/>
            <family val="2"/>
          </rPr>
          <t>Consommation de carburant par ménage</t>
        </r>
        <r>
          <rPr>
            <sz val="8"/>
            <color indexed="81"/>
            <rFont val="Tahoma"/>
            <family val="2"/>
          </rPr>
          <t xml:space="preserve">
en mètres cubes / ménage</t>
        </r>
      </text>
    </comment>
    <comment ref="Z1" authorId="0">
      <text>
        <r>
          <rPr>
            <b/>
            <sz val="8"/>
            <color indexed="81"/>
            <rFont val="Tahoma"/>
            <family val="2"/>
          </rPr>
          <t>Consommation de carburant en tep 
(aux équivalences usuelles DGEMP-OE)</t>
        </r>
        <r>
          <rPr>
            <sz val="8"/>
            <color indexed="81"/>
            <rFont val="Tahoma"/>
            <family val="2"/>
          </rPr>
          <t xml:space="preserve">
</t>
        </r>
      </text>
    </comment>
    <comment ref="AB1" authorId="0">
      <text>
        <r>
          <rPr>
            <b/>
            <sz val="8"/>
            <color indexed="81"/>
            <rFont val="Tahoma"/>
            <family val="2"/>
          </rPr>
          <t>Consommation de carburant en tep par habitant (aux équivalences usuelles DGEMP-OE)</t>
        </r>
        <r>
          <rPr>
            <sz val="8"/>
            <color indexed="81"/>
            <rFont val="Tahoma"/>
            <family val="2"/>
          </rPr>
          <t xml:space="preserve">
</t>
        </r>
      </text>
    </comment>
    <comment ref="AC1" authorId="0">
      <text>
        <r>
          <rPr>
            <b/>
            <sz val="8"/>
            <color indexed="81"/>
            <rFont val="Tahoma"/>
            <family val="2"/>
          </rPr>
          <t>Consommation de carburant en tep par habitant (aux équivalences usuelles DGEMP-OE)</t>
        </r>
        <r>
          <rPr>
            <sz val="8"/>
            <color indexed="81"/>
            <rFont val="Tahoma"/>
            <family val="2"/>
          </rPr>
          <t xml:space="preserve">
</t>
        </r>
      </text>
    </comment>
    <comment ref="AF1" authorId="0">
      <text>
        <r>
          <rPr>
            <b/>
            <sz val="8"/>
            <color indexed="81"/>
            <rFont val="Tahoma"/>
            <family val="2"/>
          </rPr>
          <t>Parc CCFA au 1er janvier, total des voitures particulières et commerciales MOINS le diesel</t>
        </r>
        <r>
          <rPr>
            <sz val="8"/>
            <color indexed="81"/>
            <rFont val="Tahoma"/>
            <family val="2"/>
          </rPr>
          <t xml:space="preserve">
</t>
        </r>
      </text>
    </comment>
    <comment ref="AG1" authorId="0">
      <text>
        <r>
          <rPr>
            <b/>
            <sz val="8"/>
            <color indexed="81"/>
            <rFont val="Tahoma"/>
            <family val="2"/>
          </rPr>
          <t>Parc CCFA au 1er janvier, véhicules diesel, déduits du parc total</t>
        </r>
      </text>
    </comment>
    <comment ref="AH1" authorId="0">
      <text>
        <r>
          <rPr>
            <b/>
            <sz val="8"/>
            <color indexed="81"/>
            <rFont val="Tahoma"/>
            <family val="2"/>
          </rPr>
          <t xml:space="preserve">Parc CCFA au 1er janvier, total des voitures particulières et commerciales </t>
        </r>
      </text>
    </comment>
    <comment ref="AI1" authorId="0">
      <text>
        <r>
          <rPr>
            <b/>
            <sz val="8"/>
            <color indexed="81"/>
            <rFont val="Tahoma"/>
            <family val="2"/>
          </rPr>
          <t>Parc CCFA, au premier janvier année t+1 = parc de l'année t</t>
        </r>
        <r>
          <rPr>
            <sz val="8"/>
            <color indexed="81"/>
            <rFont val="Tahoma"/>
            <family val="2"/>
          </rPr>
          <t xml:space="preserve">
</t>
        </r>
      </text>
    </comment>
    <comment ref="AJ1" authorId="0">
      <text>
        <r>
          <rPr>
            <b/>
            <sz val="8"/>
            <color indexed="81"/>
            <rFont val="Tahoma"/>
            <family val="2"/>
          </rPr>
          <t>Parc CCFA, au premier janvier année t+1 = parc de l'année t</t>
        </r>
        <r>
          <rPr>
            <sz val="8"/>
            <color indexed="81"/>
            <rFont val="Tahoma"/>
            <family val="2"/>
          </rPr>
          <t xml:space="preserve">
</t>
        </r>
      </text>
    </comment>
    <comment ref="AK1" authorId="0">
      <text>
        <r>
          <rPr>
            <b/>
            <sz val="8"/>
            <color indexed="81"/>
            <rFont val="Tahoma"/>
            <family val="2"/>
          </rPr>
          <t>Parc CCFA, au premier janvier année t+1 = parc de l'année t</t>
        </r>
        <r>
          <rPr>
            <sz val="8"/>
            <color indexed="81"/>
            <rFont val="Tahoma"/>
            <family val="2"/>
          </rPr>
          <t xml:space="preserve">
</t>
        </r>
      </text>
    </comment>
    <comment ref="AL1" authorId="0">
      <text>
        <r>
          <rPr>
            <b/>
            <sz val="8"/>
            <color indexed="81"/>
            <rFont val="Tahoma"/>
            <family val="2"/>
          </rPr>
          <t>Parc moyen en milieu d'année = moyenne entre deux 1er janviers consécutifs</t>
        </r>
        <r>
          <rPr>
            <sz val="8"/>
            <color indexed="81"/>
            <rFont val="Tahoma"/>
            <family val="2"/>
          </rPr>
          <t xml:space="preserve">
</t>
        </r>
      </text>
    </comment>
    <comment ref="AM1" authorId="0">
      <text>
        <r>
          <rPr>
            <b/>
            <sz val="8"/>
            <color indexed="81"/>
            <rFont val="Tahoma"/>
            <family val="2"/>
          </rPr>
          <t>Parc moyen en milieu d'année = moyenne entre deux 1er janviers consécutifs</t>
        </r>
        <r>
          <rPr>
            <sz val="8"/>
            <color indexed="81"/>
            <rFont val="Tahoma"/>
            <family val="2"/>
          </rPr>
          <t xml:space="preserve">
</t>
        </r>
      </text>
    </comment>
    <comment ref="AN1" authorId="0">
      <text>
        <r>
          <rPr>
            <b/>
            <sz val="8"/>
            <color indexed="81"/>
            <rFont val="Tahoma"/>
            <family val="2"/>
          </rPr>
          <t>Parc moyen en milieu d'année = moyenne entre deux 1er janviers consécutifs</t>
        </r>
        <r>
          <rPr>
            <sz val="8"/>
            <color indexed="81"/>
            <rFont val="Tahoma"/>
            <family val="2"/>
          </rPr>
          <t xml:space="preserve">
</t>
        </r>
      </text>
    </comment>
    <comment ref="AO1" authorId="0">
      <text>
        <r>
          <rPr>
            <sz val="8"/>
            <color indexed="81"/>
            <rFont val="Tahoma"/>
            <family val="2"/>
          </rPr>
          <t xml:space="preserve">Parc / habitant ; séries 1er janvier N+1
</t>
        </r>
      </text>
    </comment>
    <comment ref="AP1" authorId="0">
      <text>
        <r>
          <rPr>
            <b/>
            <sz val="8"/>
            <color indexed="81"/>
            <rFont val="Tahoma"/>
            <family val="2"/>
          </rPr>
          <t>Parc par habitant ; séries en milieu d'année</t>
        </r>
        <r>
          <rPr>
            <sz val="8"/>
            <color indexed="81"/>
            <rFont val="Tahoma"/>
            <family val="2"/>
          </rPr>
          <t xml:space="preserve">
</t>
        </r>
      </text>
    </comment>
    <comment ref="AQ1" authorId="0">
      <text>
        <r>
          <rPr>
            <sz val="8"/>
            <color indexed="81"/>
            <rFont val="Tahoma"/>
            <family val="2"/>
          </rPr>
          <t xml:space="preserve">Parc par ménage, séries en milieu d'année =
Nb Ménages en MA / Parc Moyen en MA
</t>
        </r>
      </text>
    </comment>
    <comment ref="AR1" authorId="0">
      <text>
        <r>
          <rPr>
            <b/>
            <sz val="8"/>
            <color indexed="81"/>
            <rFont val="Tahoma"/>
            <family val="2"/>
          </rPr>
          <t>immatriculations annuelles de voitures particulières neuves.
60-64 : mouvement économique long 49-79
65-2003 : ccfa mensuel agrégé annuellement
2004-2005 : ccfa annuel</t>
        </r>
        <r>
          <rPr>
            <sz val="8"/>
            <color indexed="81"/>
            <rFont val="Tahoma"/>
            <family val="2"/>
          </rPr>
          <t xml:space="preserve">
</t>
        </r>
      </text>
    </comment>
    <comment ref="AS1" authorId="0">
      <text>
        <r>
          <rPr>
            <b/>
            <sz val="8"/>
            <color indexed="81"/>
            <rFont val="Tahoma"/>
            <family val="2"/>
          </rPr>
          <t>Consommation finale des ménages : en Million d'euros courants. 
Séries INSEE détaillées de consommation 1960-2011.</t>
        </r>
      </text>
    </comment>
    <comment ref="AT1" authorId="0">
      <text>
        <r>
          <rPr>
            <b/>
            <sz val="8"/>
            <color indexed="81"/>
            <rFont val="Tahoma"/>
            <family val="2"/>
          </rPr>
          <t>Taux de croissance Consommation finale des ménages en valeur
 en Million d'euros courants Séries INSEE consommation 1960-2007
base conso2007_t5</t>
        </r>
        <r>
          <rPr>
            <sz val="8"/>
            <color indexed="81"/>
            <rFont val="Tahoma"/>
            <family val="2"/>
          </rPr>
          <t xml:space="preserve">
</t>
        </r>
      </text>
    </comment>
    <comment ref="AU1" authorId="0">
      <text>
        <r>
          <rPr>
            <b/>
            <sz val="8"/>
            <color indexed="81"/>
            <rFont val="Tahoma"/>
            <family val="2"/>
          </rPr>
          <t>Consommation finale des ménages en Million d'euros 2010
Séries INSEE consommation 1960-2014, base dep-pre-eng.xls</t>
        </r>
      </text>
    </comment>
    <comment ref="AV1" authorId="0">
      <text>
        <r>
          <rPr>
            <b/>
            <sz val="8"/>
            <color indexed="81"/>
            <rFont val="Tahoma"/>
            <family val="2"/>
          </rPr>
          <t>Consommation finale des ménages en milliards d'euros 2000</t>
        </r>
        <r>
          <rPr>
            <sz val="8"/>
            <color indexed="81"/>
            <rFont val="Tahoma"/>
            <family val="2"/>
          </rPr>
          <t xml:space="preserve">
</t>
        </r>
      </text>
    </comment>
    <comment ref="AW1" authorId="0">
      <text>
        <r>
          <rPr>
            <b/>
            <sz val="8"/>
            <color indexed="81"/>
            <rFont val="Tahoma"/>
            <family val="2"/>
          </rPr>
          <t xml:space="preserve">Consommation finale des ménages par habitant
en kilo-euros 2000 / habitant ; séries J+1
</t>
        </r>
        <r>
          <rPr>
            <sz val="8"/>
            <color indexed="81"/>
            <rFont val="Tahoma"/>
            <family val="2"/>
          </rPr>
          <t xml:space="preserve">
</t>
        </r>
      </text>
    </comment>
    <comment ref="AY1" authorId="0">
      <text>
        <r>
          <rPr>
            <b/>
            <sz val="8"/>
            <color indexed="81"/>
            <rFont val="Tahoma"/>
            <family val="2"/>
          </rPr>
          <t xml:space="preserve">Consommation finale des ménages par ménage
en kilo-euros 2000 / ménages ; série en milieu d'année
</t>
        </r>
      </text>
    </comment>
    <comment ref="BA1" authorId="0">
      <text>
        <r>
          <rPr>
            <b/>
            <sz val="8"/>
            <color indexed="81"/>
            <rFont val="Tahoma"/>
            <family val="2"/>
          </rPr>
          <t xml:space="preserve">Taux d'épargne des ménages = 
Epargne Brute / RDB en %
permet de déduire RDB en fonction de l'épargne
</t>
        </r>
        <r>
          <rPr>
            <sz val="8"/>
            <color indexed="81"/>
            <rFont val="Tahoma"/>
            <family val="2"/>
          </rPr>
          <t xml:space="preserve">
</t>
        </r>
      </text>
    </comment>
    <comment ref="BB1" authorId="0">
      <text>
        <r>
          <rPr>
            <b/>
            <sz val="8"/>
            <color indexed="81"/>
            <rFont val="Tahoma"/>
            <family val="2"/>
          </rPr>
          <t xml:space="preserve">Revenu disponible brut des ménages en millions d'euros courants. Comptes nationaux base 2010, INSEE. </t>
        </r>
        <r>
          <rPr>
            <sz val="8"/>
            <color indexed="81"/>
            <rFont val="Tahoma"/>
            <family val="2"/>
          </rPr>
          <t xml:space="preserve">
</t>
        </r>
      </text>
    </comment>
    <comment ref="BC1" authorId="0">
      <text>
        <r>
          <rPr>
            <b/>
            <sz val="8"/>
            <color indexed="81"/>
            <rFont val="Tahoma"/>
            <family val="2"/>
          </rPr>
          <t>Revenu disponible brut réel déflaté de l'IPC 2010</t>
        </r>
        <r>
          <rPr>
            <sz val="8"/>
            <color indexed="81"/>
            <rFont val="Tahoma"/>
            <family val="2"/>
          </rPr>
          <t xml:space="preserve">
mega euros 2010</t>
        </r>
      </text>
    </comment>
    <comment ref="BE1" authorId="0">
      <text>
        <r>
          <rPr>
            <b/>
            <sz val="8"/>
            <color indexed="81"/>
            <rFont val="Tahoma"/>
            <family val="2"/>
          </rPr>
          <t>RDB réel par habitant = €2010/hab.</t>
        </r>
        <r>
          <rPr>
            <sz val="8"/>
            <color indexed="81"/>
            <rFont val="Tahoma"/>
            <family val="2"/>
          </rPr>
          <t xml:space="preserve">
</t>
        </r>
      </text>
    </comment>
    <comment ref="BF1" authorId="0">
      <text>
        <r>
          <rPr>
            <b/>
            <sz val="8"/>
            <color indexed="81"/>
            <rFont val="Tahoma"/>
            <family val="2"/>
          </rPr>
          <t>RDB réel par ménage = €2010/ménage</t>
        </r>
        <r>
          <rPr>
            <sz val="8"/>
            <color indexed="81"/>
            <rFont val="Tahoma"/>
            <family val="2"/>
          </rPr>
          <t xml:space="preserve">
</t>
        </r>
      </text>
    </comment>
    <comment ref="BG1" authorId="0">
      <text>
        <r>
          <rPr>
            <b/>
            <sz val="8"/>
            <color indexed="81"/>
            <rFont val="Tahoma"/>
            <family val="2"/>
          </rPr>
          <t>PIB nominal ; Milliards d'euros courants
Série INSEE Comptes nationaux annuels 1949-2011
édition de mai 2012</t>
        </r>
        <r>
          <rPr>
            <sz val="8"/>
            <color indexed="81"/>
            <rFont val="Tahoma"/>
            <family val="2"/>
          </rPr>
          <t xml:space="preserve">
</t>
        </r>
      </text>
    </comment>
    <comment ref="BI1" authorId="0">
      <text>
        <r>
          <rPr>
            <sz val="8"/>
            <color indexed="81"/>
            <rFont val="Tahoma"/>
            <family val="2"/>
          </rPr>
          <t xml:space="preserve">PIB réel en base 2010 ; déflaté indice de prix du PIB INSEE, base 2010.
</t>
        </r>
      </text>
    </comment>
    <comment ref="BK1" authorId="0">
      <text>
        <r>
          <rPr>
            <b/>
            <sz val="8"/>
            <color indexed="81"/>
            <rFont val="Tahoma"/>
            <family val="2"/>
          </rPr>
          <t>PIB réel par habitant, base 2000</t>
        </r>
        <r>
          <rPr>
            <sz val="8"/>
            <color indexed="81"/>
            <rFont val="Tahoma"/>
            <family val="2"/>
          </rPr>
          <t xml:space="preserve">
en kEuros2000/HAB</t>
        </r>
      </text>
    </comment>
    <comment ref="BL1" authorId="0">
      <text>
        <r>
          <rPr>
            <b/>
            <sz val="8"/>
            <color indexed="81"/>
            <rFont val="Tahoma"/>
            <family val="2"/>
          </rPr>
          <t>PIB réel base 2000, par ménage</t>
        </r>
        <r>
          <rPr>
            <sz val="8"/>
            <color indexed="81"/>
            <rFont val="Tahoma"/>
            <family val="2"/>
          </rPr>
          <t xml:space="preserve">
en kEuros2000/Ménage</t>
        </r>
      </text>
    </comment>
    <comment ref="BM1" authorId="0">
      <text>
        <r>
          <rPr>
            <b/>
            <sz val="8"/>
            <color indexed="81"/>
            <rFont val="Tahoma"/>
            <family val="2"/>
          </rPr>
          <t>Achats de voitures neuves des ménages Millions d'euros courants</t>
        </r>
        <r>
          <rPr>
            <sz val="8"/>
            <color indexed="81"/>
            <rFont val="Tahoma"/>
            <family val="2"/>
          </rPr>
          <t xml:space="preserve">
</t>
        </r>
      </text>
    </comment>
    <comment ref="BN1" authorId="0">
      <text>
        <r>
          <rPr>
            <b/>
            <sz val="8"/>
            <color indexed="81"/>
            <rFont val="Tahoma"/>
            <family val="2"/>
          </rPr>
          <t>Prix moyen des voitures neufs =
Achats des ménages / immatriculations voitures neuves</t>
        </r>
        <r>
          <rPr>
            <sz val="8"/>
            <color indexed="81"/>
            <rFont val="Tahoma"/>
            <family val="2"/>
          </rPr>
          <t xml:space="preserve">
</t>
        </r>
      </text>
    </comment>
    <comment ref="BO1" authorId="0">
      <text>
        <r>
          <rPr>
            <b/>
            <sz val="8"/>
            <color indexed="81"/>
            <rFont val="Tahoma"/>
            <family val="2"/>
          </rPr>
          <t>Indice de prix des achats de véhicules neufs, chaîné, base 2010,
INSEE, dépenses de consommation des ménages</t>
        </r>
      </text>
    </comment>
    <comment ref="BP1" authorId="0">
      <text>
        <r>
          <rPr>
            <sz val="10"/>
            <color indexed="81"/>
            <rFont val="Tahoma"/>
            <family val="2"/>
          </rPr>
          <t xml:space="preserve">prix relatif réel des achats de voitures neuves des ménages = IPVNEUF10/IPC10, base 2010
</t>
        </r>
      </text>
    </comment>
    <comment ref="BQ1" authorId="0">
      <text>
        <r>
          <rPr>
            <b/>
            <sz val="8"/>
            <color indexed="81"/>
            <rFont val="Tahoma"/>
            <family val="2"/>
          </rPr>
          <t xml:space="preserve">Prix réel moyen des voitures neuves base 2010 en
€2010 / véhicule neuf immatriculé
</t>
        </r>
        <r>
          <rPr>
            <sz val="8"/>
            <color indexed="81"/>
            <rFont val="Tahoma"/>
            <family val="2"/>
          </rPr>
          <t xml:space="preserve">
</t>
        </r>
      </text>
    </comment>
    <comment ref="BR1" authorId="0">
      <text>
        <r>
          <rPr>
            <b/>
            <sz val="10"/>
            <color indexed="81"/>
            <rFont val="Tahoma"/>
            <family val="2"/>
          </rPr>
          <t>Indice de prix des transports des ménages, INSEE, consommation des ménages, 1960-2014, base 2010.</t>
        </r>
        <r>
          <rPr>
            <sz val="10"/>
            <color indexed="81"/>
            <rFont val="Tahoma"/>
            <family val="2"/>
          </rPr>
          <t xml:space="preserve">
</t>
        </r>
      </text>
    </comment>
    <comment ref="BS1" authorId="0">
      <text>
        <r>
          <rPr>
            <b/>
            <sz val="10"/>
            <color indexed="81"/>
            <rFont val="Tahoma"/>
            <family val="2"/>
          </rPr>
          <t>Prix réel des transports des ménages = IPTRANS05/IPC10</t>
        </r>
        <r>
          <rPr>
            <sz val="10"/>
            <color indexed="81"/>
            <rFont val="Tahoma"/>
            <family val="2"/>
          </rPr>
          <t xml:space="preserve">
</t>
        </r>
      </text>
    </comment>
    <comment ref="BT1" authorId="0">
      <text>
        <r>
          <rPr>
            <b/>
            <sz val="10"/>
            <color indexed="81"/>
            <rFont val="Tahoma"/>
            <family val="2"/>
          </rPr>
          <t>Indice de prix des transports routiers de voyageurs, base 2005</t>
        </r>
        <r>
          <rPr>
            <sz val="10"/>
            <color indexed="81"/>
            <rFont val="Tahoma"/>
            <family val="2"/>
          </rPr>
          <t xml:space="preserve">
</t>
        </r>
      </text>
    </comment>
    <comment ref="BU1" authorId="0">
      <text>
        <r>
          <rPr>
            <b/>
            <sz val="10"/>
            <color indexed="81"/>
            <rFont val="Tahoma"/>
            <family val="2"/>
          </rPr>
          <t>Prix réel des transports routiers de voyageurs</t>
        </r>
        <r>
          <rPr>
            <sz val="10"/>
            <color indexed="81"/>
            <rFont val="Tahoma"/>
            <family val="2"/>
          </rPr>
          <t xml:space="preserve">
</t>
        </r>
      </text>
    </comment>
    <comment ref="BV1" authorId="0">
      <text>
        <r>
          <rPr>
            <b/>
            <sz val="10"/>
            <color indexed="81"/>
            <rFont val="Tahoma"/>
            <family val="2"/>
          </rPr>
          <t xml:space="preserve">Indice de prix des loyersréels effectifs des ménages.
</t>
        </r>
        <r>
          <rPr>
            <sz val="10"/>
            <color indexed="81"/>
            <rFont val="Tahoma"/>
            <family val="2"/>
          </rPr>
          <t xml:space="preserve">
</t>
        </r>
      </text>
    </comment>
    <comment ref="BW1" authorId="0">
      <text>
        <r>
          <rPr>
            <b/>
            <sz val="10"/>
            <color indexed="81"/>
            <rFont val="Tahoma"/>
            <family val="2"/>
          </rPr>
          <t>prix réel des loyers des ménages, base 2005</t>
        </r>
        <r>
          <rPr>
            <sz val="10"/>
            <color indexed="81"/>
            <rFont val="Tahoma"/>
            <family val="2"/>
          </rPr>
          <t xml:space="preserve">
</t>
        </r>
      </text>
    </comment>
    <comment ref="BY1" authorId="0">
      <text>
        <r>
          <rPr>
            <b/>
            <sz val="8"/>
            <color indexed="81"/>
            <rFont val="Tahoma"/>
            <family val="2"/>
          </rPr>
          <t>Indice de prix de la conso des ménages INSEE base 2000</t>
        </r>
        <r>
          <rPr>
            <sz val="8"/>
            <color indexed="81"/>
            <rFont val="Tahoma"/>
            <family val="2"/>
          </rPr>
          <t xml:space="preserve">
</t>
        </r>
      </text>
    </comment>
    <comment ref="BZ1" authorId="2">
      <text>
        <r>
          <rPr>
            <b/>
            <sz val="9"/>
            <color indexed="81"/>
            <rFont val="Tahoma"/>
            <family val="2"/>
          </rPr>
          <t>Indice de prix du PIB en base 2010</t>
        </r>
        <r>
          <rPr>
            <sz val="9"/>
            <color indexed="81"/>
            <rFont val="Tahoma"/>
            <family val="2"/>
          </rPr>
          <t xml:space="preserve">
</t>
        </r>
      </text>
    </comment>
    <comment ref="CA1" authorId="1">
      <text>
        <r>
          <rPr>
            <b/>
            <sz val="8"/>
            <color indexed="81"/>
            <rFont val="Tahoma"/>
            <family val="2"/>
          </rPr>
          <t>recalculer prix essence à partir données mensuelles
de 80-2006 environ == problèmes imputations arbitraires</t>
        </r>
        <r>
          <rPr>
            <sz val="8"/>
            <color indexed="81"/>
            <rFont val="Tahoma"/>
            <family val="2"/>
          </rPr>
          <t xml:space="preserve">
</t>
        </r>
      </text>
    </comment>
    <comment ref="CL1" authorId="0">
      <text>
        <r>
          <rPr>
            <b/>
            <sz val="8"/>
            <color indexed="81"/>
            <rFont val="Tahoma"/>
            <family val="2"/>
          </rPr>
          <t>indice du coût de la construction 1953 = 100</t>
        </r>
        <r>
          <rPr>
            <sz val="8"/>
            <color indexed="81"/>
            <rFont val="Tahoma"/>
            <family val="2"/>
          </rPr>
          <t xml:space="preserve">
</t>
        </r>
      </text>
    </comment>
    <comment ref="CM1" authorId="0">
      <text>
        <r>
          <rPr>
            <b/>
            <sz val="8"/>
            <color indexed="81"/>
            <rFont val="Tahoma"/>
            <family val="2"/>
          </rPr>
          <t>Indice du coût de la construction renormalisé en 2005 = ICC53(t) / ICC53(2010)</t>
        </r>
      </text>
    </comment>
    <comment ref="CN1" authorId="0">
      <text>
        <r>
          <rPr>
            <b/>
            <sz val="8"/>
            <color indexed="81"/>
            <rFont val="Tahoma"/>
            <family val="2"/>
          </rPr>
          <t>Indice du coût de la construction déflaté de l'IPC 2000</t>
        </r>
        <r>
          <rPr>
            <sz val="8"/>
            <color indexed="81"/>
            <rFont val="Tahoma"/>
            <family val="2"/>
          </rPr>
          <t xml:space="preserve">
</t>
        </r>
      </text>
    </comment>
    <comment ref="CO1" authorId="0">
      <text>
        <r>
          <rPr>
            <b/>
            <sz val="8"/>
            <color indexed="81"/>
            <rFont val="Tahoma"/>
            <family val="2"/>
          </rPr>
          <t>Rapport indice de prix INSEE du carburant / ICC</t>
        </r>
        <r>
          <rPr>
            <sz val="8"/>
            <color indexed="81"/>
            <rFont val="Tahoma"/>
            <family val="2"/>
          </rPr>
          <t xml:space="preserve">
= prix relatif de l'ICC en carburant</t>
        </r>
      </text>
    </comment>
    <comment ref="CP1" authorId="0">
      <text>
        <r>
          <rPr>
            <b/>
            <sz val="8"/>
            <color indexed="81"/>
            <rFont val="Tahoma"/>
            <family val="2"/>
          </rPr>
          <t>Indice de prix des logemens anciens, série Métropole, données Jacques Friggit + moyenne indice INSEE notaires ensemble des logements à partir de 1996</t>
        </r>
        <r>
          <rPr>
            <sz val="8"/>
            <color indexed="81"/>
            <rFont val="Tahoma"/>
            <family val="2"/>
          </rPr>
          <t xml:space="preserve">
</t>
        </r>
      </text>
    </comment>
    <comment ref="CR1" authorId="0">
      <text>
        <r>
          <rPr>
            <b/>
            <sz val="8"/>
            <color indexed="81"/>
            <rFont val="Tahoma"/>
            <family val="2"/>
          </rPr>
          <t>Indice de prix des logemens anciens, série Métropole, données Jacques Friggit + moyenne indice INSEE notaires ensemble des logements à partir de 1996 rétropolée à partir de la nouvelle série base 100 en 2010-T4: http://www.insee.fr/fr/themes/info-rapide.asp?id=96</t>
        </r>
        <r>
          <rPr>
            <sz val="8"/>
            <color indexed="81"/>
            <rFont val="Tahoma"/>
            <family val="2"/>
          </rPr>
          <t xml:space="preserve">
</t>
        </r>
      </text>
    </comment>
    <comment ref="CU1" authorId="0">
      <text>
        <r>
          <rPr>
            <b/>
            <sz val="8"/>
            <color indexed="81"/>
            <rFont val="Tahoma"/>
            <family val="2"/>
          </rPr>
          <t>Indice du prix des logements déflaté de l'IPC INSEE base 2010</t>
        </r>
        <r>
          <rPr>
            <sz val="8"/>
            <color indexed="81"/>
            <rFont val="Tahoma"/>
            <family val="2"/>
          </rPr>
          <t xml:space="preserve">
</t>
        </r>
      </text>
    </comment>
    <comment ref="CY1" authorId="0">
      <text>
        <r>
          <rPr>
            <b/>
            <sz val="8"/>
            <color indexed="81"/>
            <rFont val="Tahoma"/>
            <family val="2"/>
          </rPr>
          <t>Indice de prix moyen des carburants déflaté de l'ICP INSEE base 2010</t>
        </r>
        <r>
          <rPr>
            <sz val="8"/>
            <color indexed="81"/>
            <rFont val="Tahoma"/>
            <family val="2"/>
          </rPr>
          <t xml:space="preserve">
</t>
        </r>
      </text>
    </comment>
    <comment ref="CZ1" authorId="0">
      <text>
        <r>
          <rPr>
            <b/>
            <sz val="8"/>
            <color indexed="81"/>
            <rFont val="Tahoma"/>
            <family val="2"/>
          </rPr>
          <t>Indice des carburants et lubrifiants, consommation des ménages par fonction, base 2010, INSEE, série 07.2.2</t>
        </r>
      </text>
    </comment>
    <comment ref="DB1" authorId="0">
      <text>
        <r>
          <rPr>
            <sz val="8"/>
            <color indexed="81"/>
            <rFont val="Tahoma"/>
            <family val="2"/>
          </rPr>
          <t>Indice de prix du gasoil ,INSEE chainé base 2010</t>
        </r>
      </text>
    </comment>
    <comment ref="DC1" authorId="0">
      <text>
        <r>
          <rPr>
            <sz val="8"/>
            <color indexed="81"/>
            <rFont val="Tahoma"/>
            <family val="2"/>
          </rPr>
          <t xml:space="preserve">Indice de prix moyen des carburants hors gazole, moyenne pondérée des dépenses nominales des séries G15A5 (super plombé), G15A6 (super SP)
</t>
        </r>
      </text>
    </comment>
    <comment ref="DD1" authorId="0">
      <text>
        <r>
          <rPr>
            <b/>
            <sz val="8"/>
            <color indexed="81"/>
            <rFont val="Tahoma"/>
            <family val="2"/>
          </rPr>
          <t>Prix moyen du carburant en m3 déflaté du prix implicite du PIB base 2010</t>
        </r>
        <r>
          <rPr>
            <sz val="8"/>
            <color indexed="81"/>
            <rFont val="Tahoma"/>
            <family val="2"/>
          </rPr>
          <t xml:space="preserve">
</t>
        </r>
      </text>
    </comment>
    <comment ref="DE1" authorId="0">
      <text>
        <r>
          <rPr>
            <b/>
            <sz val="8"/>
            <color indexed="81"/>
            <rFont val="Tahoma"/>
            <family val="2"/>
          </rPr>
          <t>prix du carburant en tep déflaté du prix implicite du pib base 2000</t>
        </r>
        <r>
          <rPr>
            <sz val="8"/>
            <color indexed="81"/>
            <rFont val="Tahoma"/>
            <family val="2"/>
          </rPr>
          <t xml:space="preserve">
</t>
        </r>
      </text>
    </comment>
    <comment ref="DF1" authorId="0">
      <text>
        <r>
          <rPr>
            <b/>
            <sz val="8"/>
            <color indexed="81"/>
            <rFont val="Tahoma"/>
            <family val="2"/>
          </rPr>
          <t>Prix moyen des carburants en m3 déflaté de l'indice des prix à la consommation</t>
        </r>
        <r>
          <rPr>
            <sz val="8"/>
            <color indexed="81"/>
            <rFont val="Tahoma"/>
            <family val="2"/>
          </rPr>
          <t xml:space="preserve">
INSEE base 2010
</t>
        </r>
      </text>
    </comment>
    <comment ref="DG1" authorId="0">
      <text>
        <r>
          <rPr>
            <b/>
            <sz val="8"/>
            <color indexed="81"/>
            <rFont val="Tahoma"/>
            <family val="2"/>
          </rPr>
          <t>prix du carburant en tep déflaté du prix implicite du pib base 2000</t>
        </r>
        <r>
          <rPr>
            <sz val="8"/>
            <color indexed="81"/>
            <rFont val="Tahoma"/>
            <family val="2"/>
          </rPr>
          <t xml:space="preserve">
</t>
        </r>
      </text>
    </comment>
    <comment ref="DK1" authorId="0">
      <text>
        <r>
          <rPr>
            <b/>
            <sz val="8"/>
            <color indexed="81"/>
            <rFont val="Tahoma"/>
            <family val="2"/>
          </rPr>
          <t>Prix moyen des carburants en tep, déflaté de l'indice des prix à la consommation base 2000</t>
        </r>
        <r>
          <rPr>
            <sz val="8"/>
            <color indexed="81"/>
            <rFont val="Tahoma"/>
            <family val="2"/>
          </rPr>
          <t xml:space="preserve">
</t>
        </r>
      </text>
    </comment>
    <comment ref="DM1" authorId="3">
      <text>
        <r>
          <rPr>
            <sz val="8"/>
            <color indexed="81"/>
            <rFont val="Tahoma"/>
            <family val="2"/>
          </rPr>
          <t>données réelles de 81 à 2003 ; retropolation de 60 à 80 sur base série 91-03 (artif60 et rpb60)
nouvelles séries Teruti AGRESTE à partir de 20006</t>
        </r>
      </text>
    </comment>
    <comment ref="DN1" authorId="3">
      <text>
        <r>
          <rPr>
            <sz val="8"/>
            <color indexed="81"/>
            <rFont val="Tahoma"/>
            <family val="2"/>
          </rPr>
          <t xml:space="preserve">données réelles de 81 à 2003 ; retropolation de 60 à 80 sur base série 91-03 (artif60 et rpb60)
nouvelles séries Teruti AGRESTE à partir de 20006
</t>
        </r>
      </text>
    </comment>
    <comment ref="DO1" authorId="1">
      <text>
        <r>
          <rPr>
            <b/>
            <sz val="8"/>
            <color indexed="81"/>
            <rFont val="Tahoma"/>
            <family val="2"/>
          </rPr>
          <t>nouvelles séries Teruti AGRESTE à partir de 20006</t>
        </r>
        <r>
          <rPr>
            <sz val="8"/>
            <color indexed="81"/>
            <rFont val="Tahoma"/>
            <family val="2"/>
          </rPr>
          <t xml:space="preserve">
</t>
        </r>
      </text>
    </comment>
    <comment ref="DQ1" authorId="1">
      <text>
        <r>
          <rPr>
            <b/>
            <sz val="8"/>
            <color indexed="81"/>
            <rFont val="Tahoma"/>
            <family val="2"/>
          </rPr>
          <t>séries reconstruites sur base 1969,
nouvelles séries Teruti AGRESTE à partir de 20006</t>
        </r>
        <r>
          <rPr>
            <sz val="8"/>
            <color indexed="81"/>
            <rFont val="Tahoma"/>
            <family val="2"/>
          </rPr>
          <t xml:space="preserve">
</t>
        </r>
      </text>
    </comment>
    <comment ref="DR1" authorId="1">
      <text>
        <r>
          <rPr>
            <b/>
            <sz val="8"/>
            <color indexed="81"/>
            <rFont val="Tahoma"/>
            <family val="2"/>
          </rPr>
          <t>séries rétropolées jusqu'en 1960 ;
nouvelles séries Teruti AGRESTE à partir de 20006</t>
        </r>
        <r>
          <rPr>
            <sz val="8"/>
            <color indexed="81"/>
            <rFont val="Tahoma"/>
            <family val="2"/>
          </rPr>
          <t xml:space="preserve">
</t>
        </r>
      </text>
    </comment>
    <comment ref="DS1" authorId="1">
      <text>
        <r>
          <rPr>
            <b/>
            <sz val="8"/>
            <color indexed="81"/>
            <rFont val="Tahoma"/>
            <family val="2"/>
          </rPr>
          <t>séries rétropolées jusqu'en 1960 ;
nouvelles séries Teruti AGRESTE à partir de 20006</t>
        </r>
        <r>
          <rPr>
            <sz val="8"/>
            <color indexed="81"/>
            <rFont val="Tahoma"/>
            <family val="2"/>
          </rPr>
          <t xml:space="preserve">
</t>
        </r>
      </text>
    </comment>
    <comment ref="DT1" authorId="0">
      <text>
        <r>
          <rPr>
            <b/>
            <sz val="8"/>
            <color indexed="81"/>
            <rFont val="Tahoma"/>
            <family val="2"/>
          </rPr>
          <t>Longueur totale réseau routier km (SETRA au 1er janvier)</t>
        </r>
        <r>
          <rPr>
            <sz val="8"/>
            <color indexed="81"/>
            <rFont val="Tahoma"/>
            <family val="2"/>
          </rPr>
          <t xml:space="preserve">
</t>
        </r>
      </text>
    </comment>
    <comment ref="DU1" authorId="0">
      <text>
        <r>
          <rPr>
            <b/>
            <sz val="8"/>
            <color indexed="81"/>
            <rFont val="Tahoma"/>
            <family val="2"/>
          </rPr>
          <t>Parcours totaux sur l'ensemble du réseau routier (100 Millions VKM) SETRA</t>
        </r>
        <r>
          <rPr>
            <sz val="8"/>
            <color indexed="81"/>
            <rFont val="Tahoma"/>
            <family val="2"/>
          </rPr>
          <t xml:space="preserve">
</t>
        </r>
      </text>
    </comment>
    <comment ref="DV1" authorId="0">
      <text>
        <r>
          <rPr>
            <b/>
            <sz val="8"/>
            <color indexed="81"/>
            <rFont val="Tahoma"/>
            <family val="2"/>
          </rPr>
          <t>Débit annuel moyen sur l'ensemble réseau (véhicules/jour) SETRA</t>
        </r>
        <r>
          <rPr>
            <sz val="8"/>
            <color indexed="81"/>
            <rFont val="Tahoma"/>
            <family val="2"/>
          </rPr>
          <t xml:space="preserve">
</t>
        </r>
      </text>
    </comment>
    <comment ref="DX1" authorId="0">
      <text>
        <r>
          <rPr>
            <b/>
            <sz val="8"/>
            <color indexed="81"/>
            <rFont val="Tahoma"/>
            <family val="2"/>
          </rPr>
          <t>Consommations conventionnelles neuves essence</t>
        </r>
        <r>
          <rPr>
            <sz val="8"/>
            <color indexed="81"/>
            <rFont val="Tahoma"/>
            <family val="2"/>
          </rPr>
          <t xml:space="preserve">
litres / 100 km</t>
        </r>
      </text>
    </comment>
    <comment ref="DY1" authorId="0">
      <text>
        <r>
          <rPr>
            <b/>
            <sz val="8"/>
            <color indexed="81"/>
            <rFont val="Tahoma"/>
            <family val="2"/>
          </rPr>
          <t>consos conventionnelles</t>
        </r>
        <r>
          <rPr>
            <sz val="8"/>
            <color indexed="81"/>
            <rFont val="Tahoma"/>
            <family val="2"/>
          </rPr>
          <t xml:space="preserve">
neuves diesel
litres / 100 km</t>
        </r>
      </text>
    </comment>
    <comment ref="DZ1" authorId="0">
      <text>
        <r>
          <rPr>
            <b/>
            <sz val="8"/>
            <color indexed="81"/>
            <rFont val="Tahoma"/>
            <family val="2"/>
          </rPr>
          <t xml:space="preserve">Consommations moyennes par vehicule (super)
en l/100 km
</t>
        </r>
        <r>
          <rPr>
            <sz val="8"/>
            <color indexed="81"/>
            <rFont val="Tahoma"/>
            <family val="2"/>
          </rPr>
          <t xml:space="preserve">
</t>
        </r>
      </text>
    </comment>
    <comment ref="EA1" authorId="0">
      <text>
        <r>
          <rPr>
            <b/>
            <sz val="8"/>
            <color indexed="81"/>
            <rFont val="Tahoma"/>
            <family val="2"/>
          </rPr>
          <t xml:space="preserve">Consommations moyennes par vehicule (gazole)
en l/100 km
</t>
        </r>
        <r>
          <rPr>
            <sz val="8"/>
            <color indexed="81"/>
            <rFont val="Tahoma"/>
            <family val="2"/>
          </rPr>
          <t xml:space="preserve">
</t>
        </r>
      </text>
    </comment>
    <comment ref="EB1" authorId="0">
      <text>
        <r>
          <rPr>
            <b/>
            <sz val="8"/>
            <color indexed="81"/>
            <rFont val="Tahoma"/>
            <family val="2"/>
          </rPr>
          <t>kilométrage moyen par véhicule</t>
        </r>
        <r>
          <rPr>
            <sz val="8"/>
            <color indexed="81"/>
            <rFont val="Tahoma"/>
            <family val="2"/>
          </rPr>
          <t xml:space="preserve">
source: comptes des transports, annexe C, bilan de la circulation, onglet C2, section voitures particulières</t>
        </r>
      </text>
    </comment>
    <comment ref="EC1" authorId="0">
      <text>
        <r>
          <rPr>
            <b/>
            <sz val="8"/>
            <color indexed="81"/>
            <rFont val="Tahoma"/>
            <family val="2"/>
          </rPr>
          <t>consommation unitaire en litres / 100 km</t>
        </r>
        <r>
          <rPr>
            <sz val="8"/>
            <color indexed="81"/>
            <rFont val="Tahoma"/>
            <family val="2"/>
          </rPr>
          <t xml:space="preserve">
</t>
        </r>
      </text>
    </comment>
    <comment ref="ED1" authorId="0">
      <text>
        <r>
          <rPr>
            <b/>
            <sz val="8"/>
            <color indexed="81"/>
            <rFont val="Tahoma"/>
            <family val="2"/>
          </rPr>
          <t>Parc total diesel+essence (série en milieu d'année)</t>
        </r>
        <r>
          <rPr>
            <sz val="8"/>
            <color indexed="81"/>
            <rFont val="Tahoma"/>
            <family val="2"/>
          </rPr>
          <t xml:space="preserve">
</t>
        </r>
      </text>
    </comment>
    <comment ref="EE1" authorId="0">
      <text>
        <r>
          <rPr>
            <b/>
            <sz val="8"/>
            <color indexed="81"/>
            <rFont val="Tahoma"/>
            <family val="2"/>
          </rPr>
          <t>consommation totale CPDP en 1000's m3</t>
        </r>
        <r>
          <rPr>
            <sz val="8"/>
            <color indexed="81"/>
            <rFont val="Tahoma"/>
            <family val="2"/>
          </rPr>
          <t xml:space="preserve">
</t>
        </r>
      </text>
    </comment>
    <comment ref="EG1" authorId="2">
      <text>
        <r>
          <rPr>
            <b/>
            <sz val="9"/>
            <color indexed="81"/>
            <rFont val="Tahoma"/>
            <family val="2"/>
          </rPr>
          <t>Prix nominal moyen du carburant en €/litre</t>
        </r>
        <r>
          <rPr>
            <sz val="9"/>
            <color indexed="81"/>
            <rFont val="Tahoma"/>
            <family val="2"/>
          </rPr>
          <t xml:space="preserve">
</t>
        </r>
      </text>
    </comment>
    <comment ref="EH1" authorId="2">
      <text>
        <r>
          <rPr>
            <b/>
            <sz val="9"/>
            <color indexed="81"/>
            <rFont val="Tahoma"/>
            <family val="2"/>
          </rPr>
          <t>Dépense nominale pour le carburant nécessaire à 100 km parcourus (€/100 km).</t>
        </r>
        <r>
          <rPr>
            <sz val="9"/>
            <color indexed="81"/>
            <rFont val="Tahoma"/>
            <family val="2"/>
          </rPr>
          <t xml:space="preserve">
</t>
        </r>
      </text>
    </comment>
    <comment ref="EI1" authorId="0">
      <text>
        <r>
          <rPr>
            <b/>
            <sz val="8"/>
            <color indexed="81"/>
            <rFont val="Tahoma"/>
            <family val="2"/>
          </rPr>
          <t>Prix réel carburant en euros200/litre</t>
        </r>
        <r>
          <rPr>
            <sz val="8"/>
            <color indexed="81"/>
            <rFont val="Tahoma"/>
            <family val="2"/>
          </rPr>
          <t xml:space="preserve">
</t>
        </r>
      </text>
    </comment>
    <comment ref="EJ1" authorId="0">
      <text>
        <r>
          <rPr>
            <b/>
            <sz val="8"/>
            <color indexed="81"/>
            <rFont val="Tahoma"/>
            <family val="2"/>
          </rPr>
          <t>Prix nominal pour 100km</t>
        </r>
        <r>
          <rPr>
            <sz val="8"/>
            <color indexed="81"/>
            <rFont val="Tahoma"/>
            <family val="2"/>
          </rPr>
          <t xml:space="preserve">
</t>
        </r>
      </text>
    </comment>
    <comment ref="EK1" authorId="0">
      <text>
        <r>
          <rPr>
            <b/>
            <sz val="8"/>
            <color indexed="81"/>
            <rFont val="Tahoma"/>
            <family val="2"/>
          </rPr>
          <t>Prix réel pour 100km</t>
        </r>
        <r>
          <rPr>
            <sz val="8"/>
            <color indexed="81"/>
            <rFont val="Tahoma"/>
            <family val="2"/>
          </rPr>
          <t xml:space="preserve">
</t>
        </r>
      </text>
    </comment>
    <comment ref="EN1" authorId="1">
      <text>
        <r>
          <rPr>
            <b/>
            <sz val="8"/>
            <color indexed="81"/>
            <rFont val="Tahoma"/>
            <family val="2"/>
          </rPr>
          <t>nouvelle série TERUIT à partir de 2006</t>
        </r>
        <r>
          <rPr>
            <sz val="8"/>
            <color indexed="81"/>
            <rFont val="Tahoma"/>
            <family val="2"/>
          </rPr>
          <t xml:space="preserve">
</t>
        </r>
      </text>
    </comment>
    <comment ref="EO1" authorId="1">
      <text>
        <r>
          <rPr>
            <b/>
            <sz val="8"/>
            <color indexed="81"/>
            <rFont val="Tahoma"/>
            <family val="2"/>
          </rPr>
          <t>nouvelle série TERUIT à partir de 2006</t>
        </r>
        <r>
          <rPr>
            <sz val="8"/>
            <color indexed="81"/>
            <rFont val="Tahoma"/>
            <family val="2"/>
          </rPr>
          <t xml:space="preserve">
</t>
        </r>
      </text>
    </comment>
    <comment ref="EV1" authorId="4">
      <text>
        <r>
          <rPr>
            <b/>
            <sz val="9"/>
            <color indexed="81"/>
            <rFont val="Tahoma"/>
            <family val="2"/>
          </rPr>
          <t>Prix relatif du coupon navigo mensuel sur le litre de carburant</t>
        </r>
        <r>
          <rPr>
            <sz val="9"/>
            <color indexed="81"/>
            <rFont val="Tahoma"/>
            <family val="2"/>
          </rPr>
          <t xml:space="preserve">
</t>
        </r>
      </text>
    </comment>
    <comment ref="EY1" authorId="2">
      <text>
        <r>
          <rPr>
            <b/>
            <sz val="9"/>
            <color indexed="81"/>
            <rFont val="Tahoma"/>
            <charset val="1"/>
          </rPr>
          <t>Série reconstruite de 1960 à 1980 sur le taux de croissance de EZ</t>
        </r>
        <r>
          <rPr>
            <sz val="9"/>
            <color indexed="81"/>
            <rFont val="Tahoma"/>
            <charset val="1"/>
          </rPr>
          <t xml:space="preserve">
</t>
        </r>
      </text>
    </comment>
    <comment ref="EZ1" authorId="2">
      <text>
        <r>
          <rPr>
            <b/>
            <sz val="9"/>
            <color indexed="81"/>
            <rFont val="Tahoma"/>
            <family val="2"/>
          </rPr>
          <t>série rétropolée de 1982 à 2018 sur la série EY.</t>
        </r>
        <r>
          <rPr>
            <sz val="9"/>
            <color indexed="81"/>
            <rFont val="Tahoma"/>
            <family val="2"/>
          </rPr>
          <t xml:space="preserve">
</t>
        </r>
      </text>
    </comment>
    <comment ref="FA1" authorId="1">
      <text>
        <r>
          <rPr>
            <b/>
            <sz val="8"/>
            <color indexed="81"/>
            <rFont val="Tahoma"/>
            <family val="2"/>
          </rPr>
          <t xml:space="preserve">nouvelle série: </t>
        </r>
        <r>
          <rPr>
            <sz val="8"/>
            <color indexed="81"/>
            <rFont val="Tahoma"/>
            <family val="2"/>
          </rPr>
          <t xml:space="preserve">
60-79 smig net 
1980-2015 = smic net horaire
http://www.smic-horaire.fr/#smic_janvier_2014</t>
        </r>
      </text>
    </comment>
    <comment ref="CA49" authorId="1">
      <text>
        <r>
          <rPr>
            <b/>
            <sz val="8"/>
            <color indexed="81"/>
            <rFont val="Tahoma"/>
            <family val="2"/>
          </rPr>
          <t>Moyenne arithmétique SP95+SP98</t>
        </r>
        <r>
          <rPr>
            <sz val="8"/>
            <color indexed="81"/>
            <rFont val="Tahoma"/>
            <family val="2"/>
          </rPr>
          <t xml:space="preserve">
</t>
        </r>
      </text>
    </comment>
    <comment ref="I56" authorId="2">
      <text>
        <r>
          <rPr>
            <b/>
            <sz val="9"/>
            <color indexed="81"/>
            <rFont val="Tahoma"/>
            <family val="2"/>
          </rPr>
          <t>TEF, édition 2016 - Insee Références p.75</t>
        </r>
        <r>
          <rPr>
            <sz val="9"/>
            <color indexed="81"/>
            <rFont val="Tahoma"/>
            <family val="2"/>
          </rPr>
          <t xml:space="preserve">
</t>
        </r>
      </text>
    </comment>
    <comment ref="J56" authorId="2">
      <text>
        <r>
          <rPr>
            <b/>
            <sz val="9"/>
            <color indexed="81"/>
            <rFont val="Tahoma"/>
            <family val="2"/>
          </rPr>
          <t>TEF, édition 2016 - Insee Références p.75</t>
        </r>
        <r>
          <rPr>
            <sz val="9"/>
            <color indexed="81"/>
            <rFont val="Tahoma"/>
            <family val="2"/>
          </rPr>
          <t xml:space="preserve">
</t>
        </r>
      </text>
    </comment>
    <comment ref="B58" authorId="2">
      <text>
        <r>
          <rPr>
            <b/>
            <sz val="9"/>
            <color indexed="81"/>
            <rFont val="Tahoma"/>
            <family val="2"/>
          </rPr>
          <t>Provisoire</t>
        </r>
        <r>
          <rPr>
            <sz val="9"/>
            <color indexed="81"/>
            <rFont val="Tahoma"/>
            <family val="2"/>
          </rPr>
          <t xml:space="preserve">
</t>
        </r>
      </text>
    </comment>
    <comment ref="B59" authorId="2">
      <text>
        <r>
          <rPr>
            <b/>
            <sz val="9"/>
            <color indexed="81"/>
            <rFont val="Tahoma"/>
            <family val="2"/>
          </rPr>
          <t>Provisoire</t>
        </r>
        <r>
          <rPr>
            <sz val="9"/>
            <color indexed="81"/>
            <rFont val="Tahoma"/>
            <family val="2"/>
          </rPr>
          <t xml:space="preserve">
</t>
        </r>
      </text>
    </comment>
    <comment ref="F59" authorId="2">
      <text>
        <r>
          <rPr>
            <b/>
            <sz val="9"/>
            <color indexed="81"/>
            <rFont val="Tahoma"/>
            <family val="2"/>
          </rPr>
          <t>Provisoire</t>
        </r>
        <r>
          <rPr>
            <sz val="9"/>
            <color indexed="81"/>
            <rFont val="Tahoma"/>
            <family val="2"/>
          </rPr>
          <t xml:space="preserve">
</t>
        </r>
      </text>
    </comment>
    <comment ref="BY59" authorId="2">
      <text>
        <r>
          <rPr>
            <b/>
            <sz val="10"/>
            <color indexed="81"/>
            <rFont val="Courier"/>
            <family val="3"/>
          </rPr>
          <t>Attention ! Application du taux d'inflation moyen 2017 en base 2015...</t>
        </r>
        <r>
          <rPr>
            <sz val="9"/>
            <color indexed="81"/>
            <rFont val="Tahoma"/>
            <family val="2"/>
          </rPr>
          <t xml:space="preserve">
</t>
        </r>
      </text>
    </comment>
    <comment ref="B60" authorId="2">
      <text>
        <r>
          <rPr>
            <b/>
            <sz val="9"/>
            <color indexed="81"/>
            <rFont val="Tahoma"/>
            <family val="2"/>
          </rPr>
          <t>Provisoire</t>
        </r>
        <r>
          <rPr>
            <sz val="9"/>
            <color indexed="81"/>
            <rFont val="Tahoma"/>
            <family val="2"/>
          </rPr>
          <t xml:space="preserve">
</t>
        </r>
      </text>
    </comment>
    <comment ref="F60" authorId="2">
      <text>
        <r>
          <rPr>
            <b/>
            <sz val="9"/>
            <color indexed="81"/>
            <rFont val="Tahoma"/>
            <family val="2"/>
          </rPr>
          <t>Provisoire</t>
        </r>
        <r>
          <rPr>
            <sz val="9"/>
            <color indexed="81"/>
            <rFont val="Tahoma"/>
            <family val="2"/>
          </rPr>
          <t xml:space="preserve">
</t>
        </r>
      </text>
    </comment>
    <comment ref="CA60" authorId="4">
      <text>
        <r>
          <rPr>
            <b/>
            <sz val="9"/>
            <color indexed="81"/>
            <rFont val="Tahoma"/>
            <family val="2"/>
          </rPr>
          <t>Très provisoire: moyennes des prix mensuels PEGASE de janvier à septembre 2018.</t>
        </r>
        <r>
          <rPr>
            <sz val="9"/>
            <color indexed="81"/>
            <rFont val="Tahoma"/>
            <family val="2"/>
          </rPr>
          <t xml:space="preserve">
</t>
        </r>
      </text>
    </comment>
    <comment ref="CB60" authorId="4">
      <text>
        <r>
          <rPr>
            <b/>
            <sz val="9"/>
            <color indexed="81"/>
            <rFont val="Tahoma"/>
            <family val="2"/>
          </rPr>
          <t>Très provisoire: moyennes des prix mensuels PEGASE de janvier à septembre 2018.</t>
        </r>
        <r>
          <rPr>
            <sz val="9"/>
            <color indexed="81"/>
            <rFont val="Tahoma"/>
            <family val="2"/>
          </rPr>
          <t xml:space="preserve">
</t>
        </r>
      </text>
    </comment>
    <comment ref="CC60" authorId="4">
      <text>
        <r>
          <rPr>
            <b/>
            <sz val="9"/>
            <color indexed="81"/>
            <rFont val="Tahoma"/>
            <family val="2"/>
          </rPr>
          <t>Très provisoire: moyenne des prix pondérée par les ktonnes livrées PEGA</t>
        </r>
        <r>
          <rPr>
            <sz val="9"/>
            <color indexed="81"/>
            <rFont val="Tahoma"/>
            <family val="2"/>
          </rPr>
          <t>SE de janvier à août 2018.</t>
        </r>
      </text>
    </comment>
    <comment ref="EC60" authorId="4">
      <text>
        <r>
          <rPr>
            <b/>
            <sz val="9"/>
            <color indexed="81"/>
            <rFont val="Tahoma"/>
            <family val="2"/>
          </rPr>
          <t>valeur identique à 2017 (Provisoire)</t>
        </r>
        <r>
          <rPr>
            <sz val="9"/>
            <color indexed="81"/>
            <rFont val="Tahoma"/>
            <family val="2"/>
          </rPr>
          <t xml:space="preserve">
</t>
        </r>
      </text>
    </comment>
    <comment ref="EX60" authorId="2">
      <text>
        <r>
          <rPr>
            <b/>
            <sz val="9"/>
            <color indexed="81"/>
            <rFont val="Tahoma"/>
            <charset val="1"/>
          </rPr>
          <t>au 1 er janvier 2018
http://www.smic-horaire.fr/#smic_janvier_2014</t>
        </r>
        <r>
          <rPr>
            <sz val="9"/>
            <color indexed="81"/>
            <rFont val="Tahoma"/>
            <charset val="1"/>
          </rPr>
          <t xml:space="preserve">
</t>
        </r>
      </text>
    </comment>
    <comment ref="EY60" authorId="2">
      <text>
        <r>
          <rPr>
            <b/>
            <sz val="9"/>
            <color indexed="81"/>
            <rFont val="Tahoma"/>
            <charset val="1"/>
          </rPr>
          <t>au 1 er janvier 2018
http://www.smic-horaire.fr/#smic_janvier_2014</t>
        </r>
        <r>
          <rPr>
            <sz val="9"/>
            <color indexed="81"/>
            <rFont val="Tahoma"/>
            <charset val="1"/>
          </rPr>
          <t xml:space="preserve">
</t>
        </r>
      </text>
    </comment>
  </commentList>
</comments>
</file>

<file path=xl/comments10.xml><?xml version="1.0" encoding="utf-8"?>
<comments xmlns="http://schemas.openxmlformats.org/spreadsheetml/2006/main">
  <authors>
    <author>Admin</author>
  </authors>
  <commentList>
    <comment ref="M5" authorId="0">
      <text>
        <r>
          <rPr>
            <b/>
            <sz val="8"/>
            <color indexed="81"/>
            <rFont val="Tahoma"/>
            <family val="2"/>
          </rPr>
          <t xml:space="preserve">unité = hectares
</t>
        </r>
        <r>
          <rPr>
            <sz val="8"/>
            <color indexed="81"/>
            <rFont val="Tahoma"/>
            <family val="2"/>
          </rPr>
          <t xml:space="preserve">
</t>
        </r>
      </text>
    </comment>
  </commentList>
</comments>
</file>

<file path=xl/comments11.xml><?xml version="1.0" encoding="utf-8"?>
<comments xmlns="http://schemas.openxmlformats.org/spreadsheetml/2006/main">
  <authors>
    <author>Admin</author>
    <author>Franck Nadaud</author>
  </authors>
  <commentList>
    <comment ref="B3" authorId="0">
      <text>
        <r>
          <rPr>
            <b/>
            <sz val="8"/>
            <color indexed="81"/>
            <rFont val="Tahoma"/>
            <family val="2"/>
          </rPr>
          <t xml:space="preserve">unité = hectares
</t>
        </r>
        <r>
          <rPr>
            <sz val="8"/>
            <color indexed="81"/>
            <rFont val="Tahoma"/>
            <family val="2"/>
          </rPr>
          <t xml:space="preserve">
</t>
        </r>
      </text>
    </comment>
    <comment ref="Q9" authorId="1">
      <text>
        <r>
          <rPr>
            <b/>
            <sz val="8"/>
            <color indexed="81"/>
            <rFont val="Tahoma"/>
            <family val="2"/>
          </rPr>
          <t>interpolation arithmétique des rubriques entre 2010 et 2012 :
v2011 = (v2010+v2012)/2</t>
        </r>
        <r>
          <rPr>
            <sz val="8"/>
            <color indexed="81"/>
            <rFont val="Tahoma"/>
            <family val="2"/>
          </rPr>
          <t xml:space="preserve">
</t>
        </r>
      </text>
    </comment>
  </commentList>
</comments>
</file>

<file path=xl/comments12.xml><?xml version="1.0" encoding="utf-8"?>
<comments xmlns="http://schemas.openxmlformats.org/spreadsheetml/2006/main">
  <authors>
    <author>A</author>
  </authors>
  <commentList>
    <comment ref="A45" authorId="0">
      <text>
        <r>
          <rPr>
            <b/>
            <sz val="8"/>
            <color indexed="81"/>
            <rFont val="Tahoma"/>
            <family val="2"/>
          </rPr>
          <t>MAJ du 15/09/06 : on revient au totaux VP France uniquement ce sont ceux dont on connaît le parc ; ==&gt; abandon du comptage plus précis des consommations de véhicules immatriculés en France, total routier, France + étranger retenu</t>
        </r>
        <r>
          <rPr>
            <sz val="8"/>
            <color indexed="81"/>
            <rFont val="Tahoma"/>
            <family val="2"/>
          </rPr>
          <t xml:space="preserve">
</t>
        </r>
      </text>
    </comment>
  </commentList>
</comments>
</file>

<file path=xl/comments13.xml><?xml version="1.0" encoding="utf-8"?>
<comments xmlns="http://schemas.openxmlformats.org/spreadsheetml/2006/main">
  <authors>
    <author>Francky</author>
  </authors>
  <commentList>
    <comment ref="A11" authorId="0">
      <text>
        <r>
          <rPr>
            <b/>
            <sz val="8"/>
            <color indexed="81"/>
            <rFont val="Tahoma"/>
            <family val="2"/>
          </rPr>
          <t>prix provisoires, janvier 2007 source CPDP</t>
        </r>
        <r>
          <rPr>
            <sz val="8"/>
            <color indexed="81"/>
            <rFont val="Tahoma"/>
            <family val="2"/>
          </rPr>
          <t xml:space="preserve">
</t>
        </r>
      </text>
    </comment>
  </commentList>
</comments>
</file>

<file path=xl/comments2.xml><?xml version="1.0" encoding="utf-8"?>
<comments xmlns="http://schemas.openxmlformats.org/spreadsheetml/2006/main">
  <authors>
    <author>Francky</author>
    <author>HP</author>
    <author>Franck Nadaud</author>
  </authors>
  <commentList>
    <comment ref="B10" authorId="0">
      <text>
        <r>
          <rPr>
            <b/>
            <sz val="8"/>
            <color indexed="81"/>
            <rFont val="Tahoma"/>
            <family val="2"/>
          </rPr>
          <t>Consommation des voitures individuelles estimations CPDP / Ministère de l'Equipement</t>
        </r>
        <r>
          <rPr>
            <sz val="8"/>
            <color indexed="81"/>
            <rFont val="Tahoma"/>
            <family val="2"/>
          </rPr>
          <t xml:space="preserve">
</t>
        </r>
      </text>
    </comment>
    <comment ref="B11" authorId="0">
      <text>
        <r>
          <rPr>
            <b/>
            <sz val="8"/>
            <color indexed="81"/>
            <rFont val="Tahoma"/>
            <family val="2"/>
          </rPr>
          <t>Consommation des voitures individuelles estimations CPDP / Ministère de l'Equipement</t>
        </r>
        <r>
          <rPr>
            <sz val="8"/>
            <color indexed="81"/>
            <rFont val="Tahoma"/>
            <family val="2"/>
          </rPr>
          <t xml:space="preserve">
</t>
        </r>
      </text>
    </comment>
    <comment ref="B12" authorId="0">
      <text>
        <r>
          <rPr>
            <b/>
            <sz val="8"/>
            <color indexed="81"/>
            <rFont val="Tahoma"/>
            <family val="2"/>
          </rPr>
          <t>Consommation des voitures individuelles estimations CPDP / Ministère de l'Equipement</t>
        </r>
        <r>
          <rPr>
            <sz val="8"/>
            <color indexed="81"/>
            <rFont val="Tahoma"/>
            <family val="2"/>
          </rPr>
          <t xml:space="preserve">
</t>
        </r>
      </text>
    </comment>
    <comment ref="B19" authorId="0">
      <text>
        <r>
          <rPr>
            <b/>
            <sz val="8"/>
            <color indexed="81"/>
            <rFont val="Tahoma"/>
            <family val="2"/>
          </rPr>
          <t>Consommation des voitures individuelles estimations CPDP / Ministère de l'Equipement</t>
        </r>
        <r>
          <rPr>
            <sz val="8"/>
            <color indexed="81"/>
            <rFont val="Tahoma"/>
            <family val="2"/>
          </rPr>
          <t xml:space="preserve">
</t>
        </r>
      </text>
    </comment>
    <comment ref="B21" authorId="0">
      <text>
        <r>
          <rPr>
            <b/>
            <sz val="8"/>
            <color indexed="81"/>
            <rFont val="Tahoma"/>
            <family val="2"/>
          </rPr>
          <t>Consommation des voitures individuelles estimations CPDP / Ministère de l'Equipement</t>
        </r>
        <r>
          <rPr>
            <sz val="8"/>
            <color indexed="81"/>
            <rFont val="Tahoma"/>
            <family val="2"/>
          </rPr>
          <t xml:space="preserve">
</t>
        </r>
      </text>
    </comment>
    <comment ref="B23" authorId="0">
      <text>
        <r>
          <rPr>
            <b/>
            <sz val="8"/>
            <color indexed="81"/>
            <rFont val="Tahoma"/>
            <family val="2"/>
          </rPr>
          <t>Consommation des voitures individuelles estimations CPDP / Ministère de l'Equipement</t>
        </r>
        <r>
          <rPr>
            <sz val="8"/>
            <color indexed="81"/>
            <rFont val="Tahoma"/>
            <family val="2"/>
          </rPr>
          <t xml:space="preserve">
</t>
        </r>
      </text>
    </comment>
    <comment ref="B24" authorId="0">
      <text>
        <r>
          <rPr>
            <b/>
            <sz val="8"/>
            <color indexed="81"/>
            <rFont val="Tahoma"/>
            <family val="2"/>
          </rPr>
          <t>Consommation des voitures individuelles estimations CPDP / Ministère de l'Equipement</t>
        </r>
        <r>
          <rPr>
            <sz val="8"/>
            <color indexed="81"/>
            <rFont val="Tahoma"/>
            <family val="2"/>
          </rPr>
          <t xml:space="preserve">
</t>
        </r>
      </text>
    </comment>
    <comment ref="B25" authorId="0">
      <text>
        <r>
          <rPr>
            <b/>
            <sz val="8"/>
            <color indexed="81"/>
            <rFont val="Tahoma"/>
            <family val="2"/>
          </rPr>
          <t>Consommation des voitures individuelles estimations CPDP / Ministère de l'Equipement</t>
        </r>
        <r>
          <rPr>
            <sz val="8"/>
            <color indexed="81"/>
            <rFont val="Tahoma"/>
            <family val="2"/>
          </rPr>
          <t xml:space="preserve">
</t>
        </r>
      </text>
    </comment>
    <comment ref="B26" authorId="0">
      <text>
        <r>
          <rPr>
            <b/>
            <sz val="8"/>
            <color indexed="81"/>
            <rFont val="Tahoma"/>
            <family val="2"/>
          </rPr>
          <t>Consommation des voitures individuelles estimations CPDP / Ministère de l'Equipement</t>
        </r>
        <r>
          <rPr>
            <sz val="8"/>
            <color indexed="81"/>
            <rFont val="Tahoma"/>
            <family val="2"/>
          </rPr>
          <t xml:space="preserve">
</t>
        </r>
      </text>
    </comment>
    <comment ref="B27" authorId="0">
      <text>
        <r>
          <rPr>
            <b/>
            <sz val="8"/>
            <color indexed="81"/>
            <rFont val="Tahoma"/>
            <family val="2"/>
          </rPr>
          <t>Consommation des voitures individuelles estimations CPDP / Ministère de l'Equipement</t>
        </r>
        <r>
          <rPr>
            <sz val="8"/>
            <color indexed="81"/>
            <rFont val="Tahoma"/>
            <family val="2"/>
          </rPr>
          <t xml:space="preserve">
</t>
        </r>
      </text>
    </comment>
    <comment ref="B28" authorId="0">
      <text>
        <r>
          <rPr>
            <b/>
            <sz val="8"/>
            <color indexed="81"/>
            <rFont val="Tahoma"/>
            <family val="2"/>
          </rPr>
          <t>Consommation des voitures individuelles estimations CPDP / Ministère de l'Equipement</t>
        </r>
        <r>
          <rPr>
            <sz val="8"/>
            <color indexed="81"/>
            <rFont val="Tahoma"/>
            <family val="2"/>
          </rPr>
          <t xml:space="preserve">
</t>
        </r>
      </text>
    </comment>
    <comment ref="B75" authorId="0">
      <text>
        <r>
          <rPr>
            <b/>
            <sz val="8"/>
            <color indexed="81"/>
            <rFont val="Tahoma"/>
            <family val="2"/>
          </rPr>
          <t>TTC à la pompe</t>
        </r>
        <r>
          <rPr>
            <sz val="8"/>
            <color indexed="81"/>
            <rFont val="Tahoma"/>
            <family val="2"/>
          </rPr>
          <t xml:space="preserve">
</t>
        </r>
      </text>
    </comment>
    <comment ref="B76" authorId="0">
      <text>
        <r>
          <rPr>
            <b/>
            <sz val="8"/>
            <color indexed="81"/>
            <rFont val="Tahoma"/>
            <family val="2"/>
          </rPr>
          <t>TTC à la pompe</t>
        </r>
        <r>
          <rPr>
            <sz val="8"/>
            <color indexed="81"/>
            <rFont val="Tahoma"/>
            <family val="2"/>
          </rPr>
          <t xml:space="preserve">
</t>
        </r>
      </text>
    </comment>
    <comment ref="B77" authorId="0">
      <text>
        <r>
          <rPr>
            <b/>
            <sz val="8"/>
            <color indexed="81"/>
            <rFont val="Tahoma"/>
            <family val="2"/>
          </rPr>
          <t>Moyenne pondérée super+gazole:
Pcarb = (Pess*Qess+Pgaz*Qgaz)/(Qess+Qgaz)</t>
        </r>
        <r>
          <rPr>
            <sz val="8"/>
            <color indexed="81"/>
            <rFont val="Tahoma"/>
            <family val="2"/>
          </rPr>
          <t xml:space="preserve">
</t>
        </r>
      </text>
    </comment>
    <comment ref="B79" authorId="0">
      <text>
        <r>
          <rPr>
            <b/>
            <sz val="8"/>
            <color indexed="81"/>
            <rFont val="Tahoma"/>
            <family val="2"/>
          </rPr>
          <t>TTC à la pompe</t>
        </r>
        <r>
          <rPr>
            <sz val="8"/>
            <color indexed="81"/>
            <rFont val="Tahoma"/>
            <family val="2"/>
          </rPr>
          <t xml:space="preserve">
</t>
        </r>
      </text>
    </comment>
    <comment ref="B81" authorId="0">
      <text>
        <r>
          <rPr>
            <b/>
            <sz val="8"/>
            <color indexed="81"/>
            <rFont val="Tahoma"/>
            <family val="2"/>
          </rPr>
          <t>TTC à la pompe</t>
        </r>
        <r>
          <rPr>
            <sz val="8"/>
            <color indexed="81"/>
            <rFont val="Tahoma"/>
            <family val="2"/>
          </rPr>
          <t xml:space="preserve">
</t>
        </r>
      </text>
    </comment>
    <comment ref="B83" authorId="0">
      <text>
        <r>
          <rPr>
            <b/>
            <sz val="8"/>
            <color indexed="81"/>
            <rFont val="Tahoma"/>
            <family val="2"/>
          </rPr>
          <t>Moyenne pondérée super+gazole:
Pcarb = (Pess*Qess+Pgaz*Qgaz)/(Qess+Qgaz)</t>
        </r>
        <r>
          <rPr>
            <sz val="8"/>
            <color indexed="81"/>
            <rFont val="Tahoma"/>
            <family val="2"/>
          </rPr>
          <t xml:space="preserve">
</t>
        </r>
      </text>
    </comment>
    <comment ref="B88" authorId="0">
      <text>
        <r>
          <rPr>
            <b/>
            <sz val="8"/>
            <color indexed="81"/>
            <rFont val="Tahoma"/>
            <family val="2"/>
          </rPr>
          <t>Indice INSEE notaires retropolé par la DAEI/SES Ministère de l'Equipement</t>
        </r>
        <r>
          <rPr>
            <sz val="8"/>
            <color indexed="81"/>
            <rFont val="Tahoma"/>
            <family val="2"/>
          </rPr>
          <t xml:space="preserve">
</t>
        </r>
      </text>
    </comment>
    <comment ref="B89" authorId="0">
      <text>
        <r>
          <rPr>
            <b/>
            <sz val="8"/>
            <color indexed="81"/>
            <rFont val="Tahoma"/>
            <family val="2"/>
          </rPr>
          <t>Indice INSEE notaires retropolé par la DAEI/SES Ministère de l'Equipement</t>
        </r>
        <r>
          <rPr>
            <sz val="8"/>
            <color indexed="81"/>
            <rFont val="Tahoma"/>
            <family val="2"/>
          </rPr>
          <t xml:space="preserve">
</t>
        </r>
      </text>
    </comment>
    <comment ref="B90" authorId="0">
      <text>
        <r>
          <rPr>
            <b/>
            <sz val="8"/>
            <color indexed="81"/>
            <rFont val="Tahoma"/>
            <family val="2"/>
          </rPr>
          <t>Indice INSEE notaires retropolé par la DAEI/SES Ministère de l'Equipement</t>
        </r>
        <r>
          <rPr>
            <sz val="8"/>
            <color indexed="81"/>
            <rFont val="Tahoma"/>
            <family val="2"/>
          </rPr>
          <t xml:space="preserve">
</t>
        </r>
      </text>
    </comment>
    <comment ref="B91" authorId="0">
      <text>
        <r>
          <rPr>
            <b/>
            <sz val="8"/>
            <color indexed="81"/>
            <rFont val="Tahoma"/>
            <family val="2"/>
          </rPr>
          <t>Indice INSEE notaires retropolé par la DAEI/SES Ministère de l'Equipement</t>
        </r>
        <r>
          <rPr>
            <sz val="8"/>
            <color indexed="81"/>
            <rFont val="Tahoma"/>
            <family val="2"/>
          </rPr>
          <t xml:space="preserve">
</t>
        </r>
      </text>
    </comment>
    <comment ref="B92" authorId="0">
      <text>
        <r>
          <rPr>
            <b/>
            <sz val="8"/>
            <color indexed="81"/>
            <rFont val="Tahoma"/>
            <family val="2"/>
          </rPr>
          <t>Indice INSEE notaires retropolé par la DAEI/SES Ministère de l'Equipement</t>
        </r>
        <r>
          <rPr>
            <sz val="8"/>
            <color indexed="81"/>
            <rFont val="Tahoma"/>
            <family val="2"/>
          </rPr>
          <t xml:space="preserve">
</t>
        </r>
      </text>
    </comment>
    <comment ref="A107" authorId="0">
      <text>
        <r>
          <rPr>
            <sz val="8"/>
            <color indexed="81"/>
            <rFont val="Tahoma"/>
            <family val="2"/>
          </rPr>
          <t xml:space="preserve">
</t>
        </r>
      </text>
    </comment>
    <comment ref="B109" authorId="0">
      <text>
        <r>
          <rPr>
            <b/>
            <sz val="8"/>
            <color indexed="81"/>
            <rFont val="Tahoma"/>
            <family val="2"/>
          </rPr>
          <t>Enquête TERUTI Ministère de l'Agriculture sur l'utilisation du territoire, usages artificiels des sols</t>
        </r>
        <r>
          <rPr>
            <sz val="8"/>
            <color indexed="81"/>
            <rFont val="Tahoma"/>
            <family val="2"/>
          </rPr>
          <t xml:space="preserve">
</t>
        </r>
      </text>
    </comment>
    <comment ref="B111" authorId="0">
      <text>
        <r>
          <rPr>
            <b/>
            <sz val="8"/>
            <color indexed="81"/>
            <rFont val="Tahoma"/>
            <family val="2"/>
          </rPr>
          <t>Enquête TERUTI Ministère de l'Agriculture sur l'utilisation du territoire, usages artificiels des sols</t>
        </r>
        <r>
          <rPr>
            <sz val="8"/>
            <color indexed="81"/>
            <rFont val="Tahoma"/>
            <family val="2"/>
          </rPr>
          <t xml:space="preserve">
</t>
        </r>
      </text>
    </comment>
    <comment ref="B113" authorId="0">
      <text>
        <r>
          <rPr>
            <b/>
            <sz val="8"/>
            <color indexed="81"/>
            <rFont val="Tahoma"/>
            <family val="2"/>
          </rPr>
          <t>Enquête TERUTI Ministère de l'Agriculture sur l'utilisation du territoire, usages artificiels des sols</t>
        </r>
        <r>
          <rPr>
            <sz val="8"/>
            <color indexed="81"/>
            <rFont val="Tahoma"/>
            <family val="2"/>
          </rPr>
          <t xml:space="preserve">
</t>
        </r>
      </text>
    </comment>
    <comment ref="A139" authorId="1">
      <text>
        <r>
          <rPr>
            <b/>
            <sz val="9"/>
            <color indexed="81"/>
            <rFont val="Tahoma"/>
            <family val="2"/>
          </rPr>
          <t>Prix relatif du coupon navigo mensuel sur le litre de carburant</t>
        </r>
        <r>
          <rPr>
            <sz val="9"/>
            <color indexed="81"/>
            <rFont val="Tahoma"/>
            <family val="2"/>
          </rPr>
          <t xml:space="preserve">
</t>
        </r>
      </text>
    </comment>
    <comment ref="A145" authorId="2">
      <text>
        <r>
          <rPr>
            <b/>
            <sz val="8"/>
            <color indexed="81"/>
            <rFont val="Tahoma"/>
            <family val="2"/>
          </rPr>
          <t xml:space="preserve">nouvelle série: </t>
        </r>
        <r>
          <rPr>
            <sz val="8"/>
            <color indexed="81"/>
            <rFont val="Tahoma"/>
            <family val="2"/>
          </rPr>
          <t xml:space="preserve">
60-79 smig net 
1980-2015 = smic net horaire
http://www.smic-horaire.fr/#smic_janvier_2014</t>
        </r>
      </text>
    </comment>
  </commentList>
</comments>
</file>

<file path=xl/comments3.xml><?xml version="1.0" encoding="utf-8"?>
<comments xmlns="http://schemas.openxmlformats.org/spreadsheetml/2006/main">
  <authors>
    <author>Franck Nadaud</author>
  </authors>
  <commentList>
    <comment ref="Q12" authorId="0">
      <text>
        <r>
          <rPr>
            <b/>
            <sz val="8"/>
            <color indexed="81"/>
            <rFont val="Tahoma"/>
            <family val="2"/>
          </rPr>
          <t>moyenne annuelle de l'indice notaires-insee base 100 au premier trimestre 2010</t>
        </r>
        <r>
          <rPr>
            <sz val="8"/>
            <color indexed="81"/>
            <rFont val="Tahoma"/>
            <family val="2"/>
          </rPr>
          <t xml:space="preserve">
</t>
        </r>
      </text>
    </comment>
    <comment ref="R12" authorId="0">
      <text>
        <r>
          <rPr>
            <b/>
            <sz val="8"/>
            <color indexed="81"/>
            <rFont val="Tahoma"/>
            <family val="2"/>
          </rPr>
          <t>renormalisation annuelle des moyennes des indices trimestriels notaires insee base 100 au 2010t1</t>
        </r>
        <r>
          <rPr>
            <sz val="8"/>
            <color indexed="81"/>
            <rFont val="Tahoma"/>
            <family val="2"/>
          </rPr>
          <t xml:space="preserve">
</t>
        </r>
      </text>
    </comment>
  </commentList>
</comments>
</file>

<file path=xl/comments4.xml><?xml version="1.0" encoding="utf-8"?>
<comments xmlns="http://schemas.openxmlformats.org/spreadsheetml/2006/main">
  <authors>
    <author>Francky</author>
  </authors>
  <commentList>
    <comment ref="D1" authorId="0">
      <text>
        <r>
          <rPr>
            <b/>
            <sz val="8"/>
            <color indexed="81"/>
            <rFont val="Tahoma"/>
            <family val="2"/>
          </rPr>
          <t xml:space="preserve">Revenu disponible brut des ménages en millions d'euros courants. Comptes nationaux base 2010, INSEE. </t>
        </r>
        <r>
          <rPr>
            <sz val="8"/>
            <color indexed="81"/>
            <rFont val="Tahoma"/>
            <family val="2"/>
          </rPr>
          <t xml:space="preserve">
</t>
        </r>
      </text>
    </comment>
    <comment ref="E1" authorId="0">
      <text>
        <r>
          <rPr>
            <b/>
            <sz val="8"/>
            <color indexed="81"/>
            <rFont val="Tahoma"/>
            <family val="2"/>
          </rPr>
          <t>Consommation finale des ménages : en Million d'euros courants. 
Séries INSEE détaillées de consommation 1960-2011.</t>
        </r>
      </text>
    </comment>
  </commentList>
</comments>
</file>

<file path=xl/comments5.xml><?xml version="1.0" encoding="utf-8"?>
<comments xmlns="http://schemas.openxmlformats.org/spreadsheetml/2006/main">
  <authors>
    <author>Zardoz</author>
    <author>A</author>
  </authors>
  <commentList>
    <comment ref="K1" authorId="0">
      <text>
        <r>
          <rPr>
            <sz val="8"/>
            <color indexed="81"/>
            <rFont val="Tahoma"/>
            <family val="2"/>
          </rPr>
          <t xml:space="preserve">Différence entre taux de croissance nominaux du prix du carburant et du RDB de ménages
</t>
        </r>
      </text>
    </comment>
    <comment ref="L1" authorId="0">
      <text>
        <r>
          <rPr>
            <sz val="8"/>
            <color indexed="81"/>
            <rFont val="Tahoma"/>
            <family val="2"/>
          </rPr>
          <t xml:space="preserve">Différence entre taux de croissance du prix réel du carburant et du RDB réel des ménages
</t>
        </r>
      </text>
    </comment>
    <comment ref="A40" authorId="1">
      <text>
        <r>
          <rPr>
            <b/>
            <sz val="8"/>
            <color indexed="81"/>
            <rFont val="Tahoma"/>
            <family val="2"/>
          </rPr>
          <t>MAJ du 15/09/06 : on revient au totaux VP France uniquement ce sont ceux dont on connaît le parc ; ==&gt; abandon du comptage plus précis des consommations de véhicules immatriculés en France, total routier, France + étranger retenu</t>
        </r>
        <r>
          <rPr>
            <sz val="8"/>
            <color indexed="81"/>
            <rFont val="Tahoma"/>
            <family val="2"/>
          </rPr>
          <t xml:space="preserve">
</t>
        </r>
      </text>
    </comment>
  </commentList>
</comments>
</file>

<file path=xl/comments6.xml><?xml version="1.0" encoding="utf-8"?>
<comments xmlns="http://schemas.openxmlformats.org/spreadsheetml/2006/main">
  <authors>
    <author>Francky</author>
  </authors>
  <commentList>
    <comment ref="Q1" authorId="0">
      <text>
        <r>
          <rPr>
            <b/>
            <sz val="10"/>
            <color indexed="81"/>
            <rFont val="Tahoma"/>
            <family val="2"/>
          </rPr>
          <t>dépenses des ménages pour le logement (hors investissement neuf) - Millions d'euros courants</t>
        </r>
        <r>
          <rPr>
            <sz val="10"/>
            <color indexed="81"/>
            <rFont val="Tahoma"/>
            <family val="2"/>
          </rPr>
          <t xml:space="preserve">
Base INSEE 60-05 ; données par fonction poste 04</t>
        </r>
      </text>
    </comment>
    <comment ref="R1" authorId="0">
      <text>
        <r>
          <rPr>
            <b/>
            <sz val="10"/>
            <color indexed="81"/>
            <rFont val="Tahoma"/>
            <family val="2"/>
          </rPr>
          <t>dépenses des ménages pour les transports - Millions d'euros courants</t>
        </r>
        <r>
          <rPr>
            <sz val="10"/>
            <color indexed="81"/>
            <rFont val="Tahoma"/>
            <family val="2"/>
          </rPr>
          <t xml:space="preserve">
Base INSEE 60-05 ; données par fonction poste 07</t>
        </r>
      </text>
    </comment>
    <comment ref="S1" authorId="0">
      <text>
        <r>
          <rPr>
            <b/>
            <sz val="10"/>
            <color indexed="81"/>
            <rFont val="Tahoma"/>
            <family val="2"/>
          </rPr>
          <t>dépenses des ménages pour les véhicules personnels - Millions d'euros courants</t>
        </r>
        <r>
          <rPr>
            <sz val="10"/>
            <color indexed="81"/>
            <rFont val="Tahoma"/>
            <family val="2"/>
          </rPr>
          <t xml:space="preserve">
Base INSEE 60-05 ; données par fonction poste 071+072</t>
        </r>
      </text>
    </comment>
  </commentList>
</comments>
</file>

<file path=xl/comments7.xml><?xml version="1.0" encoding="utf-8"?>
<comments xmlns="http://schemas.openxmlformats.org/spreadsheetml/2006/main">
  <authors>
    <author>Francky</author>
    <author>A</author>
  </authors>
  <commentList>
    <comment ref="A1" authorId="0">
      <text>
        <r>
          <rPr>
            <sz val="8"/>
            <color indexed="81"/>
            <rFont val="Tahoma"/>
            <family val="2"/>
          </rPr>
          <t>Etude de reconstruction des consommations de carburant des ménages à partir des séries de dépenses courantes divisées par les prix unitaires annuels moyen courants.</t>
        </r>
      </text>
    </comment>
    <comment ref="Z1" authorId="0">
      <text>
        <r>
          <rPr>
            <sz val="10"/>
            <color indexed="81"/>
            <rFont val="Tahoma"/>
            <family val="2"/>
          </rPr>
          <t xml:space="preserve">Définition: indice de prix du produit / indice général des prix à la consommation ; chaînés, base 2000 pour les deux
</t>
        </r>
      </text>
    </comment>
    <comment ref="B2" authorId="0">
      <text>
        <r>
          <rPr>
            <b/>
            <sz val="10"/>
            <color indexed="81"/>
            <rFont val="Tahoma"/>
            <family val="2"/>
          </rPr>
          <t>Dépense courante des ménages en millions d'euros courants</t>
        </r>
        <r>
          <rPr>
            <sz val="10"/>
            <color indexed="81"/>
            <rFont val="Tahoma"/>
            <family val="2"/>
          </rPr>
          <t xml:space="preserve">
</t>
        </r>
      </text>
    </comment>
    <comment ref="C2" authorId="0">
      <text>
        <r>
          <rPr>
            <b/>
            <sz val="10"/>
            <color indexed="81"/>
            <rFont val="Tahoma"/>
            <family val="2"/>
          </rPr>
          <t>Dépense courante des ménages en millions d'euros courants</t>
        </r>
        <r>
          <rPr>
            <sz val="10"/>
            <color indexed="81"/>
            <rFont val="Tahoma"/>
            <family val="2"/>
          </rPr>
          <t xml:space="preserve">
</t>
        </r>
      </text>
    </comment>
    <comment ref="D2" authorId="0">
      <text>
        <r>
          <rPr>
            <b/>
            <sz val="10"/>
            <color indexed="81"/>
            <rFont val="Tahoma"/>
            <family val="2"/>
          </rPr>
          <t>Dépense courante des ménages en millions d'euros courants</t>
        </r>
        <r>
          <rPr>
            <sz val="10"/>
            <color indexed="81"/>
            <rFont val="Tahoma"/>
            <family val="2"/>
          </rPr>
          <t xml:space="preserve">
</t>
        </r>
      </text>
    </comment>
    <comment ref="E2" authorId="0">
      <text>
        <r>
          <rPr>
            <b/>
            <sz val="10"/>
            <color indexed="81"/>
            <rFont val="Tahoma"/>
            <family val="2"/>
          </rPr>
          <t>Dépense courante des ménages en millions d'euros courants</t>
        </r>
        <r>
          <rPr>
            <sz val="10"/>
            <color indexed="81"/>
            <rFont val="Tahoma"/>
            <family val="2"/>
          </rPr>
          <t xml:space="preserve">
</t>
        </r>
      </text>
    </comment>
    <comment ref="G2" authorId="0">
      <text>
        <r>
          <rPr>
            <b/>
            <sz val="10"/>
            <color indexed="81"/>
            <rFont val="Tahoma"/>
            <family val="2"/>
          </rPr>
          <t>Dépense courante des ménages en millions d'euros courants</t>
        </r>
        <r>
          <rPr>
            <sz val="10"/>
            <color indexed="81"/>
            <rFont val="Tahoma"/>
            <family val="2"/>
          </rPr>
          <t xml:space="preserve">
</t>
        </r>
      </text>
    </comment>
    <comment ref="H2" authorId="0">
      <text>
        <r>
          <rPr>
            <b/>
            <sz val="10"/>
            <color indexed="81"/>
            <rFont val="Tahoma"/>
            <family val="2"/>
          </rPr>
          <t xml:space="preserve">Prix annuel moyen à la pompe reconstruit à partir des données mensuelles. Unité = </t>
        </r>
        <r>
          <rPr>
            <sz val="10"/>
            <color indexed="81"/>
            <rFont val="Tahoma"/>
            <family val="2"/>
          </rPr>
          <t>euros/litre</t>
        </r>
      </text>
    </comment>
    <comment ref="I2" authorId="0">
      <text>
        <r>
          <rPr>
            <b/>
            <sz val="10"/>
            <color indexed="81"/>
            <rFont val="Tahoma"/>
            <family val="2"/>
          </rPr>
          <t xml:space="preserve">Prix annuel moyen à la pompe reconstruit à partir des données mensuelles. Unité = </t>
        </r>
        <r>
          <rPr>
            <sz val="10"/>
            <color indexed="81"/>
            <rFont val="Tahoma"/>
            <family val="2"/>
          </rPr>
          <t>euros/litre</t>
        </r>
      </text>
    </comment>
    <comment ref="J2" authorId="0">
      <text>
        <r>
          <rPr>
            <b/>
            <sz val="10"/>
            <color indexed="81"/>
            <rFont val="Tahoma"/>
            <family val="2"/>
          </rPr>
          <t xml:space="preserve">Prix annuel moyen à la pompe reconstruit à partir des données mensuelles. Unité = </t>
        </r>
        <r>
          <rPr>
            <sz val="10"/>
            <color indexed="81"/>
            <rFont val="Tahoma"/>
            <family val="2"/>
          </rPr>
          <t>euros/litre</t>
        </r>
      </text>
    </comment>
    <comment ref="K2" authorId="0">
      <text>
        <r>
          <rPr>
            <b/>
            <sz val="10"/>
            <color indexed="81"/>
            <rFont val="Tahoma"/>
            <family val="2"/>
          </rPr>
          <t xml:space="preserve">Prix annuel moyen à la pompe reconstruit à partir des données mensuelles. Unité = </t>
        </r>
        <r>
          <rPr>
            <sz val="10"/>
            <color indexed="81"/>
            <rFont val="Tahoma"/>
            <family val="2"/>
          </rPr>
          <t>euros/litre</t>
        </r>
      </text>
    </comment>
    <comment ref="AM2" authorId="0">
      <text>
        <r>
          <rPr>
            <b/>
            <sz val="10"/>
            <color indexed="81"/>
            <rFont val="Tahoma"/>
            <family val="2"/>
          </rPr>
          <t>Indice de prix tous carburants, hors lubrifiants (issu calcul final de indice carbu); chainé base 2005</t>
        </r>
        <r>
          <rPr>
            <sz val="10"/>
            <color indexed="81"/>
            <rFont val="Tahoma"/>
            <family val="2"/>
          </rPr>
          <t xml:space="preserve">
</t>
        </r>
      </text>
    </comment>
    <comment ref="AN2" authorId="0">
      <text>
        <r>
          <rPr>
            <b/>
            <sz val="10"/>
            <color indexed="81"/>
            <rFont val="Tahoma"/>
            <family val="2"/>
          </rPr>
          <t>Indice de prix tous carburants, hors lubrifiants (issu calcul final de indice carbu); déflaté de l'indice des prix à la consommation base 2000</t>
        </r>
        <r>
          <rPr>
            <sz val="10"/>
            <color indexed="81"/>
            <rFont val="Tahoma"/>
            <family val="2"/>
          </rPr>
          <t xml:space="preserve">
</t>
        </r>
      </text>
    </comment>
    <comment ref="A42" authorId="1">
      <text>
        <r>
          <rPr>
            <b/>
            <sz val="8"/>
            <color indexed="81"/>
            <rFont val="Tahoma"/>
            <family val="2"/>
          </rPr>
          <t>MAJ du 15/09/06 : on revient au totaux VP France uniquement ce sont ceux dont on connaît le parc ; ==&gt; abandon du comptage plus précis des consommations de véhicules immatriculés en France, total routier, France + étranger retenu</t>
        </r>
        <r>
          <rPr>
            <sz val="8"/>
            <color indexed="81"/>
            <rFont val="Tahoma"/>
            <family val="2"/>
          </rPr>
          <t xml:space="preserve">
</t>
        </r>
      </text>
    </comment>
  </commentList>
</comments>
</file>

<file path=xl/comments8.xml><?xml version="1.0" encoding="utf-8"?>
<comments xmlns="http://schemas.openxmlformats.org/spreadsheetml/2006/main">
  <authors>
    <author>Francky</author>
  </authors>
  <commentList>
    <comment ref="B1" authorId="0">
      <text>
        <r>
          <rPr>
            <b/>
            <sz val="10"/>
            <color indexed="81"/>
            <rFont val="Tahoma"/>
            <family val="2"/>
          </rPr>
          <t xml:space="preserve">Achat de voitures neuves des ménages ; millions d'euros courants
INSEE - consommation des ménages par produit 1960-2005 . 
Série D01.A1 </t>
        </r>
        <r>
          <rPr>
            <sz val="10"/>
            <color indexed="81"/>
            <rFont val="Tahoma"/>
            <family val="2"/>
          </rPr>
          <t xml:space="preserve">
</t>
        </r>
      </text>
    </comment>
    <comment ref="C1" authorId="0">
      <text>
        <r>
          <rPr>
            <b/>
            <sz val="10"/>
            <color indexed="81"/>
            <rFont val="Tahoma"/>
            <family val="2"/>
          </rPr>
          <t>Achat de voitures neuves des ménages ;
millions d'euros 2005 [chaînés]
INSEE - consommation des ménages par produits 1959-2011. 
Série voitures neuves</t>
        </r>
        <r>
          <rPr>
            <sz val="10"/>
            <color indexed="81"/>
            <rFont val="Tahoma"/>
            <family val="2"/>
          </rPr>
          <t xml:space="preserve">
</t>
        </r>
      </text>
    </comment>
    <comment ref="D1" authorId="0">
      <text>
        <r>
          <rPr>
            <b/>
            <sz val="8"/>
            <color indexed="81"/>
            <rFont val="Tahoma"/>
            <family val="2"/>
          </rPr>
          <t>immatriculations annuelles de voitures particulières neuves.
60-64 : mouvement économique long 49-79
65-2003 : ccfa mensuel agrégé annuellement
2004-2005 : ccfa annuel</t>
        </r>
        <r>
          <rPr>
            <sz val="8"/>
            <color indexed="81"/>
            <rFont val="Tahoma"/>
            <family val="2"/>
          </rPr>
          <t xml:space="preserve">
</t>
        </r>
      </text>
    </comment>
    <comment ref="E1" authorId="0">
      <text>
        <r>
          <rPr>
            <b/>
            <sz val="8"/>
            <color indexed="81"/>
            <rFont val="Tahoma"/>
            <family val="2"/>
          </rPr>
          <t xml:space="preserve">Prix moyen par véhicule immatriculé ; euros courants
définition :
Achats de voitures neuves / immatriculations dans l'année </t>
        </r>
        <r>
          <rPr>
            <sz val="10"/>
            <color indexed="81"/>
            <rFont val="Tahoma"/>
            <family val="2"/>
          </rPr>
          <t xml:space="preserve">=
</t>
        </r>
        <r>
          <rPr>
            <sz val="8"/>
            <color indexed="81"/>
            <rFont val="Tahoma"/>
            <family val="2"/>
          </rPr>
          <t>prix moyen en euros</t>
        </r>
      </text>
    </comment>
    <comment ref="F1" authorId="0">
      <text>
        <r>
          <rPr>
            <b/>
            <sz val="8"/>
            <color indexed="81"/>
            <rFont val="Tahoma"/>
            <family val="2"/>
          </rPr>
          <t xml:space="preserve">Prix moyen par véhicule immatriculé ; euros 2000
définition :
Achats de voitures neuves (€2000) / immatriculations dans l'année </t>
        </r>
        <r>
          <rPr>
            <sz val="10"/>
            <color indexed="81"/>
            <rFont val="Tahoma"/>
            <family val="2"/>
          </rPr>
          <t xml:space="preserve">=
</t>
        </r>
        <r>
          <rPr>
            <sz val="8"/>
            <color indexed="81"/>
            <rFont val="Tahoma"/>
            <family val="2"/>
          </rPr>
          <t>prix moyen en euros 2000</t>
        </r>
      </text>
    </comment>
    <comment ref="G1" authorId="0">
      <text>
        <r>
          <rPr>
            <b/>
            <sz val="8"/>
            <color indexed="81"/>
            <rFont val="Tahoma"/>
            <family val="2"/>
          </rPr>
          <t>Indice de prix des achats de véhicules neufs, chaîné, base 2005, INSEE, dépenses de consommation des ménages par produit, 1959-2011, série automobiles neuves</t>
        </r>
        <r>
          <rPr>
            <sz val="8"/>
            <color indexed="81"/>
            <rFont val="Tahoma"/>
            <family val="2"/>
          </rPr>
          <t xml:space="preserve">
</t>
        </r>
      </text>
    </comment>
    <comment ref="I1" authorId="0">
      <text>
        <r>
          <rPr>
            <sz val="8"/>
            <color indexed="81"/>
            <rFont val="Tahoma"/>
            <family val="2"/>
          </rPr>
          <t xml:space="preserve">PRIX RELATIF DES ACHATS NEUFS DE VOITURES DES MENAGES =
IPVNEUF05/IPC05
</t>
        </r>
      </text>
    </comment>
  </commentList>
</comments>
</file>

<file path=xl/comments9.xml><?xml version="1.0" encoding="utf-8"?>
<comments xmlns="http://schemas.openxmlformats.org/spreadsheetml/2006/main">
  <authors>
    <author>Francky</author>
  </authors>
  <commentList>
    <comment ref="B1" authorId="0">
      <text>
        <r>
          <rPr>
            <b/>
            <sz val="8"/>
            <color indexed="81"/>
            <rFont val="Tahoma"/>
            <family val="2"/>
          </rPr>
          <t>Parc CCFA, au premier janvier année t+1 = parc de l'année t</t>
        </r>
        <r>
          <rPr>
            <sz val="8"/>
            <color indexed="81"/>
            <rFont val="Tahoma"/>
            <family val="2"/>
          </rPr>
          <t xml:space="preserve">
</t>
        </r>
      </text>
    </comment>
  </commentList>
</comments>
</file>

<file path=xl/sharedStrings.xml><?xml version="1.0" encoding="utf-8"?>
<sst xmlns="http://schemas.openxmlformats.org/spreadsheetml/2006/main" count="2028" uniqueCount="778">
  <si>
    <t>POP1J</t>
  </si>
  <si>
    <t>POP1JN+1</t>
  </si>
  <si>
    <t>POPM</t>
  </si>
  <si>
    <t>MEN</t>
  </si>
  <si>
    <t>dess</t>
  </si>
  <si>
    <t>essm3</t>
  </si>
  <si>
    <t>dgaz</t>
  </si>
  <si>
    <t>gasm3</t>
  </si>
  <si>
    <t>carbum3</t>
  </si>
  <si>
    <t>Dcarbum3</t>
  </si>
  <si>
    <t>carbum3pc</t>
  </si>
  <si>
    <t>carbum3pm</t>
  </si>
  <si>
    <t>TCcarbm3pc</t>
  </si>
  <si>
    <t>carbutep</t>
  </si>
  <si>
    <t>carbutepc</t>
  </si>
  <si>
    <t>carbutepm</t>
  </si>
  <si>
    <t>ParcESS</t>
  </si>
  <si>
    <t>ParcGAZ</t>
  </si>
  <si>
    <t>Parc</t>
  </si>
  <si>
    <t>Parc1JN+1</t>
  </si>
  <si>
    <t>ParcPm</t>
  </si>
  <si>
    <t>IMMAT</t>
  </si>
  <si>
    <t>CFM</t>
  </si>
  <si>
    <t>TCCFM</t>
  </si>
  <si>
    <t>TEM</t>
  </si>
  <si>
    <t>VEHNEUF</t>
  </si>
  <si>
    <t>PMVNC</t>
  </si>
  <si>
    <t>pess</t>
  </si>
  <si>
    <t>pgas</t>
  </si>
  <si>
    <t>pcarbu</t>
  </si>
  <si>
    <t>ICC53</t>
  </si>
  <si>
    <t>IPCARBICC</t>
  </si>
  <si>
    <t>TCIPCARBLOG</t>
  </si>
  <si>
    <t>IPGAZ</t>
  </si>
  <si>
    <t>IPSUPER</t>
  </si>
  <si>
    <t>RPB81</t>
  </si>
  <si>
    <t>ARTIF81</t>
  </si>
  <si>
    <t>RPB69</t>
  </si>
  <si>
    <t>DELTARPB69</t>
  </si>
  <si>
    <t>ARTIF69</t>
  </si>
  <si>
    <t>RPB60</t>
  </si>
  <si>
    <t>ARTIF60</t>
  </si>
  <si>
    <t>Routes</t>
  </si>
  <si>
    <t>Parcours</t>
  </si>
  <si>
    <t>Débits</t>
  </si>
  <si>
    <t>CCNE</t>
  </si>
  <si>
    <t>CCND</t>
  </si>
  <si>
    <t>CMNEss</t>
  </si>
  <si>
    <t>CMNG</t>
  </si>
  <si>
    <t>CUM</t>
  </si>
  <si>
    <t>PARCTOT</t>
  </si>
  <si>
    <t>CONSOTOT</t>
  </si>
  <si>
    <t>VKM</t>
  </si>
  <si>
    <t>VKMpc</t>
  </si>
  <si>
    <t>VKMpm</t>
  </si>
  <si>
    <t>RPB60pc</t>
  </si>
  <si>
    <t>ARTIF60pc</t>
  </si>
  <si>
    <t>TCCFM00PM</t>
  </si>
  <si>
    <t>TCRDB00IPC</t>
  </si>
  <si>
    <t>TCcarbum3pm</t>
  </si>
  <si>
    <t>KM_VEH</t>
  </si>
  <si>
    <t>POPURB</t>
  </si>
  <si>
    <t>DEPVN</t>
  </si>
  <si>
    <t>PVOIT</t>
  </si>
  <si>
    <t>LOG H1</t>
  </si>
  <si>
    <t>REPAUTO J10B</t>
  </si>
  <si>
    <t>LOCIMMO  M02</t>
  </si>
  <si>
    <t>ASS_LOG L02C2</t>
  </si>
  <si>
    <t>ASS_TRANS L02C3</t>
  </si>
  <si>
    <t>EAUGAZELEC G2</t>
  </si>
  <si>
    <t>CARBLUB</t>
  </si>
  <si>
    <t>COMBU</t>
  </si>
  <si>
    <t>ROADPASSTRANSP</t>
  </si>
  <si>
    <t>TOTAUTO</t>
  </si>
  <si>
    <t>TOTLOG</t>
  </si>
  <si>
    <t>%LOGRDB</t>
  </si>
  <si>
    <t>%AUTORDB</t>
  </si>
  <si>
    <t>%CARBRDB</t>
  </si>
  <si>
    <t>LOGEMENT</t>
  </si>
  <si>
    <t>TRANSPORTS</t>
  </si>
  <si>
    <t>TRANSPERSO</t>
  </si>
  <si>
    <t>%LOG</t>
  </si>
  <si>
    <t>%TRANS</t>
  </si>
  <si>
    <t>%TRPERSO</t>
  </si>
  <si>
    <t>Essence, super plombé</t>
  </si>
  <si>
    <t>Super sans plomb</t>
  </si>
  <si>
    <t>Gasoil</t>
  </si>
  <si>
    <t>Lubrifiants</t>
  </si>
  <si>
    <t>Total carburants &amp; lubrifiants</t>
  </si>
  <si>
    <t>PME+Spb</t>
  </si>
  <si>
    <t>PMSSPb</t>
  </si>
  <si>
    <t>PMGAZOLE</t>
  </si>
  <si>
    <t>PMCARBU</t>
  </si>
  <si>
    <t>Prix moyens courants (euros/litre)</t>
  </si>
  <si>
    <t>PESS_SPPB</t>
  </si>
  <si>
    <t>PSUPSPb</t>
  </si>
  <si>
    <t>PLUB</t>
  </si>
  <si>
    <t>IPCARBLUB</t>
  </si>
  <si>
    <t>PCARBLUB</t>
  </si>
  <si>
    <t>Dépenses courantes des ménages en mégaeuros</t>
  </si>
  <si>
    <t>Conso CPDP</t>
  </si>
  <si>
    <t>Résidu CPDP-Calcul sur base INSEE</t>
  </si>
  <si>
    <t>Total carburants</t>
  </si>
  <si>
    <t>PGAZ</t>
  </si>
  <si>
    <t>coefficients budgétaires courants</t>
  </si>
  <si>
    <t>IPCARBU00</t>
  </si>
  <si>
    <t>IPCARBUIPC</t>
  </si>
  <si>
    <t>Consommation totale de caburant par prix moyen hors lubrifiants(mégalitres)</t>
  </si>
  <si>
    <t>Tccarb</t>
  </si>
  <si>
    <t>Tccarbpc</t>
  </si>
  <si>
    <t>Tccarbpm</t>
  </si>
  <si>
    <t>TCcarbm3</t>
  </si>
  <si>
    <t>TCRDBNOM</t>
  </si>
  <si>
    <t>Ecpc</t>
  </si>
  <si>
    <t>Ecpm</t>
  </si>
  <si>
    <t>TCPOP</t>
  </si>
  <si>
    <t>TCMEN</t>
  </si>
  <si>
    <t>Calcul des prix moyens annuels pondérés par les quantités livrées CPDP</t>
  </si>
  <si>
    <t>Prix moyens = DIREM / PEGASE (€TTC/litre)</t>
  </si>
  <si>
    <t>Quantités = totaux livraisons CPDP en m3</t>
  </si>
  <si>
    <t>Gazole</t>
  </si>
  <si>
    <t>Super ARS</t>
  </si>
  <si>
    <t>Super SP95</t>
  </si>
  <si>
    <t>Super SP98</t>
  </si>
  <si>
    <t>Prix DIREM /PEGASE (euros TTC / litre)</t>
  </si>
  <si>
    <t>Prix moyens pondérés euros courants TTC / l</t>
  </si>
  <si>
    <t>supers</t>
  </si>
  <si>
    <t>gazole</t>
  </si>
  <si>
    <t>carburants</t>
  </si>
  <si>
    <t>Supers</t>
  </si>
  <si>
    <t>SuperSP</t>
  </si>
  <si>
    <t>Conso CPDP des voitures particulières</t>
  </si>
  <si>
    <t>POPINSEE</t>
  </si>
  <si>
    <t>dépenses en valeur</t>
  </si>
  <si>
    <t>Indice de prix moyen du carburant</t>
  </si>
  <si>
    <t>Indice de prix moyen supers</t>
  </si>
  <si>
    <t>Territoire</t>
  </si>
  <si>
    <t>ENSEMBLE</t>
  </si>
  <si>
    <t>SOLS BATIS</t>
  </si>
  <si>
    <t>Volumes construits bas</t>
  </si>
  <si>
    <t>Volumes construits hauts</t>
  </si>
  <si>
    <t>Serres et abris hauts</t>
  </si>
  <si>
    <t>SOLS ARTIFICIALISES NON BATIS</t>
  </si>
  <si>
    <t>Sols de forme aréolaire revêtus ou stabilisés</t>
  </si>
  <si>
    <t>Sols de forme linéaire revêtus ou stabilisés</t>
  </si>
  <si>
    <t>Sols enherbés liés à des activités humaines, hors production agricole</t>
  </si>
  <si>
    <t>Sols nus liés à une activité agricole</t>
  </si>
  <si>
    <t>Sols nus liés à des activités humaines, hors agriculture</t>
  </si>
  <si>
    <t>SOLS CULTIVES</t>
  </si>
  <si>
    <t>Blé</t>
  </si>
  <si>
    <t>Blé tendre et épeautre</t>
  </si>
  <si>
    <t>Blé dur</t>
  </si>
  <si>
    <t>Orge et escourgeon</t>
  </si>
  <si>
    <t>Maïs</t>
  </si>
  <si>
    <t>Triticale</t>
  </si>
  <si>
    <t>Autres céréales</t>
  </si>
  <si>
    <t>Avoine</t>
  </si>
  <si>
    <t>Autres céréales qu'avoine</t>
  </si>
  <si>
    <t>Pomme de terre</t>
  </si>
  <si>
    <t>Betterave industrielle</t>
  </si>
  <si>
    <t>Tournesol</t>
  </si>
  <si>
    <t>Colza et navette</t>
  </si>
  <si>
    <t>Autres cultures industrielles oléagineuses</t>
  </si>
  <si>
    <t>Pois, fèves et féveroles</t>
  </si>
  <si>
    <t>Pois sec protéagineux et pois fourrager</t>
  </si>
  <si>
    <t>Fèves et fèveroles</t>
  </si>
  <si>
    <t>Autres cultures annuelles</t>
  </si>
  <si>
    <t>Autres racines et tubercules</t>
  </si>
  <si>
    <t>Cultures industrielles textiles</t>
  </si>
  <si>
    <t>Autres cultures industrielles annuelles</t>
  </si>
  <si>
    <t>Légumes</t>
  </si>
  <si>
    <t>Jardins familiaux</t>
  </si>
  <si>
    <t>Prairies temporaires</t>
  </si>
  <si>
    <t>Fourrages annuels</t>
  </si>
  <si>
    <t>Prairies temporaires semées essentiellement de graminées</t>
  </si>
  <si>
    <t>Prairies temporaires semées essentiellement de légumineuses</t>
  </si>
  <si>
    <t>Jachère</t>
  </si>
  <si>
    <t>Arbres fruitiers</t>
  </si>
  <si>
    <t>Pommiers</t>
  </si>
  <si>
    <t>Autres arbres fruitiers</t>
  </si>
  <si>
    <t>Vigne</t>
  </si>
  <si>
    <t>Petits fruits, plantes ornementales et pépinières</t>
  </si>
  <si>
    <t>Fleurs, plantes ornementales et pépinières toutes espèces</t>
  </si>
  <si>
    <t>Autres cultures permanentes</t>
  </si>
  <si>
    <t>SOLS BOISES</t>
  </si>
  <si>
    <t>Forêts de feuillus</t>
  </si>
  <si>
    <t>Forêts de résineux</t>
  </si>
  <si>
    <t>Forêts mixtes</t>
  </si>
  <si>
    <t>Peupleraies en plein</t>
  </si>
  <si>
    <t>Bosquets</t>
  </si>
  <si>
    <t>Haies et alignements d'arbres</t>
  </si>
  <si>
    <t>LANDES, FRICHES, MAQUIS, GARRIGUES, SAVANES ET SUPERFICIES ENHERBEES NATURELLES SANS USAGE</t>
  </si>
  <si>
    <t>Landes, friches, maquis, garrigues, savanes</t>
  </si>
  <si>
    <t>Superficies enherbées naturelles, sans usage</t>
  </si>
  <si>
    <t>SURFACES TOUJOURS EN HERBE</t>
  </si>
  <si>
    <t>Prairies permanentes productives</t>
  </si>
  <si>
    <t>Prairies permanentes peu productives</t>
  </si>
  <si>
    <t xml:space="preserve">Prairies permanentes peu productives autres qu'alpages </t>
  </si>
  <si>
    <t>Alpages</t>
  </si>
  <si>
    <t>SOLS NUS NATURELS</t>
  </si>
  <si>
    <t>Dune, plage</t>
  </si>
  <si>
    <t>Rochers, éboulis</t>
  </si>
  <si>
    <t>Sols nus naturels, sans usage</t>
  </si>
  <si>
    <t>ZONES SOUS LES EAUX</t>
  </si>
  <si>
    <t>Eaux intérieures</t>
  </si>
  <si>
    <t>Plans d'eau côtiers</t>
  </si>
  <si>
    <t>Glaciers, neiges éternelles</t>
  </si>
  <si>
    <t>Zones interdites non photo interprétées</t>
  </si>
  <si>
    <t>FRM - France métropolitaine</t>
  </si>
  <si>
    <t>km²</t>
  </si>
  <si>
    <t>Définition des surfaces</t>
  </si>
  <si>
    <t>Routes et parking</t>
  </si>
  <si>
    <t>SOL ARTIFIELS total</t>
  </si>
  <si>
    <t>Routes et parkings + batis</t>
  </si>
  <si>
    <t>69 à 73 AUTRES SOLS NI ALTERES NI BATIS</t>
  </si>
  <si>
    <t>74 à 79, 84 SOLS ARTIFICIALISES NON BATIS</t>
  </si>
  <si>
    <t>85 à 91 SOLS BATIS</t>
  </si>
  <si>
    <t>Rappel des données TERUTI de 1992 à 2004 (nouvelles séries)</t>
  </si>
  <si>
    <t>80 à 83 SOLS REVETUS (routes et parkings)</t>
  </si>
  <si>
    <t>Ensemble des surfaces artificielles</t>
  </si>
  <si>
    <t>Unité : surfaces en Milliers d'héctares = 10 km²</t>
  </si>
  <si>
    <t>Total agriculture</t>
  </si>
  <si>
    <t>Productions végétales</t>
  </si>
  <si>
    <t>Elevage</t>
  </si>
  <si>
    <t>Autre utilisation de l'agriculture</t>
  </si>
  <si>
    <t>Sylviculture</t>
  </si>
  <si>
    <t>Activités industrielles</t>
  </si>
  <si>
    <t>Réseaux routiers</t>
  </si>
  <si>
    <t>Autres transports</t>
  </si>
  <si>
    <t>Services publics</t>
  </si>
  <si>
    <t>Autres services</t>
  </si>
  <si>
    <t>Sports et loisirs</t>
  </si>
  <si>
    <t>Protection de la nature</t>
  </si>
  <si>
    <t>Habitat</t>
  </si>
  <si>
    <t>Autres usages</t>
  </si>
  <si>
    <t>Répartition du territoire par mode</t>
  </si>
  <si>
    <t>par fonction</t>
  </si>
  <si>
    <t>hectares</t>
  </si>
  <si>
    <t>TOTAL BATIS+ANB</t>
  </si>
  <si>
    <t>%</t>
  </si>
  <si>
    <t>Usages hors agriculture</t>
  </si>
  <si>
    <t>% artif</t>
  </si>
  <si>
    <t>Usages pour activirtés humaines</t>
  </si>
  <si>
    <t>Indice du coût de la construction - ICC -- Identifiant : 000008630</t>
  </si>
  <si>
    <t>Zone géographique</t>
  </si>
  <si>
    <t>France Métropolitaine</t>
  </si>
  <si>
    <t>Mode de représentation</t>
  </si>
  <si>
    <t>Indice</t>
  </si>
  <si>
    <t>Mode de prise en comptes des taxes</t>
  </si>
  <si>
    <t>T.T.C. (Toutes Taxes Comprises)</t>
  </si>
  <si>
    <t>Durée ou moment d'observation</t>
  </si>
  <si>
    <t>Observation sur un trimestre</t>
  </si>
  <si>
    <t>Périodicité des valeurs</t>
  </si>
  <si>
    <t>Trimestrielle</t>
  </si>
  <si>
    <t>Origine des données</t>
  </si>
  <si>
    <t>Institut national de la statistique et des études économiques (Insee) - Département de l'industrie et de l'agriculture</t>
  </si>
  <si>
    <t>Date de la base de l'indice</t>
  </si>
  <si>
    <t>100 = 4ème trimestre 1953</t>
  </si>
  <si>
    <t>Numéro</t>
  </si>
  <si>
    <t>Période</t>
  </si>
  <si>
    <t>Année</t>
  </si>
  <si>
    <t xml:space="preserve">Valeur  </t>
  </si>
  <si>
    <t>Remarque</t>
  </si>
  <si>
    <t>1er trimestre</t>
  </si>
  <si>
    <t xml:space="preserve"> </t>
  </si>
  <si>
    <t>4ème trimestre</t>
  </si>
  <si>
    <t>3ème trimestre</t>
  </si>
  <si>
    <t>2ème trimestre</t>
  </si>
  <si>
    <t>moyennes annuelles</t>
  </si>
  <si>
    <t>données trimestrielles</t>
  </si>
  <si>
    <t>ICC53AN</t>
  </si>
  <si>
    <t>%essm3</t>
  </si>
  <si>
    <t>%gazm3</t>
  </si>
  <si>
    <t>TCessm3</t>
  </si>
  <si>
    <t>TCgasm3</t>
  </si>
  <si>
    <t>Calcul du prix du carburant à partir des ventilations cpdp</t>
  </si>
  <si>
    <t>Super SP 95</t>
  </si>
  <si>
    <t>Super SP 98</t>
  </si>
  <si>
    <t>Prix SP 95</t>
  </si>
  <si>
    <t>Prix SP 98</t>
  </si>
  <si>
    <t>Prix super moyen</t>
  </si>
  <si>
    <t>total Super carbu</t>
  </si>
  <si>
    <t>G15.A5</t>
  </si>
  <si>
    <t>G15.A6</t>
  </si>
  <si>
    <t>indices de prix ménages</t>
  </si>
  <si>
    <t>dépenses en valeur nominale</t>
  </si>
  <si>
    <t>EQUIPMEN</t>
  </si>
  <si>
    <t>MULTIEQUIP</t>
  </si>
  <si>
    <t>total carburant Essences</t>
  </si>
  <si>
    <t xml:space="preserve">3ème trimestre </t>
  </si>
  <si>
    <t xml:space="preserve">2ème trimestre </t>
  </si>
  <si>
    <t xml:space="preserve">1er trimestre </t>
  </si>
  <si>
    <t xml:space="preserve">4ème trimestre </t>
  </si>
  <si>
    <t xml:space="preserve">  </t>
  </si>
  <si>
    <t>Indice prix moyen ESS+SUP 2000</t>
  </si>
  <si>
    <t>G15.A7</t>
  </si>
  <si>
    <t>Dépenses courantes Mega euros</t>
  </si>
  <si>
    <t>Indice de prix carburants</t>
  </si>
  <si>
    <t>Indice trimestriel des prix des logements anciens - France métropolitaine - Ensemble - Indice CVS (Base 100 au 4ème trimestre 2000) -- Identifiant : 000882793</t>
  </si>
  <si>
    <t>Mode de correction temporelle</t>
  </si>
  <si>
    <t>Corrigé des variations saisonnières (CVS)</t>
  </si>
  <si>
    <t>H.T. (Hors Taxes)</t>
  </si>
  <si>
    <t>Institut national de la statistique et des études économiques (Insee) - Département des prix à la consommation, des ressources et des conditions de vie des ménages</t>
  </si>
  <si>
    <t>Base 100 = 4è trimestre 2000</t>
  </si>
  <si>
    <t xml:space="preserve">Provisoire  </t>
  </si>
  <si>
    <t xml:space="preserve">Semi-définitif  </t>
  </si>
  <si>
    <t>Moyennes annuelles</t>
  </si>
  <si>
    <t>INSEENOT00</t>
  </si>
  <si>
    <t>V/100</t>
  </si>
  <si>
    <t>Indice_Debits</t>
  </si>
  <si>
    <t>Dépense nominale de carburant des ménages (Mégaeuros courants)</t>
  </si>
  <si>
    <t>Dépense par voiture (k€2000/Veh)</t>
  </si>
  <si>
    <t>Dépense réelle par habitant (k€2000/hab)</t>
  </si>
  <si>
    <t>Dépense réelle par ménage (k€/mén)</t>
  </si>
  <si>
    <t>Dépense nominale / voiture (€/vit)</t>
  </si>
  <si>
    <t>Dépense nominale par habitant (k€/hab)</t>
  </si>
  <si>
    <t>Dépense nominale par ménage (k€/mén)</t>
  </si>
  <si>
    <t>Dépenses norminales</t>
  </si>
  <si>
    <t>DEPTOT</t>
  </si>
  <si>
    <t>indices de prix déflatés de l'IPC, base 100 en 2000</t>
  </si>
  <si>
    <t>Essence+Super plombé</t>
  </si>
  <si>
    <t>Super Sans plomb</t>
  </si>
  <si>
    <t>GAZOLE</t>
  </si>
  <si>
    <t>Consommation totale de caburant par prix moyen</t>
  </si>
  <si>
    <t>TOTAL des carburants par sommation</t>
  </si>
  <si>
    <t>Quantités physiques reconstituées à partir des dépenses courantes (mégalitres: i.e. = millions € / [€/litre] = millions * litres)</t>
  </si>
  <si>
    <t>FRMkm²-2006</t>
  </si>
  <si>
    <t>FRMkm²-2007</t>
  </si>
  <si>
    <t>FRMkm²-2008</t>
  </si>
  <si>
    <t>FRMkm²-2009</t>
  </si>
  <si>
    <t>FRM_2006</t>
  </si>
  <si>
    <t>FRM_2007</t>
  </si>
  <si>
    <t>FRM_2008</t>
  </si>
  <si>
    <t>FRM_2009</t>
  </si>
  <si>
    <t>AUTO D01</t>
  </si>
  <si>
    <t>Ratio DEPLOG/DEPTRANSP</t>
  </si>
  <si>
    <t>km/v/an</t>
  </si>
  <si>
    <t>Relevés</t>
  </si>
  <si>
    <t>PIBNOM</t>
  </si>
  <si>
    <t>IPVNEUF05</t>
  </si>
  <si>
    <t>PVNEUF05</t>
  </si>
  <si>
    <t>IPCARBU05</t>
  </si>
  <si>
    <t>ANNEE</t>
  </si>
  <si>
    <t>Indices des prix des logements anciens - France métropolitaine - Ensemble - Base 100 au 1er trimestre 2010 - Brut</t>
  </si>
  <si>
    <t>Moyennes annuelles indice base 100 2010 T4</t>
  </si>
  <si>
    <t>TCAM</t>
  </si>
  <si>
    <t>V2005</t>
  </si>
  <si>
    <t>IPGAZ05</t>
  </si>
  <si>
    <t>Indices de prix base 2005</t>
  </si>
  <si>
    <t>Quantités livrées CPDP : milliers de tonnes</t>
  </si>
  <si>
    <t>IPC05</t>
  </si>
  <si>
    <t>Indices de prix, base 100 en 2005</t>
  </si>
  <si>
    <t>IPSUPERS05</t>
  </si>
  <si>
    <t>IPC2050</t>
  </si>
  <si>
    <t>IPESSP05</t>
  </si>
  <si>
    <t>IPSP05</t>
  </si>
  <si>
    <t>IPCARBUS05</t>
  </si>
  <si>
    <t>Occupation physique du territoire en 2010</t>
  </si>
  <si>
    <t>en milliers d'hectares</t>
  </si>
  <si>
    <t>Sols bâtis</t>
  </si>
  <si>
    <t>nd</t>
  </si>
  <si>
    <t>Sols revêtus ou stabilisés</t>
  </si>
  <si>
    <t>Autres sols artificialisés</t>
  </si>
  <si>
    <t>Sols cultivés</t>
  </si>
  <si>
    <t>Sols boisés</t>
  </si>
  <si>
    <t>Landes, friches, maquis, garrigues</t>
  </si>
  <si>
    <t>Surfaces toujours en herbe</t>
  </si>
  <si>
    <t>Sols nus naturels</t>
  </si>
  <si>
    <t>Zones sous les eaux</t>
  </si>
  <si>
    <t>Zones interdites</t>
  </si>
  <si>
    <t>Total</t>
  </si>
  <si>
    <t>dont surfaces artificialisées en %</t>
  </si>
  <si>
    <t>nd : donnée non disponible.</t>
  </si>
  <si>
    <t>r : données révisées.</t>
  </si>
  <si>
    <t>Note : les évolutions sont à étudier avec précaution car les enquêtes successives présentent des ruptures de série.</t>
  </si>
  <si>
    <t>Champ : France métropolitaine.</t>
  </si>
  <si>
    <t>Source : service de la statistique et de la prospective (SSP), enquêtes Teruti et Teruti-Lucas.</t>
  </si>
  <si>
    <t>DEPVN05</t>
  </si>
  <si>
    <t>PVOIT05</t>
  </si>
  <si>
    <t>TCPCARBNOMI</t>
  </si>
  <si>
    <t>TCPCARB05</t>
  </si>
  <si>
    <t>TCRDB05</t>
  </si>
  <si>
    <t>TCRDB05pc</t>
  </si>
  <si>
    <t>TCRDB05pm</t>
  </si>
  <si>
    <t>ECARTNOM</t>
  </si>
  <si>
    <t>ECARTREEL</t>
  </si>
  <si>
    <t>kw/v/an calc</t>
  </si>
  <si>
    <t>Variable</t>
  </si>
  <si>
    <t>Libellé en clair</t>
  </si>
  <si>
    <t>unités</t>
  </si>
  <si>
    <t>Source</t>
  </si>
  <si>
    <t>milliers</t>
  </si>
  <si>
    <t>INSEE</t>
  </si>
  <si>
    <t>Ménages en milieu d'année</t>
  </si>
  <si>
    <t>Consommation essence+super</t>
  </si>
  <si>
    <t>Milliers de m3</t>
  </si>
  <si>
    <t>CPDP</t>
  </si>
  <si>
    <t>Consommation gazole</t>
  </si>
  <si>
    <t>Consommation totale de carburant</t>
  </si>
  <si>
    <t>Consommation totale de carburant par habitant</t>
  </si>
  <si>
    <t>M3 / HAB</t>
  </si>
  <si>
    <t>Francky</t>
  </si>
  <si>
    <t>Consommation totale de carburant par ménage</t>
  </si>
  <si>
    <t>M3 / MEN</t>
  </si>
  <si>
    <t>Consommation totale de carburant (TEP)</t>
  </si>
  <si>
    <t>KTEP</t>
  </si>
  <si>
    <t>TEP / HAB</t>
  </si>
  <si>
    <t>Parc des voitures essence / super</t>
  </si>
  <si>
    <t>CCFA</t>
  </si>
  <si>
    <t>Parc des voitures gazole</t>
  </si>
  <si>
    <t>Parc total des voitures</t>
  </si>
  <si>
    <t>VEH / HAB</t>
  </si>
  <si>
    <t>VEH / MEN</t>
  </si>
  <si>
    <t>prix nominal moyen du litre de super</t>
  </si>
  <si>
    <t>euros / litre</t>
  </si>
  <si>
    <t>prix nominal moyen du litre de gazole</t>
  </si>
  <si>
    <t>prix nominal moyen du litre de carburant</t>
  </si>
  <si>
    <t>prix réel moyen du litre de super</t>
  </si>
  <si>
    <t>prix réel moyen du litre de gazole</t>
  </si>
  <si>
    <t>pcarb95</t>
  </si>
  <si>
    <t>prix réel moyen du litre de carburant</t>
  </si>
  <si>
    <t>Prix relatif du carburant sur la construction</t>
  </si>
  <si>
    <t>Surface de routes+parkings+constructions</t>
  </si>
  <si>
    <t>SCEES</t>
  </si>
  <si>
    <t>Surfaces artificialisées totales</t>
  </si>
  <si>
    <t>longueur total réseau routier</t>
  </si>
  <si>
    <t>km</t>
  </si>
  <si>
    <t>SETRA</t>
  </si>
  <si>
    <t>parcours totaux sur réseau routier</t>
  </si>
  <si>
    <t>vehicules/km</t>
  </si>
  <si>
    <t>débits annuels moyens sur le réseau routier</t>
  </si>
  <si>
    <t>vehicules/jour</t>
  </si>
  <si>
    <t>Consommations conventionnelles voitures neuves super</t>
  </si>
  <si>
    <t>litres / 100 km</t>
  </si>
  <si>
    <t>Consommations conventionnelles voitures neuves gazole</t>
  </si>
  <si>
    <t>Consommations moyennes voitures neuves super</t>
  </si>
  <si>
    <t>Consommations moyennes voitures gazole</t>
  </si>
  <si>
    <t>distance moyenne parcourue des voitures</t>
  </si>
  <si>
    <t>km/an/voiture</t>
  </si>
  <si>
    <t>Consommation totale</t>
  </si>
  <si>
    <t>milliers m3</t>
  </si>
  <si>
    <t>Prix réel de 100 km parcourus</t>
  </si>
  <si>
    <t>Vehicules kilomètres par habitant et par an</t>
  </si>
  <si>
    <t>Vehicules kilomètres par ménage et par an</t>
  </si>
  <si>
    <t>Population au 1 er janvier de l'année T</t>
  </si>
  <si>
    <t>Population au 1 er janvier de l'année T+1</t>
  </si>
  <si>
    <t>Population en milieu d'année =(P(t)+P(t+1))/2</t>
  </si>
  <si>
    <t>Population diffusée par l'INSEE</t>
  </si>
  <si>
    <t>Population urbaine</t>
  </si>
  <si>
    <t>Fraction des ménages équipés d'une automobile</t>
  </si>
  <si>
    <t>Fraction des ménages équipés de deux ou plus autos</t>
  </si>
  <si>
    <t>Part du gazole dans la consommation physique de carburant</t>
  </si>
  <si>
    <t>Part de l'essence dans la consommation physique de carburant</t>
  </si>
  <si>
    <t>Taux de croissance de la consommation physique essence</t>
  </si>
  <si>
    <t>Taux de croissance de la consommation physique gazole</t>
  </si>
  <si>
    <t>Taux de croissance de la consommation physique totale</t>
  </si>
  <si>
    <t>Variation absolue de la consommation physique totale</t>
  </si>
  <si>
    <t>TCcarbum3pc</t>
  </si>
  <si>
    <t>Taux de croissance de la consommation physique par habitant</t>
  </si>
  <si>
    <t>Taux de croissance de la consommation physique par ménage</t>
  </si>
  <si>
    <t>TEP/MEN</t>
  </si>
  <si>
    <t>Tccarbutep</t>
  </si>
  <si>
    <t>TCcarbutepc</t>
  </si>
  <si>
    <t>Tccarbuteppm</t>
  </si>
  <si>
    <t>Taux de croissance de la consommation totale de carburant (TEP)</t>
  </si>
  <si>
    <t>Tccarbutepc</t>
  </si>
  <si>
    <t>Tccarbutepm</t>
  </si>
  <si>
    <t>Taux de croissance de la consommation totale de carburant par habitant</t>
  </si>
  <si>
    <t>Taux de croissance de la consommation totale de carburant par ménage</t>
  </si>
  <si>
    <t>ParcPc</t>
  </si>
  <si>
    <t>Parc essence au 1er janvier T+1</t>
  </si>
  <si>
    <t>ParcESS1JT+1</t>
  </si>
  <si>
    <t>ParcGAZ1JT+1</t>
  </si>
  <si>
    <t>Parc gazole au 1er janvier T+1</t>
  </si>
  <si>
    <t>Parc1JT+1</t>
  </si>
  <si>
    <t>Parc total au 1er janvier T+1</t>
  </si>
  <si>
    <t>ParcESSMMA</t>
  </si>
  <si>
    <t>ParcGAZMMA</t>
  </si>
  <si>
    <t>ParcMMA</t>
  </si>
  <si>
    <t>Parc essence en milieu d'année</t>
  </si>
  <si>
    <t>Parc gazole en milieu d'année</t>
  </si>
  <si>
    <t>Parc total en milieu d'année</t>
  </si>
  <si>
    <t>ParcPCT+1</t>
  </si>
  <si>
    <t>Parc par habitant en début d'année</t>
  </si>
  <si>
    <t>Parc par habitant en milieu d'année</t>
  </si>
  <si>
    <t>Parc par ménage en milieu d'année</t>
  </si>
  <si>
    <t>Immatriculations de véhicules neufs</t>
  </si>
  <si>
    <t>SeOS</t>
  </si>
  <si>
    <t>Véhicules neufs par an</t>
  </si>
  <si>
    <t>Dépenses nominales de consommation finale des ménages</t>
  </si>
  <si>
    <t>Millions  €</t>
  </si>
  <si>
    <t>Taux de croissance des dépenses nominales de consommation finale</t>
  </si>
  <si>
    <t>CFM05GE</t>
  </si>
  <si>
    <t>TCCFM05PM</t>
  </si>
  <si>
    <t>Taux d'épargne brut des ménages</t>
  </si>
  <si>
    <t>Revenu disponible brut nominal des ménages</t>
  </si>
  <si>
    <t>RDBN</t>
  </si>
  <si>
    <t>Millions d'euros courants</t>
  </si>
  <si>
    <t>PIB nominal</t>
  </si>
  <si>
    <t>TCPIBNOM</t>
  </si>
  <si>
    <t>Taux de croissance du PIB nominal</t>
  </si>
  <si>
    <t>Dépense nominale d'acquisition de véhicules neufs des ménages</t>
  </si>
  <si>
    <t>Prix nominal moyen des véhicules neufs des ménages</t>
  </si>
  <si>
    <t>€/VEHICULE</t>
  </si>
  <si>
    <t>100*%</t>
  </si>
  <si>
    <t>Indice de prix des dépenses des ménages en véhicules neufs, déflaté de la consommation des ménages</t>
  </si>
  <si>
    <t>Variation absolue du prix nominal essence</t>
  </si>
  <si>
    <t>€ courants / litre</t>
  </si>
  <si>
    <t>Variation absolue du prix nominal gazole</t>
  </si>
  <si>
    <t>Variation absolue du prix réel moyen du carburant</t>
  </si>
  <si>
    <t>Indice de coût de la construction base 1953</t>
  </si>
  <si>
    <t>SeOS/sources diverses Equipement</t>
  </si>
  <si>
    <t>Vehicules kilomètres par an reconstruits = 1000*PARC*KM_VEH</t>
  </si>
  <si>
    <t>CUM_KM</t>
  </si>
  <si>
    <t>litre / km</t>
  </si>
  <si>
    <t>Densité d'habitants sur les surfaces des routes+parkings+habitat</t>
  </si>
  <si>
    <t>habitant/km²</t>
  </si>
  <si>
    <t>Densité d'habitants sur les surfaces artificialisées</t>
  </si>
  <si>
    <t>Consommation unitaire moyenne apparente observée</t>
  </si>
  <si>
    <t>Consommation unitaire moyenne apparente calculée</t>
  </si>
  <si>
    <t>KM_L</t>
  </si>
  <si>
    <t>€ courants / coupon</t>
  </si>
  <si>
    <t>RATP</t>
  </si>
  <si>
    <t>PCO2Z</t>
  </si>
  <si>
    <t>TC_PCO2Z</t>
  </si>
  <si>
    <t>TC_pcarbu</t>
  </si>
  <si>
    <t>PRELCOCARB</t>
  </si>
  <si>
    <t>TcPRELCOCARB</t>
  </si>
  <si>
    <t>P100KM</t>
  </si>
  <si>
    <t>brut, € courants / heure</t>
  </si>
  <si>
    <t>net, € courants / heure</t>
  </si>
  <si>
    <t>brut, € courants /heure</t>
  </si>
  <si>
    <t>minutes / litre</t>
  </si>
  <si>
    <t>DEPENERGLOG</t>
  </si>
  <si>
    <t>DEPCARBU</t>
  </si>
  <si>
    <t>PARTENERTOTRDB</t>
  </si>
  <si>
    <t>PARTENERTOTCFM</t>
  </si>
  <si>
    <t>VOL_IPENERLOG5</t>
  </si>
  <si>
    <t>POPURB%</t>
  </si>
  <si>
    <t>CFM10</t>
  </si>
  <si>
    <t>IPC2010</t>
  </si>
  <si>
    <t>RDB10</t>
  </si>
  <si>
    <t>TCRDB10</t>
  </si>
  <si>
    <t>cfm10pc</t>
  </si>
  <si>
    <t>TCcfm10pc</t>
  </si>
  <si>
    <t>cfm10pm</t>
  </si>
  <si>
    <t>RDB10pc</t>
  </si>
  <si>
    <t>RDB10pm</t>
  </si>
  <si>
    <t>PIB2010</t>
  </si>
  <si>
    <t>TCPIB2010</t>
  </si>
  <si>
    <t>PIB10PC</t>
  </si>
  <si>
    <t>PIB10PM</t>
  </si>
  <si>
    <t>IPVNEUF10</t>
  </si>
  <si>
    <t>PVNEUF10</t>
  </si>
  <si>
    <t>IPTRANS10</t>
  </si>
  <si>
    <t>PTRANS10</t>
  </si>
  <si>
    <t>IPROUT10</t>
  </si>
  <si>
    <t>PROUT10</t>
  </si>
  <si>
    <t>PMVN10</t>
  </si>
  <si>
    <t>IPLOYMEN10</t>
  </si>
  <si>
    <t>IPLOYIPC10</t>
  </si>
  <si>
    <t>dpess10</t>
  </si>
  <si>
    <t>pess10</t>
  </si>
  <si>
    <t>dpgaz10</t>
  </si>
  <si>
    <t>pgaz10</t>
  </si>
  <si>
    <t>dpcarb10</t>
  </si>
  <si>
    <t>pcarb10</t>
  </si>
  <si>
    <t>tc_parb10</t>
  </si>
  <si>
    <t>ICC5310</t>
  </si>
  <si>
    <t>ICC53IPC10</t>
  </si>
  <si>
    <t>IPLOG10OLD</t>
  </si>
  <si>
    <t>TCIPLOG10OLD</t>
  </si>
  <si>
    <t>IPLOG10</t>
  </si>
  <si>
    <t>TCIPLOG10</t>
  </si>
  <si>
    <t>IPLOG10IPC</t>
  </si>
  <si>
    <t>IPCARBLOG10</t>
  </si>
  <si>
    <t>IPLOGCARB10</t>
  </si>
  <si>
    <t>IPCARBUIPC10</t>
  </si>
  <si>
    <t>IPCARBU10</t>
  </si>
  <si>
    <t>TCIPCARBU10</t>
  </si>
  <si>
    <t>IPLOGANC10</t>
  </si>
  <si>
    <t>IPLOGANCtrim</t>
  </si>
  <si>
    <t>IPGAZ10</t>
  </si>
  <si>
    <t>IPSUPER10</t>
  </si>
  <si>
    <t>pcarbv10pib</t>
  </si>
  <si>
    <t>pcarbt10pib</t>
  </si>
  <si>
    <t>pcarbuv10</t>
  </si>
  <si>
    <t>pcarbt10</t>
  </si>
  <si>
    <t>dpcarbuv10</t>
  </si>
  <si>
    <t>dpcarbv10pib</t>
  </si>
  <si>
    <t>TCparbuv10</t>
  </si>
  <si>
    <t>pcarbut10</t>
  </si>
  <si>
    <t>TCpcarbut10</t>
  </si>
  <si>
    <t>CFM10GE</t>
  </si>
  <si>
    <t>RDB10IPC</t>
  </si>
  <si>
    <t>PLOYM10</t>
  </si>
  <si>
    <t>IPIB2010</t>
  </si>
  <si>
    <t>dgaz10</t>
  </si>
  <si>
    <t>TCIPCARBLOG10</t>
  </si>
  <si>
    <t>IPCARBUICP10</t>
  </si>
  <si>
    <t>pacarbt10pib</t>
  </si>
  <si>
    <t>P100KM10</t>
  </si>
  <si>
    <t>Dépenses réelles de consommation finale des ménages, base 2010</t>
  </si>
  <si>
    <t>Dépenses réelles de consommation finale des ménages par habitant, base 2010</t>
  </si>
  <si>
    <t>Taux de croissance des dépenses réelles de consommation finale des ménages par habitant, base 2010</t>
  </si>
  <si>
    <t>Dépenses réelles de consommation finale des ménages par ménage, base 2010</t>
  </si>
  <si>
    <t>Taux de croissance des dépenses réelles de consommation finale des ménages par ménage, base 2010</t>
  </si>
  <si>
    <t>Revenu disponible brut réel des ménages, base 2010, déflateur IPC</t>
  </si>
  <si>
    <t>Taux de croissance du Revenu disponible brut réel des ménages, base 2010, déflateur IPC</t>
  </si>
  <si>
    <t>Revenu disponible des ménages base 2010 par habitant</t>
  </si>
  <si>
    <t>Revenu disponible des ménages base 2010 par ménage</t>
  </si>
  <si>
    <t>PIB réel, base 2010</t>
  </si>
  <si>
    <t>Taux de croissance du PIB réel, base 2010</t>
  </si>
  <si>
    <t>PIB réel par habitant, base 2010</t>
  </si>
  <si>
    <t>PIB réel par ménage, base 2010</t>
  </si>
  <si>
    <t>Indice de prix des dépenses des ménages en véhicules neufs, base 2010</t>
  </si>
  <si>
    <t>Prix réel moyen des véhicules neufs des ménages, base 2010</t>
  </si>
  <si>
    <t>Indice de prix des dépenses de transports des ménages, base 2010</t>
  </si>
  <si>
    <t>Prix réel des dépenses de transports des ménages, base 2010 = IPTRANS10/IPC10</t>
  </si>
  <si>
    <t>Indice de prix des dépenses de transports routiers des ménages, base 2010</t>
  </si>
  <si>
    <t>Prix réel des dépenses de transports routiers des ménages, base 2010 = IPROUT10/IPC10</t>
  </si>
  <si>
    <t>Indice de prix des loyers effectifs des ménages, base 2010</t>
  </si>
  <si>
    <t>Prix réel des loyers effectifs des ménages, base 2010, = IPLOYMEN10/IPC10</t>
  </si>
  <si>
    <t>Indice de prix des dépenses de consommation des ménages, base 2010</t>
  </si>
  <si>
    <t>Indice de prix du PIB, base 2010</t>
  </si>
  <si>
    <t>Indice de coût de la construction base 2010</t>
  </si>
  <si>
    <t>Prix relatif construction neuve sur IPC10</t>
  </si>
  <si>
    <t>Prix des logements anciens base 2010 (ancienne série, pour info)</t>
  </si>
  <si>
    <t>Taux de croissance du prix des logements anciens base 2010  (ancienne série, pour info)</t>
  </si>
  <si>
    <t>Prix des logements anciens base 2010</t>
  </si>
  <si>
    <t>Taux de croissance du prix des logements anciens base 2010</t>
  </si>
  <si>
    <t>Prix relatif des logements anciens en IPC 2010</t>
  </si>
  <si>
    <t>Prix relatif du carburant sur les logements anciens 2010</t>
  </si>
  <si>
    <t>Taux de croissance du prix relatif du carburant sur les logements anciens 2010</t>
  </si>
  <si>
    <t>Prix relatif du carburant en IPC 2010</t>
  </si>
  <si>
    <t>Indice de prix du carburant en base 2010</t>
  </si>
  <si>
    <t>Taux de croissance de l'indice de prix du carburant en base 2010</t>
  </si>
  <si>
    <t>Indice de prix du gazole en base 2010</t>
  </si>
  <si>
    <t>Indice de prix du super en base 2010</t>
  </si>
  <si>
    <t>Prix réel du carburant en volume physique déflaté du prix du PIB base 2010</t>
  </si>
  <si>
    <t>Prix réel du carburant en tep déflaté de l'indice de prix du PIB base 2010</t>
  </si>
  <si>
    <t>Prix réel du carburant en volume physique déflaté de l'IPC 2010</t>
  </si>
  <si>
    <t>Prix réel du carburant en tep déflaté de l'IPC 2010</t>
  </si>
  <si>
    <t>Variation absolue du prix réel du carburant en volume physique déflaté de l'IPC 2010</t>
  </si>
  <si>
    <t>Variation absolue du prix réel du carburant en volume physique déflaté du prix du pib 2010</t>
  </si>
  <si>
    <t>Taux de croissance du prix réel du carburant en volume physique déflaté de l'IPC 2010</t>
  </si>
  <si>
    <t>Prix moyen des carburants en tep, déflaté de l'indice des prix à la consommation base 2010</t>
  </si>
  <si>
    <t>Taux de croissance du prix moyen des carburants en tep, déflaté de l'indice des prix à la consommation base 2010</t>
  </si>
  <si>
    <t>copie de pcarbuv10, par commodité pour calcul de P100KM10</t>
  </si>
  <si>
    <t>Millions  €2010</t>
  </si>
  <si>
    <t>Milliards  €2010</t>
  </si>
  <si>
    <t>k€2010/HAB</t>
  </si>
  <si>
    <t>k€2010/MEN</t>
  </si>
  <si>
    <t>keuros 2010 / hab</t>
  </si>
  <si>
    <t>keuros 2010 / men</t>
  </si>
  <si>
    <t>k€2010 / HAB</t>
  </si>
  <si>
    <t>€2010/VEHICULE</t>
  </si>
  <si>
    <t>euros2010 / litre</t>
  </si>
  <si>
    <t>€2010/litre</t>
  </si>
  <si>
    <t>€2010/tep</t>
  </si>
  <si>
    <t>euros 10 / 100 km</t>
  </si>
  <si>
    <t>PCJ2Z10</t>
  </si>
  <si>
    <t>TC_PCO2Z10</t>
  </si>
  <si>
    <t>Smic horaire brut</t>
  </si>
  <si>
    <t>Smic mensuel brut pour 151,67 heures de travail</t>
  </si>
  <si>
    <t>Smic mensuel brut pour 169 heures de travail</t>
  </si>
  <si>
    <t>Date de parution au JO</t>
  </si>
  <si>
    <t>/// : absence de résultat due à la nature des choses.</t>
  </si>
  <si>
    <t>Note : le smic horaire brut en euros est apprécié à la date d'entrée en vigueur du nouveau taux. Il peut donc y avoir un changement de taux en cours d'année.</t>
  </si>
  <si>
    <t>Champ : France.</t>
  </si>
  <si>
    <t>Source : ministère du Travail, de l'Emploi, de la Formation professionnelle et du Dialogue social.</t>
  </si>
  <si>
    <t>///</t>
  </si>
  <si>
    <t>http://www.insee.fr/fr/themes/tableau.asp?ref_id=natnon04145</t>
  </si>
  <si>
    <t xml:space="preserve">SMIC horaire net </t>
  </si>
  <si>
    <t>http://www.smic-horaire.fr/#smic_janvier_2014</t>
  </si>
  <si>
    <t>DEPESS</t>
  </si>
  <si>
    <t>DEPSUPERSP</t>
  </si>
  <si>
    <t>DEPGASOIL</t>
  </si>
  <si>
    <t>IPENERGLOG10</t>
  </si>
  <si>
    <t>IPENERLOG10</t>
  </si>
  <si>
    <t>SERVTRANSP</t>
  </si>
  <si>
    <t>sols bâtis</t>
  </si>
  <si>
    <t>sols revêtus</t>
  </si>
  <si>
    <t>autres sols artificiels</t>
  </si>
  <si>
    <t>surfaces artificielles</t>
  </si>
  <si>
    <t>sols bâtis et revêtus</t>
  </si>
  <si>
    <t>surface totale métropole</t>
  </si>
  <si>
    <t>landes</t>
  </si>
  <si>
    <t>Zones humides et sous les eaux</t>
  </si>
  <si>
    <t>données actualisées métropole, tables TERUTI, serveur DISAR 2006-2014</t>
  </si>
  <si>
    <t>https://stats.agriculture.gouv.fr/disar</t>
  </si>
  <si>
    <t>Indice de prix moyen du carburant base 2010</t>
  </si>
  <si>
    <t>Séries INSEE consommations détaillées des ménages, produits, 1959-2014</t>
  </si>
  <si>
    <t/>
  </si>
  <si>
    <t>Mt Super</t>
  </si>
  <si>
    <t>Mt Gasoil</t>
  </si>
  <si>
    <t>Indices de prix INSEE base 2010</t>
  </si>
  <si>
    <t>Prix relatifs base 2010</t>
  </si>
  <si>
    <t>IP_ESS_SPb10</t>
  </si>
  <si>
    <t>IP_SUPSPb10</t>
  </si>
  <si>
    <t>IP_GAZOLE10</t>
  </si>
  <si>
    <t>IP_LUBRI10</t>
  </si>
  <si>
    <t>IPC10</t>
  </si>
  <si>
    <t>Dépense réelle de carburant des ménages (M€2010)</t>
  </si>
  <si>
    <t>VOITNEUF</t>
  </si>
  <si>
    <t>IPROUTE10</t>
  </si>
  <si>
    <t>PROUTE10</t>
  </si>
  <si>
    <t>IPLOYCARBU10</t>
  </si>
  <si>
    <t>Trimestre</t>
  </si>
  <si>
    <t>Valeur</t>
  </si>
  <si>
    <t>Parution au J.O.</t>
  </si>
  <si>
    <t>T2</t>
  </si>
  <si>
    <t>1 676,75</t>
  </si>
  <si>
    <t>T1</t>
  </si>
  <si>
    <t>1 668,00</t>
  </si>
  <si>
    <t>T4</t>
  </si>
  <si>
    <t>1 662,75</t>
  </si>
  <si>
    <t>T3</t>
  </si>
  <si>
    <t>1 657,25</t>
  </si>
  <si>
    <t>1 650,50</t>
  </si>
  <si>
    <t>1 640,00</t>
  </si>
  <si>
    <t>1 631,25</t>
  </si>
  <si>
    <t>1 627,25</t>
  </si>
  <si>
    <t>1 618,50</t>
  </si>
  <si>
    <t>1 616,50</t>
  </si>
  <si>
    <t>1 620,75</t>
  </si>
  <si>
    <t>1 619,75</t>
  </si>
  <si>
    <t>1 624,50</t>
  </si>
  <si>
    <t>1 626,25</t>
  </si>
  <si>
    <t>1 630,25</t>
  </si>
  <si>
    <t>1 627,75</t>
  </si>
  <si>
    <t>1 624,00</t>
  </si>
  <si>
    <t>1 628,00</t>
  </si>
  <si>
    <t>Moyenne annuelle</t>
  </si>
  <si>
    <t>Indices de prix des logements anciens Métropole</t>
  </si>
  <si>
    <t>trimestre</t>
  </si>
  <si>
    <t>année</t>
  </si>
  <si>
    <t>Calculs 2014-2017</t>
  </si>
  <si>
    <t>PCARBNOM</t>
  </si>
  <si>
    <t>PNOM100KM</t>
  </si>
  <si>
    <t>Minutes SMIC net par litre de carburant</t>
  </si>
  <si>
    <t>heures / 100 km</t>
  </si>
  <si>
    <t>Heures de SMIC net pour 100 km</t>
  </si>
  <si>
    <t>Base CARBECO, CIRED UMR 8568 CNRS, édition 2018</t>
  </si>
  <si>
    <t>Cette base réunit de manière harmonisée des séries d'horizons variés sur la consommation de carburant automobile et la macroéconomie</t>
  </si>
  <si>
    <t>La base CARBECO est une base de donnée créée au Cired depuis 2001 et mise à jour régulièrement.</t>
  </si>
  <si>
    <t>Cette version contient des agrégats en base de 2010 de l'INSEE</t>
  </si>
  <si>
    <t>C'est la dernière version dans cette base.</t>
  </si>
  <si>
    <t>Kilomètre par litre</t>
  </si>
  <si>
    <t>km/litre</t>
  </si>
  <si>
    <t>Prix nominal du coupon mensuel 2 Zones</t>
  </si>
  <si>
    <t>Prix réel du coupon mensuel 2 zones, base 2010</t>
  </si>
  <si>
    <t>Taux de croissance du Prix nominal du coupon mensuel 2 Zones</t>
  </si>
  <si>
    <t>Prix relatif du coupon navigo mensuel sur le litre de carburant</t>
  </si>
  <si>
    <t>%/an</t>
  </si>
  <si>
    <t>Calcul CIRED</t>
  </si>
  <si>
    <t>nombre pur</t>
  </si>
  <si>
    <t>Lien</t>
  </si>
  <si>
    <t>Taux de croissance du Prix relatif du coupon navigo mensuel sur le litre de carburant</t>
  </si>
  <si>
    <t>Minutes SMIC brut par litre de carburant</t>
  </si>
  <si>
    <t>Taux horaire du smic net nominal</t>
  </si>
  <si>
    <t>Taux horaire du smic brut nominal</t>
  </si>
  <si>
    <t>Smic brut nominal</t>
  </si>
  <si>
    <t>Heures de smic brut pour 100 km de carburant</t>
  </si>
  <si>
    <t>SMIC horaire brut nominal (série originale)</t>
  </si>
  <si>
    <t>SMIC horaire net nominal  (série rétropolée)</t>
  </si>
  <si>
    <t>Minutes de travail au SMIG brut pour obtenir un litre de carburant</t>
  </si>
  <si>
    <t>Minutes de travail au SMIG net pour obtenir un litre de carburant</t>
  </si>
  <si>
    <t>Heures de travail au SMIC brut pour obtenir le carburant pour 100 km</t>
  </si>
  <si>
    <t>Heures de travail au SMIC net pour obtenir le carburant pour 100 km</t>
  </si>
  <si>
    <t>Nb km par heure de smic net</t>
  </si>
  <si>
    <t>Nb heure de smic net pour km moyen</t>
  </si>
  <si>
    <t>Nombre de km parcourus moyens pour une heure de smic net</t>
  </si>
  <si>
    <t>km / hsmic net</t>
  </si>
  <si>
    <t>Nomreb d'heures de travail au taux horaire net du smic pour obtenir le parcours annuel moyen des voitures</t>
  </si>
  <si>
    <t>heures / an</t>
  </si>
  <si>
    <t>http://www.smic-horaire.fr</t>
  </si>
  <si>
    <t>indices de prix base 100 en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</si>
</sst>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4" formatCode="_-* #,##0.00\ &quot;€&quot;_-;\-* #,##0.00\ &quot;€&quot;_-;_-* &quot;-&quot;??\ &quot;€&quot;_-;_-@_-"/>
    <numFmt numFmtId="43" formatCode="_-* #,##0.00\ _€_-;\-* #,##0.00\ _€_-;_-* &quot;-&quot;??\ _€_-;_-@_-"/>
    <numFmt numFmtId="164" formatCode="0.000"/>
    <numFmt numFmtId="165" formatCode="0.0"/>
    <numFmt numFmtId="166" formatCode="0.0000"/>
    <numFmt numFmtId="167" formatCode="0.0%"/>
    <numFmt numFmtId="168" formatCode="0_ ;\-0\ "/>
    <numFmt numFmtId="169" formatCode="#,##0.0"/>
    <numFmt numFmtId="170" formatCode="[$€-2]\ #,##0;[Red]\-[$€-2]\ #,##0"/>
    <numFmt numFmtId="171" formatCode="##0.0;\-##0.0;0"/>
    <numFmt numFmtId="172" formatCode="#,##0\ _ "/>
  </numFmts>
  <fonts count="33" x14ac:knownFonts="1">
    <font>
      <sz val="10"/>
      <name val="Courier"/>
    </font>
    <font>
      <sz val="10"/>
      <name val="DejaVu Serif"/>
      <family val="1"/>
    </font>
    <font>
      <sz val="10"/>
      <name val="Courier"/>
      <family val="3"/>
    </font>
    <font>
      <sz val="10"/>
      <name val="Arial"/>
      <family val="2"/>
    </font>
    <font>
      <sz val="10"/>
      <name val="Courier"/>
      <family val="3"/>
    </font>
    <font>
      <sz val="8"/>
      <name val="MS Sans Serif"/>
      <family val="2"/>
    </font>
    <font>
      <b/>
      <sz val="8"/>
      <color indexed="81"/>
      <name val="Tahoma"/>
      <family val="2"/>
    </font>
    <font>
      <sz val="8"/>
      <color indexed="81"/>
      <name val="Tahoma"/>
      <family val="2"/>
    </font>
    <font>
      <sz val="10"/>
      <color indexed="81"/>
      <name val="Tahoma"/>
      <family val="2"/>
    </font>
    <font>
      <b/>
      <sz val="10"/>
      <color indexed="81"/>
      <name val="Tahoma"/>
      <family val="2"/>
    </font>
    <font>
      <sz val="8"/>
      <name val="Courier"/>
      <family val="3"/>
    </font>
    <font>
      <b/>
      <sz val="10"/>
      <name val="Arial"/>
      <family val="2"/>
    </font>
    <font>
      <b/>
      <sz val="10"/>
      <name val="Courier"/>
      <family val="3"/>
    </font>
    <font>
      <b/>
      <sz val="10"/>
      <color indexed="12"/>
      <name val="Courier"/>
      <family val="3"/>
    </font>
    <font>
      <sz val="10"/>
      <name val="DejaVu Serif"/>
      <family val="1"/>
    </font>
    <font>
      <sz val="8"/>
      <name val="DejaVu Serif"/>
      <family val="1"/>
    </font>
    <font>
      <b/>
      <sz val="10"/>
      <name val="DejaVu Serif"/>
      <family val="1"/>
    </font>
    <font>
      <sz val="10"/>
      <color indexed="18"/>
      <name val="DejaVu Serif"/>
      <family val="1"/>
    </font>
    <font>
      <sz val="9"/>
      <name val="DejaVu Serif"/>
      <family val="1"/>
    </font>
    <font>
      <sz val="9"/>
      <color theme="1"/>
      <name val="DejaVu Serif"/>
      <family val="1"/>
    </font>
    <font>
      <sz val="10"/>
      <name val="Arial"/>
      <family val="2"/>
    </font>
    <font>
      <sz val="9"/>
      <name val="Arial"/>
      <family val="2"/>
    </font>
    <font>
      <sz val="8"/>
      <name val="Arial"/>
      <family val="2"/>
    </font>
    <font>
      <sz val="10"/>
      <color theme="1"/>
      <name val="Arial Unicode MS"/>
      <family val="2"/>
    </font>
    <font>
      <sz val="9"/>
      <color indexed="81"/>
      <name val="Tahoma"/>
      <family val="2"/>
    </font>
    <font>
      <b/>
      <sz val="9"/>
      <color indexed="81"/>
      <name val="Tahoma"/>
      <family val="2"/>
    </font>
    <font>
      <sz val="10"/>
      <name val="MS Sans Serif"/>
      <family val="2"/>
    </font>
    <font>
      <b/>
      <sz val="8"/>
      <name val="Arial"/>
      <family val="2"/>
    </font>
    <font>
      <b/>
      <sz val="10"/>
      <color indexed="81"/>
      <name val="Courier"/>
      <family val="3"/>
    </font>
    <font>
      <sz val="10"/>
      <color rgb="FFFF0000"/>
      <name val="DejaVu Serif"/>
      <family val="1"/>
    </font>
    <font>
      <u/>
      <sz val="10"/>
      <color theme="10"/>
      <name val="Courier"/>
      <family val="3"/>
    </font>
    <font>
      <sz val="9"/>
      <color indexed="81"/>
      <name val="Tahoma"/>
      <charset val="1"/>
    </font>
    <font>
      <b/>
      <sz val="9"/>
      <color indexed="81"/>
      <name val="Tahoma"/>
      <charset val="1"/>
    </font>
  </fonts>
  <fills count="15">
    <fill>
      <patternFill patternType="none"/>
    </fill>
    <fill>
      <patternFill patternType="gray125"/>
    </fill>
    <fill>
      <patternFill patternType="solid">
        <fgColor indexed="50"/>
        <bgColor indexed="64"/>
      </patternFill>
    </fill>
    <fill>
      <patternFill patternType="solid">
        <fgColor indexed="51"/>
        <bgColor indexed="64"/>
      </patternFill>
    </fill>
    <fill>
      <patternFill patternType="solid">
        <fgColor indexed="46"/>
        <bgColor indexed="64"/>
      </patternFill>
    </fill>
    <fill>
      <patternFill patternType="solid">
        <fgColor indexed="44"/>
        <bgColor indexed="64"/>
      </patternFill>
    </fill>
    <fill>
      <patternFill patternType="solid">
        <fgColor indexed="52"/>
        <bgColor indexed="64"/>
      </patternFill>
    </fill>
    <fill>
      <patternFill patternType="solid">
        <fgColor indexed="49"/>
        <bgColor indexed="64"/>
      </patternFill>
    </fill>
    <fill>
      <patternFill patternType="solid">
        <fgColor indexed="53"/>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rgb="FFB685DB"/>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1">
    <xf numFmtId="0" fontId="0" fillId="0" borderId="0"/>
    <xf numFmtId="44" fontId="2" fillId="0" borderId="0" applyFont="0" applyFill="0" applyBorder="0" applyAlignment="0" applyProtection="0"/>
    <xf numFmtId="43" fontId="2" fillId="0" borderId="0" applyFont="0" applyFill="0" applyBorder="0" applyAlignment="0" applyProtection="0"/>
    <xf numFmtId="0" fontId="3" fillId="0" borderId="0"/>
    <xf numFmtId="0" fontId="3" fillId="0" borderId="0"/>
    <xf numFmtId="0" fontId="3" fillId="0" borderId="0"/>
    <xf numFmtId="0" fontId="3" fillId="0" borderId="0"/>
    <xf numFmtId="9" fontId="2" fillId="0" borderId="0" applyFont="0" applyFill="0" applyBorder="0" applyAlignment="0" applyProtection="0"/>
    <xf numFmtId="0" fontId="20" fillId="0" borderId="0"/>
    <xf numFmtId="0" fontId="26" fillId="0" borderId="0"/>
    <xf numFmtId="0" fontId="30" fillId="0" borderId="0" applyNumberFormat="0" applyFill="0" applyBorder="0" applyAlignment="0" applyProtection="0"/>
  </cellStyleXfs>
  <cellXfs count="218">
    <xf numFmtId="0" fontId="0" fillId="0" borderId="0" xfId="0"/>
    <xf numFmtId="0" fontId="4" fillId="0" borderId="0" xfId="0" applyFont="1"/>
    <xf numFmtId="1" fontId="4" fillId="0" borderId="0" xfId="0" applyNumberFormat="1" applyFont="1"/>
    <xf numFmtId="0" fontId="4" fillId="0" borderId="0" xfId="0" applyFont="1" applyFill="1"/>
    <xf numFmtId="0" fontId="4" fillId="2" borderId="0" xfId="0" applyFont="1" applyFill="1"/>
    <xf numFmtId="0" fontId="4" fillId="0" borderId="0" xfId="0" applyFont="1" applyBorder="1"/>
    <xf numFmtId="164" fontId="0" fillId="0" borderId="0" xfId="0" applyNumberFormat="1"/>
    <xf numFmtId="1" fontId="0" fillId="0" borderId="0" xfId="0" applyNumberFormat="1"/>
    <xf numFmtId="165" fontId="0" fillId="0" borderId="0" xfId="0" applyNumberFormat="1"/>
    <xf numFmtId="166" fontId="0" fillId="0" borderId="0" xfId="0" applyNumberFormat="1"/>
    <xf numFmtId="2"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2" borderId="0" xfId="0" applyFill="1"/>
    <xf numFmtId="2" fontId="0" fillId="2" borderId="0" xfId="0" applyNumberFormat="1" applyFill="1"/>
    <xf numFmtId="0" fontId="4" fillId="2" borderId="0" xfId="0" applyFont="1" applyFill="1" applyBorder="1"/>
    <xf numFmtId="165" fontId="4" fillId="0" borderId="0" xfId="0" applyNumberFormat="1" applyFont="1" applyBorder="1"/>
    <xf numFmtId="166" fontId="4" fillId="0" borderId="0" xfId="0" applyNumberFormat="1" applyFont="1" applyBorder="1"/>
    <xf numFmtId="1" fontId="4" fillId="0" borderId="0" xfId="0" applyNumberFormat="1" applyFont="1" applyBorder="1"/>
    <xf numFmtId="1" fontId="4" fillId="0" borderId="0" xfId="0" applyNumberFormat="1" applyFont="1" applyFill="1" applyBorder="1"/>
    <xf numFmtId="2" fontId="4" fillId="0" borderId="0" xfId="0" applyNumberFormat="1" applyFont="1" applyBorder="1"/>
    <xf numFmtId="165" fontId="4" fillId="0" borderId="0" xfId="0" applyNumberFormat="1" applyFont="1" applyFill="1" applyBorder="1"/>
    <xf numFmtId="0" fontId="12" fillId="0" borderId="0" xfId="0" applyFont="1"/>
    <xf numFmtId="1" fontId="12" fillId="0" borderId="0" xfId="0" applyNumberFormat="1" applyFont="1"/>
    <xf numFmtId="167" fontId="0" fillId="0" borderId="0" xfId="7" applyNumberFormat="1" applyFont="1"/>
    <xf numFmtId="0" fontId="13" fillId="0" borderId="0" xfId="0" applyFont="1"/>
    <xf numFmtId="1" fontId="13" fillId="0" borderId="0" xfId="0" applyNumberFormat="1" applyFont="1"/>
    <xf numFmtId="0" fontId="4" fillId="0" borderId="0" xfId="0" applyFont="1" applyFill="1" applyBorder="1"/>
    <xf numFmtId="1" fontId="0" fillId="0" borderId="0" xfId="0" applyNumberFormat="1" applyBorder="1"/>
    <xf numFmtId="168" fontId="5" fillId="3" borderId="0" xfId="2" applyNumberFormat="1" applyFont="1" applyFill="1" applyBorder="1" applyAlignment="1">
      <alignment wrapText="1"/>
    </xf>
    <xf numFmtId="2" fontId="0" fillId="0" borderId="0" xfId="0" applyNumberFormat="1" applyBorder="1"/>
    <xf numFmtId="0" fontId="0" fillId="0" borderId="0" xfId="0" applyBorder="1"/>
    <xf numFmtId="165" fontId="0" fillId="0" borderId="0" xfId="0" applyNumberFormat="1" applyBorder="1"/>
    <xf numFmtId="0" fontId="3" fillId="0" borderId="0" xfId="6"/>
    <xf numFmtId="0" fontId="3" fillId="0" borderId="0" xfId="6" applyFont="1"/>
    <xf numFmtId="0" fontId="11" fillId="0" borderId="0" xfId="6" applyNumberFormat="1" applyFont="1"/>
    <xf numFmtId="0" fontId="11" fillId="0" borderId="0" xfId="6" applyFont="1"/>
    <xf numFmtId="1" fontId="3" fillId="0" borderId="0" xfId="6" applyNumberFormat="1"/>
    <xf numFmtId="0" fontId="0" fillId="0" borderId="0" xfId="0" applyAlignment="1">
      <alignment horizontal="left"/>
    </xf>
    <xf numFmtId="0" fontId="4" fillId="0" borderId="0" xfId="0" applyFont="1" applyBorder="1" applyAlignment="1">
      <alignment horizontal="center" vertical="center" wrapText="1"/>
    </xf>
    <xf numFmtId="0" fontId="0" fillId="2" borderId="0"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Fill="1" applyBorder="1"/>
    <xf numFmtId="165" fontId="0" fillId="0" borderId="0" xfId="0" applyNumberFormat="1" applyFill="1" applyBorder="1"/>
    <xf numFmtId="0" fontId="3" fillId="0" borderId="0" xfId="5"/>
    <xf numFmtId="165" fontId="3" fillId="0" borderId="0" xfId="1" applyNumberFormat="1" applyFont="1"/>
    <xf numFmtId="0" fontId="11" fillId="0" borderId="0" xfId="5" applyFont="1"/>
    <xf numFmtId="0" fontId="3" fillId="0" borderId="0" xfId="5" applyFont="1"/>
    <xf numFmtId="164" fontId="3" fillId="0" borderId="0" xfId="5" applyNumberFormat="1"/>
    <xf numFmtId="1" fontId="0" fillId="0" borderId="0" xfId="0" applyNumberFormat="1" applyFill="1" applyBorder="1"/>
    <xf numFmtId="0" fontId="0" fillId="0" borderId="0" xfId="0" applyFill="1" applyBorder="1" applyAlignment="1">
      <alignment horizontal="center" vertical="center" wrapText="1"/>
    </xf>
    <xf numFmtId="0" fontId="12" fillId="0" borderId="0" xfId="0" applyFont="1" applyFill="1" applyBorder="1"/>
    <xf numFmtId="0" fontId="4" fillId="4" borderId="0" xfId="0" applyFont="1" applyFill="1" applyBorder="1"/>
    <xf numFmtId="0" fontId="0" fillId="4" borderId="0" xfId="0" applyFill="1"/>
    <xf numFmtId="166" fontId="3" fillId="0" borderId="0" xfId="5" applyNumberFormat="1"/>
    <xf numFmtId="1" fontId="4" fillId="4" borderId="0" xfId="0" applyNumberFormat="1" applyFont="1" applyFill="1" applyBorder="1"/>
    <xf numFmtId="0" fontId="4" fillId="4" borderId="0" xfId="0" applyNumberFormat="1" applyFont="1" applyFill="1" applyBorder="1"/>
    <xf numFmtId="0" fontId="3" fillId="0" borderId="0" xfId="4"/>
    <xf numFmtId="0" fontId="3" fillId="0" borderId="0" xfId="4" applyAlignment="1">
      <alignment horizontal="center" vertical="center" wrapText="1"/>
    </xf>
    <xf numFmtId="1" fontId="0" fillId="2" borderId="0" xfId="0" applyNumberFormat="1" applyFill="1"/>
    <xf numFmtId="0" fontId="14" fillId="0" borderId="0" xfId="0" applyFont="1"/>
    <xf numFmtId="0" fontId="4" fillId="0" borderId="0" xfId="0" applyFont="1" applyBorder="1" applyAlignment="1">
      <alignment horizontal="left"/>
    </xf>
    <xf numFmtId="0" fontId="14" fillId="0" borderId="0" xfId="0" applyFont="1" applyAlignment="1">
      <alignment horizontal="left"/>
    </xf>
    <xf numFmtId="0" fontId="14" fillId="0" borderId="0" xfId="0" applyFont="1" applyBorder="1" applyAlignment="1">
      <alignment horizontal="left"/>
    </xf>
    <xf numFmtId="0" fontId="4" fillId="0" borderId="0" xfId="0" applyFont="1" applyFill="1" applyBorder="1" applyAlignment="1">
      <alignment horizontal="left"/>
    </xf>
    <xf numFmtId="0" fontId="14" fillId="0" borderId="0" xfId="0" applyFont="1" applyFill="1" applyBorder="1" applyAlignment="1">
      <alignment horizontal="left"/>
    </xf>
    <xf numFmtId="170" fontId="14" fillId="0" borderId="0" xfId="0" applyNumberFormat="1" applyFont="1"/>
    <xf numFmtId="0" fontId="14" fillId="0" borderId="0" xfId="0" applyFont="1" applyBorder="1"/>
    <xf numFmtId="0" fontId="14" fillId="0" borderId="0" xfId="0" applyFont="1" applyFill="1" applyBorder="1"/>
    <xf numFmtId="0" fontId="14" fillId="0" borderId="0" xfId="0" applyFont="1" applyAlignment="1">
      <alignment horizontal="center" vertical="center" wrapText="1"/>
    </xf>
    <xf numFmtId="0" fontId="14" fillId="0" borderId="0" xfId="0" applyFont="1" applyBorder="1" applyAlignment="1">
      <alignment horizontal="center" vertical="center" wrapText="1"/>
    </xf>
    <xf numFmtId="0" fontId="14" fillId="0" borderId="0" xfId="0" applyFont="1" applyFill="1" applyBorder="1" applyAlignment="1">
      <alignment horizontal="center" vertical="center" wrapText="1"/>
    </xf>
    <xf numFmtId="1" fontId="14" fillId="0" borderId="0" xfId="0" applyNumberFormat="1" applyFont="1" applyBorder="1"/>
    <xf numFmtId="165" fontId="14" fillId="6" borderId="0" xfId="0" applyNumberFormat="1" applyFont="1" applyFill="1" applyBorder="1"/>
    <xf numFmtId="164" fontId="14" fillId="0" borderId="0" xfId="0" applyNumberFormat="1" applyFont="1" applyBorder="1"/>
    <xf numFmtId="166" fontId="14" fillId="0" borderId="0" xfId="0" applyNumberFormat="1" applyFont="1" applyBorder="1"/>
    <xf numFmtId="168" fontId="15" fillId="3" borderId="0" xfId="2" applyNumberFormat="1" applyFont="1" applyFill="1" applyBorder="1" applyAlignment="1">
      <alignment wrapText="1"/>
    </xf>
    <xf numFmtId="165" fontId="14" fillId="0" borderId="0" xfId="0" applyNumberFormat="1" applyFont="1" applyBorder="1"/>
    <xf numFmtId="2" fontId="14" fillId="0" borderId="0" xfId="0" applyNumberFormat="1" applyFont="1" applyBorder="1"/>
    <xf numFmtId="164" fontId="14" fillId="2" borderId="0" xfId="0" applyNumberFormat="1" applyFont="1" applyFill="1" applyBorder="1"/>
    <xf numFmtId="1" fontId="14" fillId="0" borderId="0" xfId="0" applyNumberFormat="1" applyFont="1" applyFill="1" applyBorder="1"/>
    <xf numFmtId="1" fontId="14" fillId="0" borderId="0" xfId="0" applyNumberFormat="1" applyFont="1" applyBorder="1" applyAlignment="1"/>
    <xf numFmtId="165" fontId="14" fillId="0" borderId="0" xfId="0" applyNumberFormat="1" applyFont="1" applyBorder="1" applyAlignment="1"/>
    <xf numFmtId="165" fontId="14" fillId="0" borderId="0" xfId="0" applyNumberFormat="1" applyFont="1" applyFill="1" applyBorder="1"/>
    <xf numFmtId="165" fontId="14" fillId="4" borderId="0" xfId="0" applyNumberFormat="1" applyFont="1" applyFill="1" applyBorder="1"/>
    <xf numFmtId="165" fontId="14" fillId="2" borderId="0" xfId="0" applyNumberFormat="1" applyFont="1" applyFill="1" applyBorder="1"/>
    <xf numFmtId="2" fontId="14" fillId="0" borderId="0" xfId="3" applyNumberFormat="1" applyFont="1" applyFill="1" applyBorder="1" applyAlignment="1">
      <alignment horizontal="right" vertical="center" wrapText="1"/>
    </xf>
    <xf numFmtId="165" fontId="14" fillId="0" borderId="0" xfId="6" applyNumberFormat="1" applyFont="1"/>
    <xf numFmtId="2" fontId="14" fillId="0" borderId="0" xfId="0" applyNumberFormat="1" applyFont="1" applyFill="1" applyBorder="1"/>
    <xf numFmtId="165" fontId="14" fillId="0" borderId="0" xfId="0" applyNumberFormat="1" applyFont="1"/>
    <xf numFmtId="165" fontId="16" fillId="6" borderId="0" xfId="0" applyNumberFormat="1" applyFont="1" applyFill="1" applyBorder="1"/>
    <xf numFmtId="164" fontId="14" fillId="0" borderId="0" xfId="3" applyNumberFormat="1" applyFont="1" applyFill="1" applyBorder="1" applyAlignment="1">
      <alignment horizontal="right" vertical="center" wrapText="1"/>
    </xf>
    <xf numFmtId="1" fontId="14" fillId="7" borderId="0" xfId="0" applyNumberFormat="1" applyFont="1" applyFill="1" applyBorder="1"/>
    <xf numFmtId="0" fontId="14" fillId="0" borderId="0" xfId="0" applyFont="1" applyBorder="1" applyAlignment="1">
      <alignment horizontal="center"/>
    </xf>
    <xf numFmtId="0" fontId="14" fillId="3" borderId="0" xfId="0" applyFont="1" applyFill="1" applyBorder="1"/>
    <xf numFmtId="2" fontId="14" fillId="0" borderId="0" xfId="0" applyNumberFormat="1" applyFont="1"/>
    <xf numFmtId="164" fontId="14" fillId="0" borderId="0" xfId="0" applyNumberFormat="1" applyFont="1"/>
    <xf numFmtId="1" fontId="14" fillId="6" borderId="0" xfId="0" applyNumberFormat="1" applyFont="1" applyFill="1" applyBorder="1"/>
    <xf numFmtId="0" fontId="14" fillId="6" borderId="0" xfId="0" applyFont="1" applyFill="1" applyBorder="1"/>
    <xf numFmtId="164" fontId="14" fillId="0" borderId="0" xfId="0" applyNumberFormat="1" applyFont="1" applyBorder="1" applyAlignment="1">
      <alignment horizontal="center"/>
    </xf>
    <xf numFmtId="165" fontId="16" fillId="2" borderId="0" xfId="0" applyNumberFormat="1" applyFont="1" applyFill="1" applyBorder="1"/>
    <xf numFmtId="1" fontId="14" fillId="3" borderId="0" xfId="0" applyNumberFormat="1" applyFont="1" applyFill="1" applyBorder="1"/>
    <xf numFmtId="0" fontId="14" fillId="2" borderId="0" xfId="0" applyFont="1" applyFill="1" applyBorder="1"/>
    <xf numFmtId="164" fontId="14" fillId="8" borderId="0" xfId="0" applyNumberFormat="1" applyFont="1" applyFill="1" applyBorder="1"/>
    <xf numFmtId="0" fontId="14" fillId="0" borderId="0" xfId="0" applyNumberFormat="1" applyFont="1"/>
    <xf numFmtId="1" fontId="14" fillId="9" borderId="0" xfId="0" applyNumberFormat="1" applyFont="1" applyFill="1" applyBorder="1"/>
    <xf numFmtId="0" fontId="17" fillId="10" borderId="0" xfId="0" applyNumberFormat="1" applyFont="1" applyFill="1" applyBorder="1" applyAlignment="1" applyProtection="1">
      <alignment horizontal="right"/>
    </xf>
    <xf numFmtId="165" fontId="14" fillId="0" borderId="0" xfId="0" applyNumberFormat="1" applyFont="1" applyBorder="1" applyAlignment="1">
      <alignment horizontal="right"/>
    </xf>
    <xf numFmtId="1" fontId="14" fillId="0" borderId="0" xfId="0" applyNumberFormat="1" applyFont="1"/>
    <xf numFmtId="166" fontId="14" fillId="0" borderId="0" xfId="0" applyNumberFormat="1" applyFont="1" applyFill="1" applyBorder="1"/>
    <xf numFmtId="164" fontId="14" fillId="0" borderId="0" xfId="0" applyNumberFormat="1" applyFont="1" applyFill="1" applyBorder="1"/>
    <xf numFmtId="0" fontId="14" fillId="0" borderId="0" xfId="0" applyNumberFormat="1" applyFont="1" applyBorder="1" applyAlignment="1">
      <alignment horizontal="right"/>
    </xf>
    <xf numFmtId="1" fontId="18" fillId="0" borderId="0" xfId="0" applyNumberFormat="1" applyFont="1" applyBorder="1"/>
    <xf numFmtId="0" fontId="15" fillId="0" borderId="0" xfId="0" applyNumberFormat="1" applyFont="1"/>
    <xf numFmtId="165" fontId="14" fillId="0" borderId="0" xfId="0" applyNumberFormat="1" applyFont="1" applyFill="1" applyBorder="1" applyAlignment="1"/>
    <xf numFmtId="1" fontId="14" fillId="0" borderId="0" xfId="0" applyNumberFormat="1" applyFont="1" applyFill="1" applyBorder="1" applyAlignment="1"/>
    <xf numFmtId="0" fontId="14" fillId="0" borderId="0" xfId="0" applyNumberFormat="1" applyFont="1" applyFill="1" applyBorder="1"/>
    <xf numFmtId="171" fontId="19" fillId="0" borderId="0" xfId="0" applyNumberFormat="1" applyFont="1" applyAlignment="1">
      <alignment horizontal="right"/>
    </xf>
    <xf numFmtId="0" fontId="14" fillId="0" borderId="0" xfId="0" applyNumberFormat="1" applyFont="1" applyFill="1"/>
    <xf numFmtId="171" fontId="19" fillId="0" borderId="0" xfId="0" applyNumberFormat="1" applyFont="1" applyFill="1" applyAlignment="1">
      <alignment horizontal="right"/>
    </xf>
    <xf numFmtId="169" fontId="3" fillId="0" borderId="0" xfId="8" applyNumberFormat="1" applyFont="1" applyAlignment="1">
      <alignment vertical="center"/>
    </xf>
    <xf numFmtId="169" fontId="14" fillId="0" borderId="0" xfId="0" applyNumberFormat="1" applyFont="1"/>
    <xf numFmtId="169" fontId="3" fillId="0" borderId="0" xfId="8" applyNumberFormat="1" applyFont="1" applyAlignment="1">
      <alignment vertical="center"/>
    </xf>
    <xf numFmtId="165" fontId="14" fillId="0" borderId="0" xfId="6" applyNumberFormat="1" applyFont="1" applyFill="1"/>
    <xf numFmtId="164" fontId="14" fillId="0" borderId="0" xfId="0" applyNumberFormat="1" applyFont="1" applyFill="1" applyBorder="1" applyAlignment="1">
      <alignment horizontal="right"/>
    </xf>
    <xf numFmtId="165" fontId="14" fillId="0" borderId="0" xfId="0" applyNumberFormat="1" applyFont="1" applyFill="1"/>
    <xf numFmtId="0" fontId="14" fillId="0" borderId="0" xfId="0" applyFont="1" applyFill="1" applyBorder="1" applyAlignment="1">
      <alignment horizontal="center"/>
    </xf>
    <xf numFmtId="2" fontId="14" fillId="0" borderId="0" xfId="0" applyNumberFormat="1" applyFont="1" applyFill="1"/>
    <xf numFmtId="0" fontId="14" fillId="0" borderId="0" xfId="0" applyFont="1" applyFill="1"/>
    <xf numFmtId="169" fontId="20" fillId="0" borderId="0" xfId="8" applyNumberFormat="1" applyAlignment="1">
      <alignment horizontal="right"/>
    </xf>
    <xf numFmtId="165" fontId="14" fillId="0" borderId="0" xfId="8" applyNumberFormat="1" applyFont="1" applyAlignment="1">
      <alignment horizontal="right"/>
    </xf>
    <xf numFmtId="0" fontId="0" fillId="0" borderId="0" xfId="0" applyAlignment="1">
      <alignment horizontal="center" vertical="center" wrapText="1"/>
    </xf>
    <xf numFmtId="2" fontId="14" fillId="11" borderId="0" xfId="0" applyNumberFormat="1" applyFont="1" applyFill="1" applyBorder="1"/>
    <xf numFmtId="165" fontId="14" fillId="11" borderId="0" xfId="0" applyNumberFormat="1" applyFont="1" applyFill="1"/>
    <xf numFmtId="2" fontId="14" fillId="11" borderId="0" xfId="0" applyNumberFormat="1" applyFont="1" applyFill="1"/>
    <xf numFmtId="0" fontId="21" fillId="0" borderId="0" xfId="0" applyFont="1"/>
    <xf numFmtId="169" fontId="20" fillId="0" borderId="0" xfId="8" applyNumberFormat="1" applyFill="1" applyAlignment="1">
      <alignment horizontal="right"/>
    </xf>
    <xf numFmtId="164" fontId="14" fillId="11" borderId="0" xfId="0" applyNumberFormat="1" applyFont="1" applyFill="1" applyBorder="1"/>
    <xf numFmtId="164" fontId="14" fillId="11" borderId="0" xfId="0" applyNumberFormat="1" applyFont="1" applyFill="1" applyBorder="1" applyAlignment="1">
      <alignment horizontal="right"/>
    </xf>
    <xf numFmtId="164" fontId="14" fillId="12" borderId="0" xfId="0" applyNumberFormat="1" applyFont="1" applyFill="1" applyBorder="1"/>
    <xf numFmtId="0" fontId="4" fillId="0" borderId="0" xfId="0" applyFont="1" applyAlignment="1">
      <alignment horizontal="center" vertical="center" wrapText="1"/>
    </xf>
    <xf numFmtId="169" fontId="14" fillId="0" borderId="0" xfId="0" applyNumberFormat="1" applyFont="1" applyFill="1" applyAlignment="1">
      <alignment vertical="center"/>
    </xf>
    <xf numFmtId="3" fontId="14" fillId="0" borderId="0" xfId="0" applyNumberFormat="1" applyFont="1" applyFill="1" applyAlignment="1">
      <alignment vertical="center"/>
    </xf>
    <xf numFmtId="1" fontId="14" fillId="0" borderId="0" xfId="0" applyNumberFormat="1" applyFont="1" applyFill="1" applyAlignment="1">
      <alignment horizontal="center" vertical="center"/>
    </xf>
    <xf numFmtId="0" fontId="4" fillId="11" borderId="0" xfId="0" applyFont="1" applyFill="1" applyAlignment="1">
      <alignment horizontal="center" vertical="center" wrapText="1"/>
    </xf>
    <xf numFmtId="0" fontId="4" fillId="12" borderId="0" xfId="0" applyFont="1" applyFill="1" applyAlignment="1">
      <alignment horizontal="center" vertical="center" wrapText="1"/>
    </xf>
    <xf numFmtId="165" fontId="14" fillId="12" borderId="0" xfId="0" applyNumberFormat="1" applyFont="1" applyFill="1"/>
    <xf numFmtId="0" fontId="12" fillId="0" borderId="0" xfId="0" applyFont="1" applyAlignment="1">
      <alignment horizontal="center" vertical="center" wrapText="1"/>
    </xf>
    <xf numFmtId="0" fontId="4" fillId="0" borderId="0" xfId="0" applyFont="1" applyAlignment="1">
      <alignment vertical="center" wrapText="1"/>
    </xf>
    <xf numFmtId="14" fontId="4" fillId="0" borderId="0" xfId="0" applyNumberFormat="1" applyFont="1" applyAlignment="1">
      <alignment vertical="center" wrapText="1"/>
    </xf>
    <xf numFmtId="0" fontId="0" fillId="0" borderId="0" xfId="0" applyAlignment="1">
      <alignment horizontal="center" vertical="center" wrapText="1"/>
    </xf>
    <xf numFmtId="2" fontId="4" fillId="0" borderId="0" xfId="0" applyNumberFormat="1" applyFont="1" applyAlignment="1">
      <alignment vertical="center" wrapText="1"/>
    </xf>
    <xf numFmtId="1" fontId="14" fillId="13" borderId="0" xfId="0" applyNumberFormat="1" applyFont="1" applyFill="1" applyBorder="1"/>
    <xf numFmtId="1" fontId="14" fillId="11" borderId="0" xfId="0" applyNumberFormat="1" applyFont="1" applyFill="1" applyBorder="1"/>
    <xf numFmtId="0" fontId="0" fillId="0" borderId="0" xfId="0" applyAlignment="1">
      <alignment horizontal="center" vertical="center" wrapText="1"/>
    </xf>
    <xf numFmtId="166" fontId="14" fillId="0" borderId="0" xfId="0" applyNumberFormat="1" applyFont="1"/>
    <xf numFmtId="1" fontId="14" fillId="0" borderId="0" xfId="0" applyNumberFormat="1" applyFont="1" applyAlignment="1">
      <alignment vertical="center"/>
    </xf>
    <xf numFmtId="1" fontId="15" fillId="0" borderId="0" xfId="0" applyNumberFormat="1" applyFont="1"/>
    <xf numFmtId="169" fontId="22" fillId="0" borderId="0" xfId="0" applyNumberFormat="1" applyFont="1" applyAlignment="1">
      <alignment vertical="center"/>
    </xf>
    <xf numFmtId="0" fontId="14" fillId="13" borderId="0" xfId="0" applyFont="1" applyFill="1" applyBorder="1"/>
    <xf numFmtId="0" fontId="14" fillId="13" borderId="0" xfId="0" applyNumberFormat="1" applyFont="1" applyFill="1" applyBorder="1"/>
    <xf numFmtId="171" fontId="19" fillId="13" borderId="0" xfId="0" applyNumberFormat="1" applyFont="1" applyFill="1" applyAlignment="1">
      <alignment horizontal="right"/>
    </xf>
    <xf numFmtId="169" fontId="3" fillId="13" borderId="0" xfId="8" applyNumberFormat="1" applyFont="1" applyFill="1" applyAlignment="1">
      <alignment vertical="center"/>
    </xf>
    <xf numFmtId="164" fontId="14" fillId="13" borderId="0" xfId="0" applyNumberFormat="1" applyFont="1" applyFill="1" applyBorder="1"/>
    <xf numFmtId="165" fontId="14" fillId="13" borderId="0" xfId="0" applyNumberFormat="1" applyFont="1" applyFill="1" applyBorder="1"/>
    <xf numFmtId="166" fontId="14" fillId="13" borderId="0" xfId="0" applyNumberFormat="1" applyFont="1" applyFill="1" applyBorder="1"/>
    <xf numFmtId="2" fontId="14" fillId="13" borderId="0" xfId="0" applyNumberFormat="1" applyFont="1" applyFill="1" applyBorder="1"/>
    <xf numFmtId="1" fontId="14" fillId="13" borderId="0" xfId="0" applyNumberFormat="1" applyFont="1" applyFill="1" applyBorder="1" applyAlignment="1"/>
    <xf numFmtId="165" fontId="14" fillId="13" borderId="0" xfId="0" applyNumberFormat="1" applyFont="1" applyFill="1" applyBorder="1" applyAlignment="1"/>
    <xf numFmtId="165" fontId="14" fillId="13" borderId="0" xfId="8" applyNumberFormat="1" applyFont="1" applyFill="1" applyAlignment="1">
      <alignment horizontal="right"/>
    </xf>
    <xf numFmtId="2" fontId="14" fillId="13" borderId="0" xfId="3" applyNumberFormat="1" applyFont="1" applyFill="1" applyBorder="1" applyAlignment="1">
      <alignment horizontal="right" vertical="center" wrapText="1"/>
    </xf>
    <xf numFmtId="2" fontId="14" fillId="13" borderId="0" xfId="0" applyNumberFormat="1" applyFont="1" applyFill="1"/>
    <xf numFmtId="2" fontId="4" fillId="13" borderId="0" xfId="0" applyNumberFormat="1" applyFont="1" applyFill="1" applyAlignment="1">
      <alignment vertical="center" wrapText="1"/>
    </xf>
    <xf numFmtId="2" fontId="14" fillId="14" borderId="0" xfId="0" applyNumberFormat="1" applyFont="1" applyFill="1" applyBorder="1"/>
    <xf numFmtId="0" fontId="23" fillId="0" borderId="0" xfId="0" applyFont="1" applyFill="1" applyBorder="1" applyAlignment="1">
      <alignment horizontal="left" vertical="center"/>
    </xf>
    <xf numFmtId="0" fontId="4" fillId="13" borderId="0" xfId="0" applyFont="1" applyFill="1" applyAlignment="1">
      <alignment horizontal="center" vertical="center" wrapText="1"/>
    </xf>
    <xf numFmtId="0" fontId="0" fillId="13" borderId="0" xfId="0" applyFill="1"/>
    <xf numFmtId="0" fontId="0" fillId="11" borderId="0" xfId="0" applyFill="1"/>
    <xf numFmtId="0" fontId="0" fillId="0" borderId="0" xfId="0" applyFill="1"/>
    <xf numFmtId="1" fontId="0" fillId="11" borderId="0" xfId="0" applyNumberFormat="1" applyFill="1"/>
    <xf numFmtId="1" fontId="0" fillId="13" borderId="0" xfId="0" applyNumberFormat="1" applyFill="1"/>
    <xf numFmtId="1" fontId="0" fillId="0" borderId="0" xfId="0" applyNumberFormat="1" applyFill="1"/>
    <xf numFmtId="1" fontId="14" fillId="11" borderId="0" xfId="0" applyNumberFormat="1" applyFont="1" applyFill="1"/>
    <xf numFmtId="0" fontId="0" fillId="12" borderId="0" xfId="0" applyFill="1" applyBorder="1" applyAlignment="1">
      <alignment vertical="center" wrapText="1"/>
    </xf>
    <xf numFmtId="0" fontId="0" fillId="12" borderId="0" xfId="0" applyFill="1" applyBorder="1" applyAlignment="1">
      <alignment horizontal="center" vertical="center" wrapText="1"/>
    </xf>
    <xf numFmtId="169" fontId="22" fillId="0" borderId="0" xfId="0" applyNumberFormat="1" applyFont="1" applyFill="1" applyAlignment="1">
      <alignment vertical="center"/>
    </xf>
    <xf numFmtId="0" fontId="4" fillId="0" borderId="0" xfId="0" applyFont="1" applyAlignment="1">
      <alignment vertical="center" wrapText="1"/>
    </xf>
    <xf numFmtId="0" fontId="14" fillId="11" borderId="0" xfId="0" applyFont="1" applyFill="1"/>
    <xf numFmtId="172" fontId="27" fillId="0" borderId="0" xfId="9" applyNumberFormat="1" applyFont="1" applyBorder="1" applyAlignment="1">
      <alignment horizontal="right"/>
    </xf>
    <xf numFmtId="3" fontId="0" fillId="0" borderId="0" xfId="0" applyNumberFormat="1"/>
    <xf numFmtId="3" fontId="4" fillId="0" borderId="0" xfId="0" applyNumberFormat="1" applyFont="1" applyAlignment="1">
      <alignment vertical="center" wrapText="1"/>
    </xf>
    <xf numFmtId="165" fontId="3" fillId="0" borderId="0" xfId="5" applyNumberFormat="1"/>
    <xf numFmtId="0" fontId="14" fillId="13" borderId="0" xfId="0" applyFont="1" applyFill="1"/>
    <xf numFmtId="2" fontId="0" fillId="13" borderId="0" xfId="0" applyNumberFormat="1" applyFill="1" applyAlignment="1">
      <alignment vertical="center" wrapText="1"/>
    </xf>
    <xf numFmtId="0" fontId="29" fillId="11" borderId="0" xfId="0" applyFont="1" applyFill="1"/>
    <xf numFmtId="0" fontId="14" fillId="4" borderId="0" xfId="0" applyFont="1" applyFill="1" applyBorder="1" applyAlignment="1">
      <alignment horizontal="center" vertical="center" wrapText="1"/>
    </xf>
    <xf numFmtId="0" fontId="14" fillId="13" borderId="0" xfId="0" applyFont="1" applyFill="1" applyBorder="1" applyAlignment="1">
      <alignment horizontal="center" vertical="center" wrapText="1"/>
    </xf>
    <xf numFmtId="0" fontId="1" fillId="0" borderId="0" xfId="0" applyFont="1" applyBorder="1" applyAlignment="1">
      <alignment horizontal="left"/>
    </xf>
    <xf numFmtId="0" fontId="1" fillId="0" borderId="0" xfId="0" applyFont="1"/>
    <xf numFmtId="0" fontId="14" fillId="0" borderId="0" xfId="0" applyFont="1" applyAlignment="1">
      <alignment horizontal="left" vertical="center" wrapText="1"/>
    </xf>
    <xf numFmtId="0" fontId="14" fillId="0" borderId="0" xfId="0" applyFont="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170" fontId="1" fillId="0" borderId="0" xfId="0" applyNumberFormat="1" applyFont="1"/>
    <xf numFmtId="0" fontId="30" fillId="0" borderId="0" xfId="10"/>
    <xf numFmtId="0" fontId="14" fillId="0" borderId="0" xfId="0" applyFont="1" applyFill="1" applyBorder="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0" fillId="2" borderId="0" xfId="0" applyFill="1" applyBorder="1" applyAlignment="1">
      <alignment horizontal="center" vertical="center" wrapText="1"/>
    </xf>
    <xf numFmtId="0" fontId="0" fillId="3" borderId="0" xfId="0" applyFill="1" applyBorder="1" applyAlignment="1">
      <alignment horizontal="center" vertical="center" wrapText="1"/>
    </xf>
    <xf numFmtId="0" fontId="0" fillId="5" borderId="0" xfId="0"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4" borderId="0" xfId="0" applyFill="1" applyBorder="1" applyAlignment="1">
      <alignment horizontal="center" vertical="center" wrapText="1"/>
    </xf>
    <xf numFmtId="0" fontId="4" fillId="2" borderId="0" xfId="0" applyFont="1" applyFill="1" applyAlignment="1">
      <alignment horizontal="center"/>
    </xf>
    <xf numFmtId="0" fontId="4" fillId="6" borderId="0" xfId="0" applyFont="1" applyFill="1" applyAlignment="1">
      <alignment horizontal="center"/>
    </xf>
    <xf numFmtId="0" fontId="4" fillId="0" borderId="0" xfId="0" applyFont="1" applyAlignment="1">
      <alignment vertical="center" wrapText="1"/>
    </xf>
    <xf numFmtId="0" fontId="2" fillId="6" borderId="0" xfId="0" applyFont="1" applyFill="1" applyAlignment="1">
      <alignment horizontal="center"/>
    </xf>
  </cellXfs>
  <cellStyles count="11">
    <cellStyle name="Euro" xfId="1"/>
    <cellStyle name="Lien hypertexte" xfId="10" builtinId="8"/>
    <cellStyle name="Milliers" xfId="2" builtinId="3"/>
    <cellStyle name="Normal" xfId="0" builtinId="0"/>
    <cellStyle name="Normal 2" xfId="8"/>
    <cellStyle name="Normal_Feuil1" xfId="9"/>
    <cellStyle name="Normal_FRA (2)" xfId="3"/>
    <cellStyle name="Normal_Occupation physique du territoire" xfId="4"/>
    <cellStyle name="Normal_tableau" xfId="5"/>
    <cellStyle name="Normal_tableau-2" xfId="6"/>
    <cellStyle name="Pourcentage" xfId="7" builtinId="5"/>
  </cellStyles>
  <dxfs count="7">
    <dxf>
      <fill>
        <patternFill>
          <bgColor indexed="50"/>
        </patternFill>
      </fill>
    </dxf>
    <dxf>
      <fill>
        <patternFill>
          <bgColor indexed="50"/>
        </patternFill>
      </fill>
    </dxf>
    <dxf>
      <fill>
        <patternFill>
          <bgColor indexed="50"/>
        </patternFill>
      </fill>
    </dxf>
    <dxf>
      <fill>
        <patternFill>
          <bgColor indexed="50"/>
        </patternFill>
      </fill>
    </dxf>
    <dxf>
      <fill>
        <patternFill>
          <bgColor indexed="50"/>
        </patternFill>
      </fill>
    </dxf>
    <dxf>
      <fill>
        <patternFill>
          <bgColor indexed="50"/>
        </patternFill>
      </fill>
    </dxf>
    <dxf>
      <fill>
        <patternFill>
          <bgColor indexed="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685DB"/>
      <color rgb="FF9954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4.xml"/><Relationship Id="rId18" Type="http://schemas.openxmlformats.org/officeDocument/2006/relationships/chartsheet" Target="chartsheets/sheet14.xml"/><Relationship Id="rId26" Type="http://schemas.openxmlformats.org/officeDocument/2006/relationships/chartsheet" Target="chartsheets/sheet21.xml"/><Relationship Id="rId39" Type="http://schemas.openxmlformats.org/officeDocument/2006/relationships/worksheet" Target="worksheets/sheet7.xml"/><Relationship Id="rId21" Type="http://schemas.openxmlformats.org/officeDocument/2006/relationships/chartsheet" Target="chartsheets/sheet17.xml"/><Relationship Id="rId34" Type="http://schemas.openxmlformats.org/officeDocument/2006/relationships/chartsheet" Target="chartsheets/sheet29.xml"/><Relationship Id="rId42" Type="http://schemas.openxmlformats.org/officeDocument/2006/relationships/chartsheet" Target="chartsheets/sheet34.xml"/><Relationship Id="rId47" Type="http://schemas.openxmlformats.org/officeDocument/2006/relationships/worksheet" Target="worksheets/sheet11.xml"/><Relationship Id="rId50" Type="http://schemas.openxmlformats.org/officeDocument/2006/relationships/chartsheet" Target="chartsheets/sheet37.xml"/><Relationship Id="rId55" Type="http://schemas.openxmlformats.org/officeDocument/2006/relationships/worksheet" Target="worksheets/sheet17.xml"/><Relationship Id="rId63" Type="http://schemas.openxmlformats.org/officeDocument/2006/relationships/calcChain" Target="calcChain.xml"/><Relationship Id="rId7" Type="http://schemas.openxmlformats.org/officeDocument/2006/relationships/chartsheet" Target="chartsheets/sheet4.xml"/><Relationship Id="rId2" Type="http://schemas.openxmlformats.org/officeDocument/2006/relationships/worksheet" Target="worksheets/sheet2.xml"/><Relationship Id="rId16" Type="http://schemas.openxmlformats.org/officeDocument/2006/relationships/chartsheet" Target="chartsheets/sheet12.xml"/><Relationship Id="rId20" Type="http://schemas.openxmlformats.org/officeDocument/2006/relationships/chartsheet" Target="chartsheets/sheet16.xml"/><Relationship Id="rId29" Type="http://schemas.openxmlformats.org/officeDocument/2006/relationships/chartsheet" Target="chartsheets/sheet24.xml"/><Relationship Id="rId41" Type="http://schemas.openxmlformats.org/officeDocument/2006/relationships/chartsheet" Target="chartsheets/sheet33.xml"/><Relationship Id="rId54" Type="http://schemas.openxmlformats.org/officeDocument/2006/relationships/worksheet" Target="worksheets/sheet16.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8.xml"/><Relationship Id="rId24" Type="http://schemas.openxmlformats.org/officeDocument/2006/relationships/chartsheet" Target="chartsheets/sheet19.xml"/><Relationship Id="rId32" Type="http://schemas.openxmlformats.org/officeDocument/2006/relationships/chartsheet" Target="chartsheets/sheet27.xml"/><Relationship Id="rId37" Type="http://schemas.openxmlformats.org/officeDocument/2006/relationships/chartsheet" Target="chartsheets/sheet32.xml"/><Relationship Id="rId40" Type="http://schemas.openxmlformats.org/officeDocument/2006/relationships/worksheet" Target="worksheets/sheet8.xml"/><Relationship Id="rId45" Type="http://schemas.openxmlformats.org/officeDocument/2006/relationships/worksheet" Target="worksheets/sheet9.xml"/><Relationship Id="rId53" Type="http://schemas.openxmlformats.org/officeDocument/2006/relationships/chartsheet" Target="chartsheets/sheet38.xml"/><Relationship Id="rId58" Type="http://schemas.openxmlformats.org/officeDocument/2006/relationships/chartsheet" Target="chartsheets/sheet39.xml"/><Relationship Id="rId5" Type="http://schemas.openxmlformats.org/officeDocument/2006/relationships/chartsheet" Target="chartsheets/sheet2.xml"/><Relationship Id="rId15" Type="http://schemas.openxmlformats.org/officeDocument/2006/relationships/chartsheet" Target="chartsheets/sheet11.xml"/><Relationship Id="rId23" Type="http://schemas.openxmlformats.org/officeDocument/2006/relationships/chartsheet" Target="chartsheets/sheet18.xml"/><Relationship Id="rId28" Type="http://schemas.openxmlformats.org/officeDocument/2006/relationships/chartsheet" Target="chartsheets/sheet23.xml"/><Relationship Id="rId36" Type="http://schemas.openxmlformats.org/officeDocument/2006/relationships/chartsheet" Target="chartsheets/sheet31.xml"/><Relationship Id="rId49" Type="http://schemas.openxmlformats.org/officeDocument/2006/relationships/worksheet" Target="worksheets/sheet13.xml"/><Relationship Id="rId57" Type="http://schemas.openxmlformats.org/officeDocument/2006/relationships/worksheet" Target="worksheets/sheet19.xml"/><Relationship Id="rId61" Type="http://schemas.openxmlformats.org/officeDocument/2006/relationships/styles" Target="styles.xml"/><Relationship Id="rId10" Type="http://schemas.openxmlformats.org/officeDocument/2006/relationships/chartsheet" Target="chartsheets/sheet7.xml"/><Relationship Id="rId19" Type="http://schemas.openxmlformats.org/officeDocument/2006/relationships/chartsheet" Target="chartsheets/sheet15.xml"/><Relationship Id="rId31" Type="http://schemas.openxmlformats.org/officeDocument/2006/relationships/chartsheet" Target="chartsheets/sheet26.xml"/><Relationship Id="rId44" Type="http://schemas.openxmlformats.org/officeDocument/2006/relationships/chartsheet" Target="chartsheets/sheet36.xml"/><Relationship Id="rId52" Type="http://schemas.openxmlformats.org/officeDocument/2006/relationships/worksheet" Target="worksheets/sheet15.xml"/><Relationship Id="rId60" Type="http://schemas.openxmlformats.org/officeDocument/2006/relationships/theme" Target="theme/theme1.xml"/><Relationship Id="rId4" Type="http://schemas.openxmlformats.org/officeDocument/2006/relationships/chartsheet" Target="chartsheets/sheet1.xml"/><Relationship Id="rId9" Type="http://schemas.openxmlformats.org/officeDocument/2006/relationships/chartsheet" Target="chartsheets/sheet6.xml"/><Relationship Id="rId14" Type="http://schemas.openxmlformats.org/officeDocument/2006/relationships/chartsheet" Target="chartsheets/sheet10.xml"/><Relationship Id="rId22" Type="http://schemas.openxmlformats.org/officeDocument/2006/relationships/worksheet" Target="worksheets/sheet5.xml"/><Relationship Id="rId27" Type="http://schemas.openxmlformats.org/officeDocument/2006/relationships/chartsheet" Target="chartsheets/sheet22.xml"/><Relationship Id="rId30" Type="http://schemas.openxmlformats.org/officeDocument/2006/relationships/chartsheet" Target="chartsheets/sheet25.xml"/><Relationship Id="rId35" Type="http://schemas.openxmlformats.org/officeDocument/2006/relationships/chartsheet" Target="chartsheets/sheet30.xml"/><Relationship Id="rId43" Type="http://schemas.openxmlformats.org/officeDocument/2006/relationships/chartsheet" Target="chartsheets/sheet35.xml"/><Relationship Id="rId48" Type="http://schemas.openxmlformats.org/officeDocument/2006/relationships/worksheet" Target="worksheets/sheet12.xml"/><Relationship Id="rId56" Type="http://schemas.openxmlformats.org/officeDocument/2006/relationships/worksheet" Target="worksheets/sheet18.xml"/><Relationship Id="rId8" Type="http://schemas.openxmlformats.org/officeDocument/2006/relationships/chartsheet" Target="chartsheets/sheet5.xml"/><Relationship Id="rId51" Type="http://schemas.openxmlformats.org/officeDocument/2006/relationships/worksheet" Target="worksheets/sheet14.xml"/><Relationship Id="rId3" Type="http://schemas.openxmlformats.org/officeDocument/2006/relationships/worksheet" Target="worksheets/sheet3.xml"/><Relationship Id="rId12" Type="http://schemas.openxmlformats.org/officeDocument/2006/relationships/chartsheet" Target="chartsheets/sheet9.xml"/><Relationship Id="rId17" Type="http://schemas.openxmlformats.org/officeDocument/2006/relationships/chartsheet" Target="chartsheets/sheet13.xml"/><Relationship Id="rId25" Type="http://schemas.openxmlformats.org/officeDocument/2006/relationships/chartsheet" Target="chartsheets/sheet20.xml"/><Relationship Id="rId33" Type="http://schemas.openxmlformats.org/officeDocument/2006/relationships/chartsheet" Target="chartsheets/sheet28.xml"/><Relationship Id="rId38" Type="http://schemas.openxmlformats.org/officeDocument/2006/relationships/worksheet" Target="worksheets/sheet6.xml"/><Relationship Id="rId46" Type="http://schemas.openxmlformats.org/officeDocument/2006/relationships/worksheet" Target="worksheets/sheet10.xml"/><Relationship Id="rId59" Type="http://schemas.openxmlformats.org/officeDocument/2006/relationships/worksheet" Target="worksheets/sheet2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Nombre</a:t>
            </a:r>
            <a:r>
              <a:rPr lang="en-US" baseline="0"/>
              <a:t> d'heures de </a:t>
            </a:r>
            <a:r>
              <a:rPr lang="en-US"/>
              <a:t>SMIC net pour le carburant de </a:t>
            </a:r>
            <a:r>
              <a:rPr lang="en-US" baseline="0"/>
              <a:t>100 km parcourus </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rPr>
              <a:t>source: Cired, base CARBECO</a:t>
            </a:r>
            <a:endParaRPr lang="fr-FR" sz="1000">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endParaRPr lang="en-US"/>
          </a:p>
        </c:rich>
      </c:tx>
      <c:layout>
        <c:manualLayout>
          <c:xMode val="edge"/>
          <c:yMode val="edge"/>
          <c:x val="4.7616849535674868E-2"/>
          <c:y val="1.0436904423855402E-2"/>
        </c:manualLayout>
      </c:layout>
      <c:overlay val="0"/>
    </c:title>
    <c:autoTitleDeleted val="0"/>
    <c:plotArea>
      <c:layout>
        <c:manualLayout>
          <c:layoutTarget val="inner"/>
          <c:xMode val="edge"/>
          <c:yMode val="edge"/>
          <c:x val="4.570871557465294E-2"/>
          <c:y val="0.11496772123666173"/>
          <c:w val="0.93227637540286235"/>
          <c:h val="0.83273999184114356"/>
        </c:manualLayout>
      </c:layout>
      <c:scatterChart>
        <c:scatterStyle val="lineMarker"/>
        <c:varyColors val="0"/>
        <c:ser>
          <c:idx val="0"/>
          <c:order val="0"/>
          <c:tx>
            <c:strRef>
              <c:f>data2018!$FC$1</c:f>
              <c:strCache>
                <c:ptCount val="1"/>
                <c:pt idx="0">
                  <c:v>Heures de SMIC net pour 100 km</c:v>
                </c:pt>
              </c:strCache>
            </c:strRef>
          </c:tx>
          <c:xVal>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xVal>
          <c:yVal>
            <c:numRef>
              <c:f>data2018!$FC$2:$FC$60</c:f>
              <c:numCache>
                <c:formatCode>0.00</c:formatCode>
                <c:ptCount val="59"/>
                <c:pt idx="0">
                  <c:v>4.2777274732578361</c:v>
                </c:pt>
                <c:pt idx="1">
                  <c:v>4.2749051284521391</c:v>
                </c:pt>
                <c:pt idx="2">
                  <c:v>4.0127190805290871</c:v>
                </c:pt>
                <c:pt idx="3">
                  <c:v>3.6079998373032769</c:v>
                </c:pt>
                <c:pt idx="4">
                  <c:v>3.4737511657053082</c:v>
                </c:pt>
                <c:pt idx="5">
                  <c:v>3.2329251898395004</c:v>
                </c:pt>
                <c:pt idx="6">
                  <c:v>3.0949244461040024</c:v>
                </c:pt>
                <c:pt idx="7">
                  <c:v>2.9462377857899416</c:v>
                </c:pt>
                <c:pt idx="8">
                  <c:v>2.4262119321714124</c:v>
                </c:pt>
                <c:pt idx="9">
                  <c:v>2.1710431789204065</c:v>
                </c:pt>
                <c:pt idx="10">
                  <c:v>2.0962810978083346</c:v>
                </c:pt>
                <c:pt idx="11">
                  <c:v>2.0815301471060801</c:v>
                </c:pt>
                <c:pt idx="12">
                  <c:v>2.046719259283369</c:v>
                </c:pt>
                <c:pt idx="13">
                  <c:v>1.9629401788303786</c:v>
                </c:pt>
                <c:pt idx="14">
                  <c:v>2.2386345136908852</c:v>
                </c:pt>
                <c:pt idx="15">
                  <c:v>2.0655107790964244</c:v>
                </c:pt>
                <c:pt idx="16">
                  <c:v>2.1382316884116532</c:v>
                </c:pt>
                <c:pt idx="17">
                  <c:v>2.2692557856804392</c:v>
                </c:pt>
                <c:pt idx="18">
                  <c:v>2.2839669999313852</c:v>
                </c:pt>
                <c:pt idx="19">
                  <c:v>2.3471837493782339</c:v>
                </c:pt>
                <c:pt idx="20">
                  <c:v>2.3250651140932836</c:v>
                </c:pt>
                <c:pt idx="21">
                  <c:v>2.1401508387249106</c:v>
                </c:pt>
                <c:pt idx="22">
                  <c:v>2.1711061263491578</c:v>
                </c:pt>
                <c:pt idx="23">
                  <c:v>2.1086049596025851</c:v>
                </c:pt>
                <c:pt idx="24">
                  <c:v>2.0588677483599849</c:v>
                </c:pt>
                <c:pt idx="25">
                  <c:v>2.0752487934115997</c:v>
                </c:pt>
                <c:pt idx="26">
                  <c:v>1.9082657804328289</c:v>
                </c:pt>
                <c:pt idx="27">
                  <c:v>1.6277358225507725</c:v>
                </c:pt>
                <c:pt idx="28">
                  <c:v>1.5804709991834585</c:v>
                </c:pt>
                <c:pt idx="29">
                  <c:v>1.7029702600991554</c:v>
                </c:pt>
                <c:pt idx="30">
                  <c:v>1.4890852633989784</c:v>
                </c:pt>
                <c:pt idx="31">
                  <c:v>1.4495470116871687</c:v>
                </c:pt>
                <c:pt idx="32">
                  <c:v>1.3545319126415141</c:v>
                </c:pt>
                <c:pt idx="33">
                  <c:v>1.3523399962092577</c:v>
                </c:pt>
                <c:pt idx="34">
                  <c:v>1.3207524809513478</c:v>
                </c:pt>
                <c:pt idx="35">
                  <c:v>1.3123823000302928</c:v>
                </c:pt>
                <c:pt idx="36">
                  <c:v>1.3349659457896377</c:v>
                </c:pt>
                <c:pt idx="37">
                  <c:v>1.3113856514535451</c:v>
                </c:pt>
                <c:pt idx="38">
                  <c:v>1.1660203605566124</c:v>
                </c:pt>
                <c:pt idx="39">
                  <c:v>1.1964660793498672</c:v>
                </c:pt>
                <c:pt idx="40">
                  <c:v>1.3429811719821712</c:v>
                </c:pt>
                <c:pt idx="41">
                  <c:v>1.2007471781466112</c:v>
                </c:pt>
                <c:pt idx="42">
                  <c:v>1.1200358630729865</c:v>
                </c:pt>
                <c:pt idx="43">
                  <c:v>1.0710458070858313</c:v>
                </c:pt>
                <c:pt idx="44">
                  <c:v>1.0684843881149</c:v>
                </c:pt>
                <c:pt idx="45">
                  <c:v>1.1312531481664749</c:v>
                </c:pt>
                <c:pt idx="46">
                  <c:v>1.2839991657358296</c:v>
                </c:pt>
                <c:pt idx="47">
                  <c:v>1.2357503027332617</c:v>
                </c:pt>
                <c:pt idx="48">
                  <c:v>1.3348984584836252</c:v>
                </c:pt>
                <c:pt idx="49">
                  <c:v>1.0866921311638069</c:v>
                </c:pt>
                <c:pt idx="50">
                  <c:v>1.2129513904603</c:v>
                </c:pt>
                <c:pt idx="51">
                  <c:v>1.3059326728503713</c:v>
                </c:pt>
                <c:pt idx="52">
                  <c:v>1.3197285357949617</c:v>
                </c:pt>
                <c:pt idx="53">
                  <c:v>1.2490360990803431</c:v>
                </c:pt>
                <c:pt idx="54">
                  <c:v>1.1771304397252564</c:v>
                </c:pt>
                <c:pt idx="55">
                  <c:v>1.055556055679947</c:v>
                </c:pt>
                <c:pt idx="56">
                  <c:v>0.987862307033052</c:v>
                </c:pt>
                <c:pt idx="57">
                  <c:v>1.1776096117665678</c:v>
                </c:pt>
                <c:pt idx="58">
                  <c:v>1.2070103900103404</c:v>
                </c:pt>
              </c:numCache>
            </c:numRef>
          </c:yVal>
          <c:smooth val="0"/>
        </c:ser>
        <c:dLbls>
          <c:showLegendKey val="0"/>
          <c:showVal val="0"/>
          <c:showCatName val="0"/>
          <c:showSerName val="0"/>
          <c:showPercent val="0"/>
          <c:showBubbleSize val="0"/>
        </c:dLbls>
        <c:axId val="129702912"/>
        <c:axId val="129746432"/>
      </c:scatterChart>
      <c:valAx>
        <c:axId val="129702912"/>
        <c:scaling>
          <c:orientation val="minMax"/>
          <c:max val="2020"/>
          <c:min val="1960"/>
        </c:scaling>
        <c:delete val="0"/>
        <c:axPos val="b"/>
        <c:majorGridlines>
          <c:spPr>
            <a:ln>
              <a:prstDash val="dash"/>
            </a:ln>
          </c:spPr>
        </c:majorGridlines>
        <c:numFmt formatCode="General" sourceLinked="1"/>
        <c:majorTickMark val="out"/>
        <c:minorTickMark val="none"/>
        <c:tickLblPos val="nextTo"/>
        <c:crossAx val="129746432"/>
        <c:crosses val="autoZero"/>
        <c:crossBetween val="midCat"/>
      </c:valAx>
      <c:valAx>
        <c:axId val="129746432"/>
        <c:scaling>
          <c:orientation val="minMax"/>
        </c:scaling>
        <c:delete val="0"/>
        <c:axPos val="l"/>
        <c:majorGridlines>
          <c:spPr>
            <a:ln>
              <a:prstDash val="dash"/>
            </a:ln>
          </c:spPr>
        </c:majorGridlines>
        <c:title>
          <c:tx>
            <c:rich>
              <a:bodyPr rot="0" vert="horz"/>
              <a:lstStyle/>
              <a:p>
                <a:pPr>
                  <a:defRPr/>
                </a:pPr>
                <a:r>
                  <a:rPr lang="fr-FR"/>
                  <a:t>heures / 100 km</a:t>
                </a:r>
              </a:p>
            </c:rich>
          </c:tx>
          <c:layout>
            <c:manualLayout>
              <c:xMode val="edge"/>
              <c:yMode val="edge"/>
              <c:x val="0"/>
              <c:y val="6.6681886451203168E-2"/>
            </c:manualLayout>
          </c:layout>
          <c:overlay val="0"/>
        </c:title>
        <c:numFmt formatCode="0.00" sourceLinked="1"/>
        <c:majorTickMark val="out"/>
        <c:minorTickMark val="none"/>
        <c:tickLblPos val="nextTo"/>
        <c:crossAx val="129702912"/>
        <c:crosses val="autoZero"/>
        <c:crossBetween val="midCat"/>
      </c:valAx>
    </c:plotArea>
    <c:legend>
      <c:legendPos val="r"/>
      <c:layout>
        <c:manualLayout>
          <c:xMode val="edge"/>
          <c:yMode val="edge"/>
          <c:x val="0.83835939319109953"/>
          <c:y val="2.0834011320495463E-2"/>
          <c:w val="0.16164060680890038"/>
          <c:h val="7.5491774906289846E-2"/>
        </c:manualLayout>
      </c:layout>
      <c:overlay val="0"/>
    </c:legend>
    <c:plotVisOnly val="1"/>
    <c:dispBlanksAs val="gap"/>
    <c:showDLblsOverMax val="0"/>
  </c:char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Indices de prix des loyers effectifs, du carburant 
et de leur prix relatif</a:t>
            </a:r>
          </a:p>
        </c:rich>
      </c:tx>
      <c:layout>
        <c:manualLayout>
          <c:xMode val="edge"/>
          <c:yMode val="edge"/>
          <c:x val="0.2435363079615048"/>
          <c:y val="0"/>
        </c:manualLayout>
      </c:layout>
      <c:overlay val="0"/>
      <c:spPr>
        <a:noFill/>
        <a:ln w="25400">
          <a:noFill/>
        </a:ln>
      </c:spPr>
    </c:title>
    <c:autoTitleDeleted val="0"/>
    <c:plotArea>
      <c:layout>
        <c:manualLayout>
          <c:layoutTarget val="inner"/>
          <c:xMode val="edge"/>
          <c:yMode val="edge"/>
          <c:x val="4.0867389491242696E-2"/>
          <c:y val="0.11216216216216215"/>
          <c:w val="0.9591326105087572"/>
          <c:h val="0.83648648648648638"/>
        </c:manualLayout>
      </c:layout>
      <c:lineChart>
        <c:grouping val="standard"/>
        <c:varyColors val="0"/>
        <c:ser>
          <c:idx val="0"/>
          <c:order val="0"/>
          <c:tx>
            <c:v>Prix réel des loyers</c:v>
          </c:tx>
          <c:spPr>
            <a:ln w="25400">
              <a:solidFill>
                <a:srgbClr val="0000FF"/>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data2018!$BW$2:$BW$60</c:f>
              <c:numCache>
                <c:formatCode>0.0</c:formatCode>
                <c:ptCount val="59"/>
                <c:pt idx="0">
                  <c:v>49.284140969162991</c:v>
                </c:pt>
                <c:pt idx="1">
                  <c:v>52.722573745655467</c:v>
                </c:pt>
                <c:pt idx="2">
                  <c:v>56.09401709401709</c:v>
                </c:pt>
                <c:pt idx="3">
                  <c:v>59.726072069134183</c:v>
                </c:pt>
                <c:pt idx="4">
                  <c:v>61.546961325966848</c:v>
                </c:pt>
                <c:pt idx="5">
                  <c:v>66.028450595924639</c:v>
                </c:pt>
                <c:pt idx="6">
                  <c:v>69.941031574233023</c:v>
                </c:pt>
                <c:pt idx="7">
                  <c:v>75.047040092632798</c:v>
                </c:pt>
                <c:pt idx="8">
                  <c:v>77.704285517431444</c:v>
                </c:pt>
                <c:pt idx="9">
                  <c:v>79.921513124034988</c:v>
                </c:pt>
                <c:pt idx="10">
                  <c:v>81.328105856407731</c:v>
                </c:pt>
                <c:pt idx="11">
                  <c:v>81.132950658085463</c:v>
                </c:pt>
                <c:pt idx="12">
                  <c:v>80.167597765363141</c:v>
                </c:pt>
                <c:pt idx="13">
                  <c:v>80.562646788522429</c:v>
                </c:pt>
                <c:pt idx="14">
                  <c:v>75.431861804222663</c:v>
                </c:pt>
                <c:pt idx="15">
                  <c:v>74.107535478712762</c:v>
                </c:pt>
                <c:pt idx="16">
                  <c:v>74.487712389703205</c:v>
                </c:pt>
                <c:pt idx="17">
                  <c:v>73.990328497582126</c:v>
                </c:pt>
                <c:pt idx="18">
                  <c:v>73.268906273968412</c:v>
                </c:pt>
                <c:pt idx="19">
                  <c:v>72.916090491730728</c:v>
                </c:pt>
                <c:pt idx="20">
                  <c:v>72.489115013942566</c:v>
                </c:pt>
                <c:pt idx="21">
                  <c:v>72.083862496502149</c:v>
                </c:pt>
                <c:pt idx="22">
                  <c:v>70.731848200704704</c:v>
                </c:pt>
                <c:pt idx="23">
                  <c:v>70.824765821338801</c:v>
                </c:pt>
                <c:pt idx="24">
                  <c:v>70.688925081433226</c:v>
                </c:pt>
                <c:pt idx="25">
                  <c:v>70.782915420596595</c:v>
                </c:pt>
                <c:pt idx="26">
                  <c:v>72.439333980437539</c:v>
                </c:pt>
                <c:pt idx="27">
                  <c:v>74.278340800023201</c:v>
                </c:pt>
                <c:pt idx="28">
                  <c:v>76.660689830436695</c:v>
                </c:pt>
                <c:pt idx="29">
                  <c:v>77.617785029573739</c:v>
                </c:pt>
                <c:pt idx="30">
                  <c:v>78.028470597565331</c:v>
                </c:pt>
                <c:pt idx="31">
                  <c:v>79.389892439915599</c:v>
                </c:pt>
                <c:pt idx="32">
                  <c:v>81.256585219005572</c:v>
                </c:pt>
                <c:pt idx="33">
                  <c:v>83.198428096538592</c:v>
                </c:pt>
                <c:pt idx="34">
                  <c:v>84.648349495543144</c:v>
                </c:pt>
                <c:pt idx="35">
                  <c:v>85.920021353522102</c:v>
                </c:pt>
                <c:pt idx="36">
                  <c:v>86.218802642740229</c:v>
                </c:pt>
                <c:pt idx="37">
                  <c:v>87.298896226303242</c:v>
                </c:pt>
                <c:pt idx="38">
                  <c:v>89.413337750851952</c:v>
                </c:pt>
                <c:pt idx="39">
                  <c:v>91.818506184586099</c:v>
                </c:pt>
                <c:pt idx="40">
                  <c:v>89.359970231173548</c:v>
                </c:pt>
                <c:pt idx="41">
                  <c:v>88.226502065125615</c:v>
                </c:pt>
                <c:pt idx="42">
                  <c:v>90.021792396373201</c:v>
                </c:pt>
                <c:pt idx="43">
                  <c:v>91.282712045141508</c:v>
                </c:pt>
                <c:pt idx="44">
                  <c:v>92.365855781365596</c:v>
                </c:pt>
                <c:pt idx="45">
                  <c:v>94.28534792272184</c:v>
                </c:pt>
                <c:pt idx="46">
                  <c:v>95.763093182650564</c:v>
                </c:pt>
                <c:pt idx="47">
                  <c:v>96.727291357139208</c:v>
                </c:pt>
                <c:pt idx="48">
                  <c:v>96.149552458983706</c:v>
                </c:pt>
                <c:pt idx="49">
                  <c:v>99.684306384701003</c:v>
                </c:pt>
                <c:pt idx="50">
                  <c:v>100</c:v>
                </c:pt>
                <c:pt idx="51">
                  <c:v>99.12588271113863</c:v>
                </c:pt>
                <c:pt idx="52">
                  <c:v>99.379176755447943</c:v>
                </c:pt>
                <c:pt idx="53">
                  <c:v>100.24249655982064</c:v>
                </c:pt>
                <c:pt idx="54">
                  <c:v>101.13612333954902</c:v>
                </c:pt>
                <c:pt idx="55">
                  <c:v>101.42068330840905</c:v>
                </c:pt>
                <c:pt idx="56">
                  <c:v>101.74556894038211</c:v>
                </c:pt>
              </c:numCache>
            </c:numRef>
          </c:val>
          <c:smooth val="0"/>
        </c:ser>
        <c:ser>
          <c:idx val="1"/>
          <c:order val="1"/>
          <c:tx>
            <c:v>Prix relatif loyers/carburants</c:v>
          </c:tx>
          <c:spPr>
            <a:ln w="381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data2018!$BX$2:$BX$60</c:f>
              <c:numCache>
                <c:formatCode>0.0</c:formatCode>
                <c:ptCount val="59"/>
                <c:pt idx="0">
                  <c:v>55.914202415660149</c:v>
                </c:pt>
                <c:pt idx="1">
                  <c:v>61.40114167099118</c:v>
                </c:pt>
                <c:pt idx="2">
                  <c:v>68.179929357988783</c:v>
                </c:pt>
                <c:pt idx="3">
                  <c:v>75.995850622406621</c:v>
                </c:pt>
                <c:pt idx="4">
                  <c:v>80.850181441161226</c:v>
                </c:pt>
                <c:pt idx="5">
                  <c:v>89.615946566478797</c:v>
                </c:pt>
                <c:pt idx="6">
                  <c:v>97.66520742130497</c:v>
                </c:pt>
                <c:pt idx="7">
                  <c:v>106.62142710261155</c:v>
                </c:pt>
                <c:pt idx="8">
                  <c:v>114.82386479332112</c:v>
                </c:pt>
                <c:pt idx="9">
                  <c:v>117.69777356702984</c:v>
                </c:pt>
                <c:pt idx="10">
                  <c:v>124.52865584841948</c:v>
                </c:pt>
                <c:pt idx="11">
                  <c:v>125.68939189796102</c:v>
                </c:pt>
                <c:pt idx="12">
                  <c:v>131.20294012190749</c:v>
                </c:pt>
                <c:pt idx="13">
                  <c:v>136.26079447322971</c:v>
                </c:pt>
                <c:pt idx="14">
                  <c:v>104.78050595238096</c:v>
                </c:pt>
                <c:pt idx="15">
                  <c:v>110.10274989606225</c:v>
                </c:pt>
                <c:pt idx="16">
                  <c:v>112.01952075451007</c:v>
                </c:pt>
                <c:pt idx="17">
                  <c:v>103.90109118156698</c:v>
                </c:pt>
                <c:pt idx="18">
                  <c:v>101.40546049000044</c:v>
                </c:pt>
                <c:pt idx="19">
                  <c:v>97.144436256448046</c:v>
                </c:pt>
                <c:pt idx="20">
                  <c:v>93.48875358844127</c:v>
                </c:pt>
                <c:pt idx="21">
                  <c:v>92.418931971850427</c:v>
                </c:pt>
                <c:pt idx="22">
                  <c:v>89.184530601344946</c:v>
                </c:pt>
                <c:pt idx="23">
                  <c:v>91.112568108340284</c:v>
                </c:pt>
                <c:pt idx="24">
                  <c:v>90.624934750381058</c:v>
                </c:pt>
                <c:pt idx="25">
                  <c:v>86.891202439896844</c:v>
                </c:pt>
                <c:pt idx="26">
                  <c:v>104.27558039552879</c:v>
                </c:pt>
                <c:pt idx="27">
                  <c:v>109.09942715986284</c:v>
                </c:pt>
                <c:pt idx="28">
                  <c:v>114.53582804227226</c:v>
                </c:pt>
                <c:pt idx="29">
                  <c:v>113.06673004931963</c:v>
                </c:pt>
                <c:pt idx="30">
                  <c:v>112.69901874689779</c:v>
                </c:pt>
                <c:pt idx="31">
                  <c:v>117.02510999848278</c:v>
                </c:pt>
                <c:pt idx="32">
                  <c:v>125.19277224852644</c:v>
                </c:pt>
                <c:pt idx="33">
                  <c:v>125.32343031589137</c:v>
                </c:pt>
                <c:pt idx="34">
                  <c:v>123.68769456471178</c:v>
                </c:pt>
                <c:pt idx="35">
                  <c:v>122.07091513971005</c:v>
                </c:pt>
                <c:pt idx="36">
                  <c:v>116.15509665373658</c:v>
                </c:pt>
                <c:pt idx="37">
                  <c:v>114.41312657323098</c:v>
                </c:pt>
                <c:pt idx="38">
                  <c:v>121.01630312930399</c:v>
                </c:pt>
                <c:pt idx="39">
                  <c:v>118.79270019080445</c:v>
                </c:pt>
                <c:pt idx="40">
                  <c:v>100.62723427658544</c:v>
                </c:pt>
                <c:pt idx="41">
                  <c:v>106.24029676444323</c:v>
                </c:pt>
                <c:pt idx="42">
                  <c:v>112.47072764720821</c:v>
                </c:pt>
                <c:pt idx="43">
                  <c:v>113.30952610751858</c:v>
                </c:pt>
                <c:pt idx="44">
                  <c:v>108.82533904171046</c:v>
                </c:pt>
                <c:pt idx="45">
                  <c:v>100.51948051948052</c:v>
                </c:pt>
                <c:pt idx="46">
                  <c:v>98.604691254269426</c:v>
                </c:pt>
                <c:pt idx="47">
                  <c:v>99.79702514985253</c:v>
                </c:pt>
                <c:pt idx="48">
                  <c:v>90.725518227305216</c:v>
                </c:pt>
                <c:pt idx="49">
                  <c:v>110.96118757461761</c:v>
                </c:pt>
                <c:pt idx="50">
                  <c:v>100</c:v>
                </c:pt>
                <c:pt idx="51">
                  <c:v>88.560422589589706</c:v>
                </c:pt>
                <c:pt idx="52">
                  <c:v>85.803522151422399</c:v>
                </c:pt>
                <c:pt idx="53">
                  <c:v>89.234867823673525</c:v>
                </c:pt>
                <c:pt idx="54">
                  <c:v>93.733853582054977</c:v>
                </c:pt>
                <c:pt idx="55">
                  <c:v>104.11856750612618</c:v>
                </c:pt>
                <c:pt idx="56">
                  <c:v>109.33000793560819</c:v>
                </c:pt>
              </c:numCache>
            </c:numRef>
          </c:val>
          <c:smooth val="0"/>
        </c:ser>
        <c:ser>
          <c:idx val="2"/>
          <c:order val="2"/>
          <c:tx>
            <c:v>Prix réel des carburants</c:v>
          </c:tx>
          <c:spPr>
            <a:ln w="127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dLbls>
          <c:showLegendKey val="0"/>
          <c:showVal val="0"/>
          <c:showCatName val="0"/>
          <c:showSerName val="0"/>
          <c:showPercent val="0"/>
          <c:showBubbleSize val="0"/>
        </c:dLbls>
        <c:marker val="1"/>
        <c:smooth val="0"/>
        <c:axId val="312376320"/>
        <c:axId val="312870016"/>
      </c:lineChart>
      <c:catAx>
        <c:axId val="312376320"/>
        <c:scaling>
          <c:orientation val="minMax"/>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DejaVu Serif"/>
                <a:ea typeface="DejaVu Serif"/>
                <a:cs typeface="DejaVu Serif"/>
              </a:defRPr>
            </a:pPr>
            <a:endParaRPr lang="fr-FR"/>
          </a:p>
        </c:txPr>
        <c:crossAx val="312870016"/>
        <c:crosses val="autoZero"/>
        <c:auto val="1"/>
        <c:lblAlgn val="ctr"/>
        <c:lblOffset val="100"/>
        <c:tickLblSkip val="5"/>
        <c:tickMarkSkip val="5"/>
        <c:noMultiLvlLbl val="0"/>
      </c:catAx>
      <c:valAx>
        <c:axId val="312870016"/>
        <c:scaling>
          <c:orientation val="minMax"/>
          <c:max val="16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Base 100 en 2010</a:t>
                </a:r>
              </a:p>
            </c:rich>
          </c:tx>
          <c:layout>
            <c:manualLayout>
              <c:xMode val="edge"/>
              <c:yMode val="edge"/>
              <c:x val="0"/>
              <c:y val="3.918914014331682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312376320"/>
        <c:crosses val="autoZero"/>
        <c:crossBetween val="between"/>
        <c:majorUnit val="20"/>
      </c:valAx>
      <c:spPr>
        <a:noFill/>
        <a:ln w="12700">
          <a:solidFill>
            <a:srgbClr val="808080"/>
          </a:solidFill>
          <a:prstDash val="solid"/>
        </a:ln>
      </c:spPr>
    </c:plotArea>
    <c:legend>
      <c:legendPos val="r"/>
      <c:layout>
        <c:manualLayout>
          <c:xMode val="edge"/>
          <c:yMode val="edge"/>
          <c:x val="0.73750000000000004"/>
          <c:y val="0"/>
          <c:w val="0.26249999999999996"/>
          <c:h val="7.7571669477234401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Indices de prix réels du coût de la construction
du carburant et de leur prix relatif</a:t>
            </a:r>
          </a:p>
        </c:rich>
      </c:tx>
      <c:layout>
        <c:manualLayout>
          <c:xMode val="edge"/>
          <c:yMode val="edge"/>
          <c:x val="0.22435367454068242"/>
          <c:y val="0"/>
        </c:manualLayout>
      </c:layout>
      <c:overlay val="0"/>
      <c:spPr>
        <a:noFill/>
        <a:ln w="25400">
          <a:noFill/>
        </a:ln>
      </c:spPr>
    </c:title>
    <c:autoTitleDeleted val="0"/>
    <c:plotArea>
      <c:layout>
        <c:manualLayout>
          <c:layoutTarget val="inner"/>
          <c:xMode val="edge"/>
          <c:yMode val="edge"/>
          <c:x val="4.0867389491242696E-2"/>
          <c:y val="0.11216216216216215"/>
          <c:w val="0.9591326105087572"/>
          <c:h val="0.83648648648648638"/>
        </c:manualLayout>
      </c:layout>
      <c:lineChart>
        <c:grouping val="standard"/>
        <c:varyColors val="0"/>
        <c:ser>
          <c:idx val="0"/>
          <c:order val="0"/>
          <c:tx>
            <c:v>Coût réel de la construction</c:v>
          </c:tx>
          <c:spPr>
            <a:ln w="25400">
              <a:solidFill>
                <a:srgbClr val="0000FF"/>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data2018!$CN$2:$CN$60</c:f>
              <c:numCache>
                <c:formatCode>0.0</c:formatCode>
                <c:ptCount val="59"/>
                <c:pt idx="0">
                  <c:v>85.889800216400047</c:v>
                </c:pt>
                <c:pt idx="1">
                  <c:v>84.867893376610581</c:v>
                </c:pt>
                <c:pt idx="2">
                  <c:v>85.610661268556015</c:v>
                </c:pt>
                <c:pt idx="3">
                  <c:v>89.571515614406962</c:v>
                </c:pt>
                <c:pt idx="4">
                  <c:v>92.557014082166731</c:v>
                </c:pt>
                <c:pt idx="5">
                  <c:v>95.231591088447757</c:v>
                </c:pt>
                <c:pt idx="6">
                  <c:v>94.777699642103684</c:v>
                </c:pt>
                <c:pt idx="7">
                  <c:v>93.43743096342682</c:v>
                </c:pt>
                <c:pt idx="8">
                  <c:v>93.03630614361451</c:v>
                </c:pt>
                <c:pt idx="9">
                  <c:v>91.844543164395816</c:v>
                </c:pt>
                <c:pt idx="10">
                  <c:v>89.874127858239078</c:v>
                </c:pt>
                <c:pt idx="11">
                  <c:v>90.118647636659929</c:v>
                </c:pt>
                <c:pt idx="12">
                  <c:v>90.173161296273889</c:v>
                </c:pt>
                <c:pt idx="13">
                  <c:v>91.029037927198274</c:v>
                </c:pt>
                <c:pt idx="14">
                  <c:v>92.063562915680947</c:v>
                </c:pt>
                <c:pt idx="15">
                  <c:v>93.299283587742082</c:v>
                </c:pt>
                <c:pt idx="16">
                  <c:v>94.992458174532814</c:v>
                </c:pt>
                <c:pt idx="17">
                  <c:v>95.058494159360393</c:v>
                </c:pt>
                <c:pt idx="18">
                  <c:v>95.06624361179064</c:v>
                </c:pt>
                <c:pt idx="19">
                  <c:v>94.841426953633302</c:v>
                </c:pt>
                <c:pt idx="20">
                  <c:v>95.348229435680096</c:v>
                </c:pt>
                <c:pt idx="21">
                  <c:v>91.730270096965725</c:v>
                </c:pt>
                <c:pt idx="22">
                  <c:v>90.981938644288675</c:v>
                </c:pt>
                <c:pt idx="23">
                  <c:v>88.565643560052123</c:v>
                </c:pt>
                <c:pt idx="24">
                  <c:v>86.924609977713018</c:v>
                </c:pt>
                <c:pt idx="25">
                  <c:v>84.450256074970028</c:v>
                </c:pt>
                <c:pt idx="26">
                  <c:v>84.883305104394665</c:v>
                </c:pt>
                <c:pt idx="27">
                  <c:v>84.844412802263577</c:v>
                </c:pt>
                <c:pt idx="28">
                  <c:v>84.94327702524464</c:v>
                </c:pt>
                <c:pt idx="29">
                  <c:v>82.946888943754445</c:v>
                </c:pt>
                <c:pt idx="30">
                  <c:v>82.566193826292221</c:v>
                </c:pt>
                <c:pt idx="31">
                  <c:v>83.840864706153198</c:v>
                </c:pt>
                <c:pt idx="32">
                  <c:v>82.954779515644759</c:v>
                </c:pt>
                <c:pt idx="33">
                  <c:v>82.662655390344966</c:v>
                </c:pt>
                <c:pt idx="34">
                  <c:v>82.023375917018527</c:v>
                </c:pt>
                <c:pt idx="35">
                  <c:v>81.237093060233022</c:v>
                </c:pt>
                <c:pt idx="36">
                  <c:v>81.410553480150853</c:v>
                </c:pt>
                <c:pt idx="37">
                  <c:v>82.717508437887872</c:v>
                </c:pt>
                <c:pt idx="38">
                  <c:v>82.653319864883699</c:v>
                </c:pt>
                <c:pt idx="39">
                  <c:v>83.919137162602027</c:v>
                </c:pt>
                <c:pt idx="40">
                  <c:v>84.000235017050969</c:v>
                </c:pt>
                <c:pt idx="41">
                  <c:v>85.365081061735196</c:v>
                </c:pt>
                <c:pt idx="42">
                  <c:v>86.616901319726608</c:v>
                </c:pt>
                <c:pt idx="43">
                  <c:v>87.728554625110789</c:v>
                </c:pt>
                <c:pt idx="44">
                  <c:v>90.060060558725226</c:v>
                </c:pt>
                <c:pt idx="45">
                  <c:v>90.616592130008726</c:v>
                </c:pt>
                <c:pt idx="46">
                  <c:v>94.916796779265709</c:v>
                </c:pt>
                <c:pt idx="47">
                  <c:v>96.683797972825403</c:v>
                </c:pt>
                <c:pt idx="48">
                  <c:v>101.24887603255493</c:v>
                </c:pt>
                <c:pt idx="49">
                  <c:v>100.0189054037502</c:v>
                </c:pt>
                <c:pt idx="50">
                  <c:v>100</c:v>
                </c:pt>
                <c:pt idx="51">
                  <c:v>103.51388947042759</c:v>
                </c:pt>
                <c:pt idx="52">
                  <c:v>104.65783101822353</c:v>
                </c:pt>
                <c:pt idx="53">
                  <c:v>103.0344483886995</c:v>
                </c:pt>
                <c:pt idx="54">
                  <c:v>103.09049527449992</c:v>
                </c:pt>
                <c:pt idx="55">
                  <c:v>102.21662014809255</c:v>
                </c:pt>
                <c:pt idx="56">
                  <c:v>102.93013786864921</c:v>
                </c:pt>
                <c:pt idx="57">
                  <c:v>103.87896467727111</c:v>
                </c:pt>
              </c:numCache>
            </c:numRef>
          </c:val>
          <c:smooth val="0"/>
        </c:ser>
        <c:ser>
          <c:idx val="1"/>
          <c:order val="1"/>
          <c:tx>
            <c:v>Prix relatif construction/carburant</c:v>
          </c:tx>
          <c:spPr>
            <a:ln w="381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data2018!$CO$2:$CO$60</c:f>
              <c:numCache>
                <c:formatCode>0.0</c:formatCode>
                <c:ptCount val="59"/>
                <c:pt idx="0">
                  <c:v>97.44432144501198</c:v>
                </c:pt>
                <c:pt idx="1">
                  <c:v>98.837844481468323</c:v>
                </c:pt>
                <c:pt idx="2">
                  <c:v>104.05617461480422</c:v>
                </c:pt>
                <c:pt idx="3">
                  <c:v>113.97139113343525</c:v>
                </c:pt>
                <c:pt idx="4">
                  <c:v>121.5860413085591</c:v>
                </c:pt>
                <c:pt idx="5">
                  <c:v>129.25139241340671</c:v>
                </c:pt>
                <c:pt idx="6">
                  <c:v>132.3469712429918</c:v>
                </c:pt>
                <c:pt idx="7">
                  <c:v>132.74916934532507</c:v>
                </c:pt>
                <c:pt idx="8">
                  <c:v>137.48003943885371</c:v>
                </c:pt>
                <c:pt idx="9">
                  <c:v>135.2564262385001</c:v>
                </c:pt>
                <c:pt idx="10">
                  <c:v>137.61422597860377</c:v>
                </c:pt>
                <c:pt idx="11">
                  <c:v>139.60983704207976</c:v>
                </c:pt>
                <c:pt idx="12">
                  <c:v>147.57812647430697</c:v>
                </c:pt>
                <c:pt idx="13">
                  <c:v>153.96327606581218</c:v>
                </c:pt>
                <c:pt idx="14">
                  <c:v>127.88318452380952</c:v>
                </c:pt>
                <c:pt idx="15">
                  <c:v>138.61623679677902</c:v>
                </c:pt>
                <c:pt idx="16">
                  <c:v>142.85590600947179</c:v>
                </c:pt>
                <c:pt idx="17">
                  <c:v>133.48611189848833</c:v>
                </c:pt>
                <c:pt idx="18">
                  <c:v>131.57336038921133</c:v>
                </c:pt>
                <c:pt idx="19">
                  <c:v>126.35505953535274</c:v>
                </c:pt>
                <c:pt idx="20">
                  <c:v>122.9700090157252</c:v>
                </c:pt>
                <c:pt idx="21">
                  <c:v>117.60764890008933</c:v>
                </c:pt>
                <c:pt idx="22">
                  <c:v>114.71750982905053</c:v>
                </c:pt>
                <c:pt idx="23">
                  <c:v>113.93533232824322</c:v>
                </c:pt>
                <c:pt idx="24">
                  <c:v>111.43948077237967</c:v>
                </c:pt>
                <c:pt idx="25">
                  <c:v>103.66886208499014</c:v>
                </c:pt>
                <c:pt idx="26">
                  <c:v>122.18853237996106</c:v>
                </c:pt>
                <c:pt idx="27">
                  <c:v>124.61878839435519</c:v>
                </c:pt>
                <c:pt idx="28">
                  <c:v>126.9105273149757</c:v>
                </c:pt>
                <c:pt idx="29">
                  <c:v>120.8296976918498</c:v>
                </c:pt>
                <c:pt idx="30">
                  <c:v>119.25299771516534</c:v>
                </c:pt>
                <c:pt idx="31">
                  <c:v>123.58609028260224</c:v>
                </c:pt>
                <c:pt idx="32">
                  <c:v>127.80919590502008</c:v>
                </c:pt>
                <c:pt idx="33">
                  <c:v>124.51638533985046</c:v>
                </c:pt>
                <c:pt idx="34">
                  <c:v>119.85209786193039</c:v>
                </c:pt>
                <c:pt idx="35">
                  <c:v>115.41764232517757</c:v>
                </c:pt>
                <c:pt idx="36">
                  <c:v>109.67736060200721</c:v>
                </c:pt>
                <c:pt idx="37">
                  <c:v>108.40880207915919</c:v>
                </c:pt>
                <c:pt idx="38">
                  <c:v>111.86697044330822</c:v>
                </c:pt>
                <c:pt idx="39">
                  <c:v>108.57267576524248</c:v>
                </c:pt>
                <c:pt idx="40">
                  <c:v>94.591698122570151</c:v>
                </c:pt>
                <c:pt idx="41">
                  <c:v>102.794640306888</c:v>
                </c:pt>
                <c:pt idx="42">
                  <c:v>108.21675128486513</c:v>
                </c:pt>
                <c:pt idx="43">
                  <c:v>108.89773899085132</c:v>
                </c:pt>
                <c:pt idx="44">
                  <c:v>106.10865391232072</c:v>
                </c:pt>
                <c:pt idx="45">
                  <c:v>96.608147162163775</c:v>
                </c:pt>
                <c:pt idx="46">
                  <c:v>97.733282522659238</c:v>
                </c:pt>
                <c:pt idx="47">
                  <c:v>99.752151461079521</c:v>
                </c:pt>
                <c:pt idx="48">
                  <c:v>95.537176336876954</c:v>
                </c:pt>
                <c:pt idx="49">
                  <c:v>111.3336384233171</c:v>
                </c:pt>
                <c:pt idx="50">
                  <c:v>100</c:v>
                </c:pt>
                <c:pt idx="51">
                  <c:v>92.480727986123028</c:v>
                </c:pt>
                <c:pt idx="52">
                  <c:v>90.36108785837456</c:v>
                </c:pt>
                <c:pt idx="53">
                  <c:v>91.7202354169616</c:v>
                </c:pt>
                <c:pt idx="54">
                  <c:v>95.545182776278992</c:v>
                </c:pt>
                <c:pt idx="55">
                  <c:v>104.93567700361589</c:v>
                </c:pt>
                <c:pt idx="56">
                  <c:v>110.60287840728057</c:v>
                </c:pt>
              </c:numCache>
            </c:numRef>
          </c:val>
          <c:smooth val="0"/>
        </c:ser>
        <c:ser>
          <c:idx val="2"/>
          <c:order val="2"/>
          <c:tx>
            <c:v>Prix réel du carburant</c:v>
          </c:tx>
          <c:spPr>
            <a:ln w="127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dLbls>
          <c:showLegendKey val="0"/>
          <c:showVal val="0"/>
          <c:showCatName val="0"/>
          <c:showSerName val="0"/>
          <c:showPercent val="0"/>
          <c:showBubbleSize val="0"/>
        </c:dLbls>
        <c:marker val="1"/>
        <c:smooth val="0"/>
        <c:axId val="315500800"/>
        <c:axId val="316274176"/>
      </c:lineChart>
      <c:catAx>
        <c:axId val="315500800"/>
        <c:scaling>
          <c:orientation val="minMax"/>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DejaVu Serif"/>
                <a:ea typeface="DejaVu Serif"/>
                <a:cs typeface="DejaVu Serif"/>
              </a:defRPr>
            </a:pPr>
            <a:endParaRPr lang="fr-FR"/>
          </a:p>
        </c:txPr>
        <c:crossAx val="316274176"/>
        <c:crosses val="autoZero"/>
        <c:auto val="1"/>
        <c:lblAlgn val="ctr"/>
        <c:lblOffset val="100"/>
        <c:tickLblSkip val="5"/>
        <c:tickMarkSkip val="5"/>
        <c:noMultiLvlLbl val="0"/>
      </c:catAx>
      <c:valAx>
        <c:axId val="316274176"/>
        <c:scaling>
          <c:orientation val="minMax"/>
          <c:max val="16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Base 100 en 2010</a:t>
                </a:r>
              </a:p>
            </c:rich>
          </c:tx>
          <c:layout>
            <c:manualLayout>
              <c:xMode val="edge"/>
              <c:yMode val="edge"/>
              <c:x val="0"/>
              <c:y val="2.9729698627469207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315500800"/>
        <c:crosses val="autoZero"/>
        <c:crossBetween val="between"/>
      </c:valAx>
      <c:spPr>
        <a:noFill/>
        <a:ln w="12700">
          <a:solidFill>
            <a:srgbClr val="808080"/>
          </a:solidFill>
          <a:prstDash val="solid"/>
        </a:ln>
      </c:spPr>
    </c:plotArea>
    <c:legend>
      <c:legendPos val="r"/>
      <c:layout>
        <c:manualLayout>
          <c:xMode val="edge"/>
          <c:yMode val="edge"/>
          <c:x val="0.72291666666666665"/>
          <c:y val="0"/>
          <c:w val="0.27604166666666663"/>
          <c:h val="8.0944350758853284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Indices de prix réels de la construction neuve, , des loyers, 
des logements anciens, des carburants et des véhicules neufs</a:t>
            </a:r>
          </a:p>
        </c:rich>
      </c:tx>
      <c:layout>
        <c:manualLayout>
          <c:xMode val="edge"/>
          <c:yMode val="edge"/>
          <c:x val="0.16096751968503936"/>
          <c:y val="1.3513740799263498E-3"/>
        </c:manualLayout>
      </c:layout>
      <c:overlay val="0"/>
      <c:spPr>
        <a:noFill/>
        <a:ln w="25400">
          <a:noFill/>
        </a:ln>
      </c:spPr>
    </c:title>
    <c:autoTitleDeleted val="0"/>
    <c:plotArea>
      <c:layout>
        <c:manualLayout>
          <c:layoutTarget val="inner"/>
          <c:xMode val="edge"/>
          <c:yMode val="edge"/>
          <c:x val="4.0867389491242696E-2"/>
          <c:y val="0.11621621621621622"/>
          <c:w val="0.9591326105087572"/>
          <c:h val="0.83243243243243248"/>
        </c:manualLayout>
      </c:layout>
      <c:lineChart>
        <c:grouping val="standard"/>
        <c:varyColors val="0"/>
        <c:ser>
          <c:idx val="0"/>
          <c:order val="0"/>
          <c:tx>
            <c:v>Prix réel de la construction neuve</c:v>
          </c:tx>
          <c:spPr>
            <a:ln w="25400">
              <a:solidFill>
                <a:srgbClr val="0000FF"/>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data2018!$CN$2:$CN$60</c:f>
              <c:numCache>
                <c:formatCode>0.0</c:formatCode>
                <c:ptCount val="59"/>
                <c:pt idx="0">
                  <c:v>85.889800216400047</c:v>
                </c:pt>
                <c:pt idx="1">
                  <c:v>84.867893376610581</c:v>
                </c:pt>
                <c:pt idx="2">
                  <c:v>85.610661268556015</c:v>
                </c:pt>
                <c:pt idx="3">
                  <c:v>89.571515614406962</c:v>
                </c:pt>
                <c:pt idx="4">
                  <c:v>92.557014082166731</c:v>
                </c:pt>
                <c:pt idx="5">
                  <c:v>95.231591088447757</c:v>
                </c:pt>
                <c:pt idx="6">
                  <c:v>94.777699642103684</c:v>
                </c:pt>
                <c:pt idx="7">
                  <c:v>93.43743096342682</c:v>
                </c:pt>
                <c:pt idx="8">
                  <c:v>93.03630614361451</c:v>
                </c:pt>
                <c:pt idx="9">
                  <c:v>91.844543164395816</c:v>
                </c:pt>
                <c:pt idx="10">
                  <c:v>89.874127858239078</c:v>
                </c:pt>
                <c:pt idx="11">
                  <c:v>90.118647636659929</c:v>
                </c:pt>
                <c:pt idx="12">
                  <c:v>90.173161296273889</c:v>
                </c:pt>
                <c:pt idx="13">
                  <c:v>91.029037927198274</c:v>
                </c:pt>
                <c:pt idx="14">
                  <c:v>92.063562915680947</c:v>
                </c:pt>
                <c:pt idx="15">
                  <c:v>93.299283587742082</c:v>
                </c:pt>
                <c:pt idx="16">
                  <c:v>94.992458174532814</c:v>
                </c:pt>
                <c:pt idx="17">
                  <c:v>95.058494159360393</c:v>
                </c:pt>
                <c:pt idx="18">
                  <c:v>95.06624361179064</c:v>
                </c:pt>
                <c:pt idx="19">
                  <c:v>94.841426953633302</c:v>
                </c:pt>
                <c:pt idx="20">
                  <c:v>95.348229435680096</c:v>
                </c:pt>
                <c:pt idx="21">
                  <c:v>91.730270096965725</c:v>
                </c:pt>
                <c:pt idx="22">
                  <c:v>90.981938644288675</c:v>
                </c:pt>
                <c:pt idx="23">
                  <c:v>88.565643560052123</c:v>
                </c:pt>
                <c:pt idx="24">
                  <c:v>86.924609977713018</c:v>
                </c:pt>
                <c:pt idx="25">
                  <c:v>84.450256074970028</c:v>
                </c:pt>
                <c:pt idx="26">
                  <c:v>84.883305104394665</c:v>
                </c:pt>
                <c:pt idx="27">
                  <c:v>84.844412802263577</c:v>
                </c:pt>
                <c:pt idx="28">
                  <c:v>84.94327702524464</c:v>
                </c:pt>
                <c:pt idx="29">
                  <c:v>82.946888943754445</c:v>
                </c:pt>
                <c:pt idx="30">
                  <c:v>82.566193826292221</c:v>
                </c:pt>
                <c:pt idx="31">
                  <c:v>83.840864706153198</c:v>
                </c:pt>
                <c:pt idx="32">
                  <c:v>82.954779515644759</c:v>
                </c:pt>
                <c:pt idx="33">
                  <c:v>82.662655390344966</c:v>
                </c:pt>
                <c:pt idx="34">
                  <c:v>82.023375917018527</c:v>
                </c:pt>
                <c:pt idx="35">
                  <c:v>81.237093060233022</c:v>
                </c:pt>
                <c:pt idx="36">
                  <c:v>81.410553480150853</c:v>
                </c:pt>
                <c:pt idx="37">
                  <c:v>82.717508437887872</c:v>
                </c:pt>
                <c:pt idx="38">
                  <c:v>82.653319864883699</c:v>
                </c:pt>
                <c:pt idx="39">
                  <c:v>83.919137162602027</c:v>
                </c:pt>
                <c:pt idx="40">
                  <c:v>84.000235017050969</c:v>
                </c:pt>
                <c:pt idx="41">
                  <c:v>85.365081061735196</c:v>
                </c:pt>
                <c:pt idx="42">
                  <c:v>86.616901319726608</c:v>
                </c:pt>
                <c:pt idx="43">
                  <c:v>87.728554625110789</c:v>
                </c:pt>
                <c:pt idx="44">
                  <c:v>90.060060558725226</c:v>
                </c:pt>
                <c:pt idx="45">
                  <c:v>90.616592130008726</c:v>
                </c:pt>
                <c:pt idx="46">
                  <c:v>94.916796779265709</c:v>
                </c:pt>
                <c:pt idx="47">
                  <c:v>96.683797972825403</c:v>
                </c:pt>
                <c:pt idx="48">
                  <c:v>101.24887603255493</c:v>
                </c:pt>
                <c:pt idx="49">
                  <c:v>100.0189054037502</c:v>
                </c:pt>
                <c:pt idx="50">
                  <c:v>100</c:v>
                </c:pt>
                <c:pt idx="51">
                  <c:v>103.51388947042759</c:v>
                </c:pt>
                <c:pt idx="52">
                  <c:v>104.65783101822353</c:v>
                </c:pt>
                <c:pt idx="53">
                  <c:v>103.0344483886995</c:v>
                </c:pt>
                <c:pt idx="54">
                  <c:v>103.09049527449992</c:v>
                </c:pt>
                <c:pt idx="55">
                  <c:v>102.21662014809255</c:v>
                </c:pt>
                <c:pt idx="56">
                  <c:v>102.93013786864921</c:v>
                </c:pt>
                <c:pt idx="57">
                  <c:v>103.87896467727111</c:v>
                </c:pt>
              </c:numCache>
            </c:numRef>
          </c:val>
          <c:smooth val="0"/>
        </c:ser>
        <c:ser>
          <c:idx val="1"/>
          <c:order val="1"/>
          <c:tx>
            <c:v>Prix réel des logements anciens</c:v>
          </c:tx>
          <c:spPr>
            <a:ln w="381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data2018!$CU$2:$CU$60</c:f>
              <c:numCache>
                <c:formatCode>0.0</c:formatCode>
                <c:ptCount val="59"/>
                <c:pt idx="0">
                  <c:v>9.895388947702191</c:v>
                </c:pt>
                <c:pt idx="1">
                  <c:v>9.6087833503398148</c:v>
                </c:pt>
                <c:pt idx="2">
                  <c:v>10.836559571301059</c:v>
                </c:pt>
                <c:pt idx="3">
                  <c:v>12.437837367057128</c:v>
                </c:pt>
                <c:pt idx="4">
                  <c:v>15.675374128279996</c:v>
                </c:pt>
                <c:pt idx="5">
                  <c:v>19.78697527988999</c:v>
                </c:pt>
                <c:pt idx="6">
                  <c:v>24.330879941434453</c:v>
                </c:pt>
                <c:pt idx="7">
                  <c:v>26.298064707256639</c:v>
                </c:pt>
                <c:pt idx="8">
                  <c:v>26.5651024371336</c:v>
                </c:pt>
                <c:pt idx="9">
                  <c:v>26.828725449459906</c:v>
                </c:pt>
                <c:pt idx="10">
                  <c:v>28.53028094475798</c:v>
                </c:pt>
                <c:pt idx="11">
                  <c:v>28.155046231611013</c:v>
                </c:pt>
                <c:pt idx="12">
                  <c:v>28.28070908222411</c:v>
                </c:pt>
                <c:pt idx="13">
                  <c:v>28.993013979309122</c:v>
                </c:pt>
                <c:pt idx="14">
                  <c:v>28.350734119116634</c:v>
                </c:pt>
                <c:pt idx="15">
                  <c:v>29.801953223526805</c:v>
                </c:pt>
                <c:pt idx="16">
                  <c:v>30.863906268383637</c:v>
                </c:pt>
                <c:pt idx="17">
                  <c:v>33.55858739243557</c:v>
                </c:pt>
                <c:pt idx="18">
                  <c:v>36.417422053814086</c:v>
                </c:pt>
                <c:pt idx="19">
                  <c:v>37.163717229761772</c:v>
                </c:pt>
                <c:pt idx="20">
                  <c:v>37.836833950930156</c:v>
                </c:pt>
                <c:pt idx="21">
                  <c:v>41.52942476872127</c:v>
                </c:pt>
                <c:pt idx="22">
                  <c:v>41.742286701292407</c:v>
                </c:pt>
                <c:pt idx="23">
                  <c:v>40.365202559772591</c:v>
                </c:pt>
                <c:pt idx="24">
                  <c:v>39.421955477027566</c:v>
                </c:pt>
                <c:pt idx="25">
                  <c:v>38.628505400635817</c:v>
                </c:pt>
                <c:pt idx="26">
                  <c:v>38.896536964563872</c:v>
                </c:pt>
                <c:pt idx="27">
                  <c:v>39.603450282745669</c:v>
                </c:pt>
                <c:pt idx="28">
                  <c:v>41.516887131845252</c:v>
                </c:pt>
                <c:pt idx="29">
                  <c:v>44.821982547414017</c:v>
                </c:pt>
                <c:pt idx="30">
                  <c:v>49.546071975686907</c:v>
                </c:pt>
                <c:pt idx="31">
                  <c:v>52.887452406631141</c:v>
                </c:pt>
                <c:pt idx="32">
                  <c:v>54.391240515586581</c:v>
                </c:pt>
                <c:pt idx="33">
                  <c:v>52.346994767638691</c:v>
                </c:pt>
                <c:pt idx="34">
                  <c:v>51.128783020411049</c:v>
                </c:pt>
                <c:pt idx="35">
                  <c:v>50.569992469906779</c:v>
                </c:pt>
                <c:pt idx="36">
                  <c:v>49.347496237902725</c:v>
                </c:pt>
                <c:pt idx="37">
                  <c:v>48.740454445458774</c:v>
                </c:pt>
                <c:pt idx="38">
                  <c:v>49.674219434521028</c:v>
                </c:pt>
                <c:pt idx="39">
                  <c:v>53.319359983820341</c:v>
                </c:pt>
                <c:pt idx="40">
                  <c:v>56.73783726150166</c:v>
                </c:pt>
                <c:pt idx="41">
                  <c:v>60.079187676468834</c:v>
                </c:pt>
                <c:pt idx="42">
                  <c:v>64.639157223213076</c:v>
                </c:pt>
                <c:pt idx="43">
                  <c:v>71.099726569232658</c:v>
                </c:pt>
                <c:pt idx="44">
                  <c:v>80.177175000993344</c:v>
                </c:pt>
                <c:pt idx="45">
                  <c:v>90.879113073542442</c:v>
                </c:pt>
                <c:pt idx="46">
                  <c:v>99.712086090581039</c:v>
                </c:pt>
                <c:pt idx="47">
                  <c:v>104.04825423413777</c:v>
                </c:pt>
                <c:pt idx="48">
                  <c:v>102.05859333355868</c:v>
                </c:pt>
                <c:pt idx="49">
                  <c:v>96.246861223171024</c:v>
                </c:pt>
                <c:pt idx="50">
                  <c:v>100</c:v>
                </c:pt>
                <c:pt idx="51">
                  <c:v>104.05141477897328</c:v>
                </c:pt>
                <c:pt idx="52">
                  <c:v>102.04582938554937</c:v>
                </c:pt>
                <c:pt idx="53">
                  <c:v>99.250470672694576</c:v>
                </c:pt>
                <c:pt idx="54">
                  <c:v>97.395665444798013</c:v>
                </c:pt>
                <c:pt idx="55">
                  <c:v>95.399467207868753</c:v>
                </c:pt>
                <c:pt idx="56">
                  <c:v>96.281049480119407</c:v>
                </c:pt>
                <c:pt idx="57">
                  <c:v>98.194944878546409</c:v>
                </c:pt>
              </c:numCache>
            </c:numRef>
          </c:val>
          <c:smooth val="0"/>
        </c:ser>
        <c:ser>
          <c:idx val="2"/>
          <c:order val="2"/>
          <c:tx>
            <c:v>Prix réel des carburants</c:v>
          </c:tx>
          <c:spPr>
            <a:ln w="127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ser>
          <c:idx val="3"/>
          <c:order val="3"/>
          <c:tx>
            <c:v>Prix réels des loyers</c:v>
          </c:tx>
          <c:spPr>
            <a:ln w="38100">
              <a:solidFill>
                <a:srgbClr val="FF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data2018!$BW$2:$BW$60</c:f>
              <c:numCache>
                <c:formatCode>0.0</c:formatCode>
                <c:ptCount val="59"/>
                <c:pt idx="0">
                  <c:v>49.284140969162991</c:v>
                </c:pt>
                <c:pt idx="1">
                  <c:v>52.722573745655467</c:v>
                </c:pt>
                <c:pt idx="2">
                  <c:v>56.09401709401709</c:v>
                </c:pt>
                <c:pt idx="3">
                  <c:v>59.726072069134183</c:v>
                </c:pt>
                <c:pt idx="4">
                  <c:v>61.546961325966848</c:v>
                </c:pt>
                <c:pt idx="5">
                  <c:v>66.028450595924639</c:v>
                </c:pt>
                <c:pt idx="6">
                  <c:v>69.941031574233023</c:v>
                </c:pt>
                <c:pt idx="7">
                  <c:v>75.047040092632798</c:v>
                </c:pt>
                <c:pt idx="8">
                  <c:v>77.704285517431444</c:v>
                </c:pt>
                <c:pt idx="9">
                  <c:v>79.921513124034988</c:v>
                </c:pt>
                <c:pt idx="10">
                  <c:v>81.328105856407731</c:v>
                </c:pt>
                <c:pt idx="11">
                  <c:v>81.132950658085463</c:v>
                </c:pt>
                <c:pt idx="12">
                  <c:v>80.167597765363141</c:v>
                </c:pt>
                <c:pt idx="13">
                  <c:v>80.562646788522429</c:v>
                </c:pt>
                <c:pt idx="14">
                  <c:v>75.431861804222663</c:v>
                </c:pt>
                <c:pt idx="15">
                  <c:v>74.107535478712762</c:v>
                </c:pt>
                <c:pt idx="16">
                  <c:v>74.487712389703205</c:v>
                </c:pt>
                <c:pt idx="17">
                  <c:v>73.990328497582126</c:v>
                </c:pt>
                <c:pt idx="18">
                  <c:v>73.268906273968412</c:v>
                </c:pt>
                <c:pt idx="19">
                  <c:v>72.916090491730728</c:v>
                </c:pt>
                <c:pt idx="20">
                  <c:v>72.489115013942566</c:v>
                </c:pt>
                <c:pt idx="21">
                  <c:v>72.083862496502149</c:v>
                </c:pt>
                <c:pt idx="22">
                  <c:v>70.731848200704704</c:v>
                </c:pt>
                <c:pt idx="23">
                  <c:v>70.824765821338801</c:v>
                </c:pt>
                <c:pt idx="24">
                  <c:v>70.688925081433226</c:v>
                </c:pt>
                <c:pt idx="25">
                  <c:v>70.782915420596595</c:v>
                </c:pt>
                <c:pt idx="26">
                  <c:v>72.439333980437539</c:v>
                </c:pt>
                <c:pt idx="27">
                  <c:v>74.278340800023201</c:v>
                </c:pt>
                <c:pt idx="28">
                  <c:v>76.660689830436695</c:v>
                </c:pt>
                <c:pt idx="29">
                  <c:v>77.617785029573739</c:v>
                </c:pt>
                <c:pt idx="30">
                  <c:v>78.028470597565331</c:v>
                </c:pt>
                <c:pt idx="31">
                  <c:v>79.389892439915599</c:v>
                </c:pt>
                <c:pt idx="32">
                  <c:v>81.256585219005572</c:v>
                </c:pt>
                <c:pt idx="33">
                  <c:v>83.198428096538592</c:v>
                </c:pt>
                <c:pt idx="34">
                  <c:v>84.648349495543144</c:v>
                </c:pt>
                <c:pt idx="35">
                  <c:v>85.920021353522102</c:v>
                </c:pt>
                <c:pt idx="36">
                  <c:v>86.218802642740229</c:v>
                </c:pt>
                <c:pt idx="37">
                  <c:v>87.298896226303242</c:v>
                </c:pt>
                <c:pt idx="38">
                  <c:v>89.413337750851952</c:v>
                </c:pt>
                <c:pt idx="39">
                  <c:v>91.818506184586099</c:v>
                </c:pt>
                <c:pt idx="40">
                  <c:v>89.359970231173548</c:v>
                </c:pt>
                <c:pt idx="41">
                  <c:v>88.226502065125615</c:v>
                </c:pt>
                <c:pt idx="42">
                  <c:v>90.021792396373201</c:v>
                </c:pt>
                <c:pt idx="43">
                  <c:v>91.282712045141508</c:v>
                </c:pt>
                <c:pt idx="44">
                  <c:v>92.365855781365596</c:v>
                </c:pt>
                <c:pt idx="45">
                  <c:v>94.28534792272184</c:v>
                </c:pt>
                <c:pt idx="46">
                  <c:v>95.763093182650564</c:v>
                </c:pt>
                <c:pt idx="47">
                  <c:v>96.727291357139208</c:v>
                </c:pt>
                <c:pt idx="48">
                  <c:v>96.149552458983706</c:v>
                </c:pt>
                <c:pt idx="49">
                  <c:v>99.684306384701003</c:v>
                </c:pt>
                <c:pt idx="50">
                  <c:v>100</c:v>
                </c:pt>
                <c:pt idx="51">
                  <c:v>99.12588271113863</c:v>
                </c:pt>
                <c:pt idx="52">
                  <c:v>99.379176755447943</c:v>
                </c:pt>
                <c:pt idx="53">
                  <c:v>100.24249655982064</c:v>
                </c:pt>
                <c:pt idx="54">
                  <c:v>101.13612333954902</c:v>
                </c:pt>
                <c:pt idx="55">
                  <c:v>101.42068330840905</c:v>
                </c:pt>
                <c:pt idx="56">
                  <c:v>101.74556894038211</c:v>
                </c:pt>
              </c:numCache>
            </c:numRef>
          </c:val>
          <c:smooth val="0"/>
        </c:ser>
        <c:ser>
          <c:idx val="4"/>
          <c:order val="4"/>
          <c:tx>
            <c:v>Prix réel des véhicules neufs</c:v>
          </c:tx>
          <c:spPr>
            <a:ln w="25400">
              <a:solidFill>
                <a:srgbClr val="800080"/>
              </a:solidFill>
              <a:prstDash val="lgDash"/>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data2018!$BP$2:$BP$60</c:f>
              <c:numCache>
                <c:formatCode>0.0</c:formatCode>
                <c:ptCount val="59"/>
                <c:pt idx="0">
                  <c:v>158.02129221732744</c:v>
                </c:pt>
                <c:pt idx="1">
                  <c:v>153.15925496836289</c:v>
                </c:pt>
                <c:pt idx="2">
                  <c:v>148.17948717948718</c:v>
                </c:pt>
                <c:pt idx="3">
                  <c:v>142.89907060166314</c:v>
                </c:pt>
                <c:pt idx="4">
                  <c:v>139.32123125493291</c:v>
                </c:pt>
                <c:pt idx="5">
                  <c:v>135.57093425605535</c:v>
                </c:pt>
                <c:pt idx="6">
                  <c:v>131.35030230648653</c:v>
                </c:pt>
                <c:pt idx="7">
                  <c:v>127.27601678969461</c:v>
                </c:pt>
                <c:pt idx="8">
                  <c:v>123.37053879013366</c:v>
                </c:pt>
                <c:pt idx="9">
                  <c:v>124.44673185795162</c:v>
                </c:pt>
                <c:pt idx="10">
                  <c:v>124.09335947071796</c:v>
                </c:pt>
                <c:pt idx="11">
                  <c:v>127.59320461529541</c:v>
                </c:pt>
                <c:pt idx="12">
                  <c:v>127.8234198707416</c:v>
                </c:pt>
                <c:pt idx="13">
                  <c:v>125.89094250995609</c:v>
                </c:pt>
                <c:pt idx="14">
                  <c:v>122.89871892157302</c:v>
                </c:pt>
                <c:pt idx="15">
                  <c:v>133.22806316210273</c:v>
                </c:pt>
                <c:pt idx="16">
                  <c:v>136.57113687741563</c:v>
                </c:pt>
                <c:pt idx="17">
                  <c:v>133.10321827580458</c:v>
                </c:pt>
                <c:pt idx="18">
                  <c:v>131.54778340236234</c:v>
                </c:pt>
                <c:pt idx="19">
                  <c:v>130.92261740140492</c:v>
                </c:pt>
                <c:pt idx="20">
                  <c:v>130.15997260408005</c:v>
                </c:pt>
                <c:pt idx="21">
                  <c:v>126.23931807908387</c:v>
                </c:pt>
                <c:pt idx="22">
                  <c:v>122.75641642759498</c:v>
                </c:pt>
                <c:pt idx="23">
                  <c:v>120.33707667703555</c:v>
                </c:pt>
                <c:pt idx="24">
                  <c:v>119.87785016286645</c:v>
                </c:pt>
                <c:pt idx="25">
                  <c:v>120.03220611916264</c:v>
                </c:pt>
                <c:pt idx="26">
                  <c:v>124.84432166056895</c:v>
                </c:pt>
                <c:pt idx="27">
                  <c:v>124.58643237208763</c:v>
                </c:pt>
                <c:pt idx="28">
                  <c:v>122.78586454700761</c:v>
                </c:pt>
                <c:pt idx="29">
                  <c:v>121.92671153715412</c:v>
                </c:pt>
                <c:pt idx="30">
                  <c:v>119.30422829348244</c:v>
                </c:pt>
                <c:pt idx="31">
                  <c:v>119.47918274921516</c:v>
                </c:pt>
                <c:pt idx="32">
                  <c:v>118.0108875620892</c:v>
                </c:pt>
                <c:pt idx="33">
                  <c:v>119.34232152346114</c:v>
                </c:pt>
                <c:pt idx="34">
                  <c:v>117.21030463316681</c:v>
                </c:pt>
                <c:pt idx="35">
                  <c:v>117.42374608720972</c:v>
                </c:pt>
                <c:pt idx="36">
                  <c:v>113.66650338705632</c:v>
                </c:pt>
                <c:pt idx="37">
                  <c:v>109.80236404377158</c:v>
                </c:pt>
                <c:pt idx="38">
                  <c:v>110.68250662627793</c:v>
                </c:pt>
                <c:pt idx="39">
                  <c:v>109.52307326355853</c:v>
                </c:pt>
                <c:pt idx="40">
                  <c:v>107.03753662961067</c:v>
                </c:pt>
                <c:pt idx="41">
                  <c:v>105.72758597083724</c:v>
                </c:pt>
                <c:pt idx="42">
                  <c:v>105.70328466741189</c:v>
                </c:pt>
                <c:pt idx="43">
                  <c:v>105.33611765228594</c:v>
                </c:pt>
                <c:pt idx="44">
                  <c:v>104.93820444753906</c:v>
                </c:pt>
                <c:pt idx="45">
                  <c:v>104.47298683535647</c:v>
                </c:pt>
                <c:pt idx="46">
                  <c:v>103.53685972898028</c:v>
                </c:pt>
                <c:pt idx="47">
                  <c:v>103.39976433218914</c:v>
                </c:pt>
                <c:pt idx="48">
                  <c:v>101.16918844566713</c:v>
                </c:pt>
                <c:pt idx="49">
                  <c:v>100.68096731761611</c:v>
                </c:pt>
                <c:pt idx="50">
                  <c:v>100</c:v>
                </c:pt>
                <c:pt idx="51">
                  <c:v>101.84448569492325</c:v>
                </c:pt>
                <c:pt idx="52">
                  <c:v>103.73559322033898</c:v>
                </c:pt>
                <c:pt idx="53">
                  <c:v>105.26563958467653</c:v>
                </c:pt>
                <c:pt idx="54">
                  <c:v>107.34827659124552</c:v>
                </c:pt>
                <c:pt idx="55">
                  <c:v>108.23747076191573</c:v>
                </c:pt>
                <c:pt idx="56">
                  <c:v>108.24541548377198</c:v>
                </c:pt>
              </c:numCache>
            </c:numRef>
          </c:val>
          <c:smooth val="0"/>
        </c:ser>
        <c:dLbls>
          <c:showLegendKey val="0"/>
          <c:showVal val="0"/>
          <c:showCatName val="0"/>
          <c:showSerName val="0"/>
          <c:showPercent val="0"/>
          <c:showBubbleSize val="0"/>
        </c:dLbls>
        <c:marker val="1"/>
        <c:smooth val="0"/>
        <c:axId val="324434560"/>
        <c:axId val="325681920"/>
      </c:lineChart>
      <c:catAx>
        <c:axId val="324434560"/>
        <c:scaling>
          <c:orientation val="minMax"/>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DejaVu Serif"/>
                <a:ea typeface="DejaVu Serif"/>
                <a:cs typeface="DejaVu Serif"/>
              </a:defRPr>
            </a:pPr>
            <a:endParaRPr lang="fr-FR"/>
          </a:p>
        </c:txPr>
        <c:crossAx val="325681920"/>
        <c:crosses val="autoZero"/>
        <c:auto val="1"/>
        <c:lblAlgn val="ctr"/>
        <c:lblOffset val="100"/>
        <c:tickLblSkip val="5"/>
        <c:tickMarkSkip val="5"/>
        <c:noMultiLvlLbl val="0"/>
      </c:catAx>
      <c:valAx>
        <c:axId val="325681920"/>
        <c:scaling>
          <c:orientation val="minMax"/>
          <c:max val="16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Base 100
en 2010</a:t>
                </a:r>
              </a:p>
            </c:rich>
          </c:tx>
          <c:layout>
            <c:manualLayout>
              <c:xMode val="edge"/>
              <c:yMode val="edge"/>
              <c:x val="6.6722440944881889E-3"/>
              <c:y val="2.7026950467616506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324434560"/>
        <c:crosses val="autoZero"/>
        <c:crossBetween val="between"/>
        <c:majorUnit val="10"/>
      </c:valAx>
      <c:spPr>
        <a:noFill/>
        <a:ln w="12700">
          <a:solidFill>
            <a:srgbClr val="808080"/>
          </a:solidFill>
          <a:prstDash val="solid"/>
        </a:ln>
      </c:spPr>
    </c:plotArea>
    <c:legend>
      <c:legendPos val="r"/>
      <c:layout>
        <c:manualLayout>
          <c:xMode val="edge"/>
          <c:yMode val="edge"/>
          <c:x val="0.72291666666666665"/>
          <c:y val="0"/>
          <c:w val="0.27604166666666663"/>
          <c:h val="0.10286677908937605"/>
        </c:manualLayout>
      </c:layout>
      <c:overlay val="0"/>
      <c:spPr>
        <a:noFill/>
        <a:ln w="3175">
          <a:solidFill>
            <a:srgbClr val="000000"/>
          </a:solidFill>
          <a:prstDash val="solid"/>
        </a:ln>
      </c:spPr>
      <c:txPr>
        <a:bodyPr/>
        <a:lstStyle/>
        <a:p>
          <a:pPr>
            <a:defRPr sz="825"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DejaVu Serif"/>
                <a:ea typeface="DejaVu Serif"/>
                <a:cs typeface="DejaVu Serif"/>
              </a:defRPr>
            </a:pPr>
            <a:r>
              <a:rPr lang="fr-FR"/>
              <a:t>Prix relatifs de la construction neuve, des logements anciens et des loyers en carburant
 comparés au prix réels des carburants et des véhicules neufs</a:t>
            </a:r>
          </a:p>
        </c:rich>
      </c:tx>
      <c:layout>
        <c:manualLayout>
          <c:xMode val="edge"/>
          <c:yMode val="edge"/>
          <c:x val="5.7548009623797025E-2"/>
          <c:y val="4.0541222397790493E-3"/>
        </c:manualLayout>
      </c:layout>
      <c:overlay val="0"/>
      <c:spPr>
        <a:noFill/>
        <a:ln w="25400">
          <a:noFill/>
        </a:ln>
      </c:spPr>
    </c:title>
    <c:autoTitleDeleted val="0"/>
    <c:plotArea>
      <c:layout>
        <c:manualLayout>
          <c:layoutTarget val="inner"/>
          <c:xMode val="edge"/>
          <c:yMode val="edge"/>
          <c:x val="4.0867389491242696E-2"/>
          <c:y val="0.10810810810810811"/>
          <c:w val="0.9591326105087572"/>
          <c:h val="0.84054054054054061"/>
        </c:manualLayout>
      </c:layout>
      <c:lineChart>
        <c:grouping val="standard"/>
        <c:varyColors val="0"/>
        <c:ser>
          <c:idx val="0"/>
          <c:order val="0"/>
          <c:tx>
            <c:v>Loyers/carburant</c:v>
          </c:tx>
          <c:spPr>
            <a:ln w="25400">
              <a:solidFill>
                <a:srgbClr val="FF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data2018!$BX$2:$BX$60</c:f>
              <c:numCache>
                <c:formatCode>0.0</c:formatCode>
                <c:ptCount val="59"/>
                <c:pt idx="0">
                  <c:v>55.914202415660149</c:v>
                </c:pt>
                <c:pt idx="1">
                  <c:v>61.40114167099118</c:v>
                </c:pt>
                <c:pt idx="2">
                  <c:v>68.179929357988783</c:v>
                </c:pt>
                <c:pt idx="3">
                  <c:v>75.995850622406621</c:v>
                </c:pt>
                <c:pt idx="4">
                  <c:v>80.850181441161226</c:v>
                </c:pt>
                <c:pt idx="5">
                  <c:v>89.615946566478797</c:v>
                </c:pt>
                <c:pt idx="6">
                  <c:v>97.66520742130497</c:v>
                </c:pt>
                <c:pt idx="7">
                  <c:v>106.62142710261155</c:v>
                </c:pt>
                <c:pt idx="8">
                  <c:v>114.82386479332112</c:v>
                </c:pt>
                <c:pt idx="9">
                  <c:v>117.69777356702984</c:v>
                </c:pt>
                <c:pt idx="10">
                  <c:v>124.52865584841948</c:v>
                </c:pt>
                <c:pt idx="11">
                  <c:v>125.68939189796102</c:v>
                </c:pt>
                <c:pt idx="12">
                  <c:v>131.20294012190749</c:v>
                </c:pt>
                <c:pt idx="13">
                  <c:v>136.26079447322971</c:v>
                </c:pt>
                <c:pt idx="14">
                  <c:v>104.78050595238096</c:v>
                </c:pt>
                <c:pt idx="15">
                  <c:v>110.10274989606225</c:v>
                </c:pt>
                <c:pt idx="16">
                  <c:v>112.01952075451007</c:v>
                </c:pt>
                <c:pt idx="17">
                  <c:v>103.90109118156698</c:v>
                </c:pt>
                <c:pt idx="18">
                  <c:v>101.40546049000044</c:v>
                </c:pt>
                <c:pt idx="19">
                  <c:v>97.144436256448046</c:v>
                </c:pt>
                <c:pt idx="20">
                  <c:v>93.48875358844127</c:v>
                </c:pt>
                <c:pt idx="21">
                  <c:v>92.418931971850427</c:v>
                </c:pt>
                <c:pt idx="22">
                  <c:v>89.184530601344946</c:v>
                </c:pt>
                <c:pt idx="23">
                  <c:v>91.112568108340284</c:v>
                </c:pt>
                <c:pt idx="24">
                  <c:v>90.624934750381058</c:v>
                </c:pt>
                <c:pt idx="25">
                  <c:v>86.891202439896844</c:v>
                </c:pt>
                <c:pt idx="26">
                  <c:v>104.27558039552879</c:v>
                </c:pt>
                <c:pt idx="27">
                  <c:v>109.09942715986284</c:v>
                </c:pt>
                <c:pt idx="28">
                  <c:v>114.53582804227226</c:v>
                </c:pt>
                <c:pt idx="29">
                  <c:v>113.06673004931963</c:v>
                </c:pt>
                <c:pt idx="30">
                  <c:v>112.69901874689779</c:v>
                </c:pt>
                <c:pt idx="31">
                  <c:v>117.02510999848278</c:v>
                </c:pt>
                <c:pt idx="32">
                  <c:v>125.19277224852644</c:v>
                </c:pt>
                <c:pt idx="33">
                  <c:v>125.32343031589137</c:v>
                </c:pt>
                <c:pt idx="34">
                  <c:v>123.68769456471178</c:v>
                </c:pt>
                <c:pt idx="35">
                  <c:v>122.07091513971005</c:v>
                </c:pt>
                <c:pt idx="36">
                  <c:v>116.15509665373658</c:v>
                </c:pt>
                <c:pt idx="37">
                  <c:v>114.41312657323098</c:v>
                </c:pt>
                <c:pt idx="38">
                  <c:v>121.01630312930399</c:v>
                </c:pt>
                <c:pt idx="39">
                  <c:v>118.79270019080445</c:v>
                </c:pt>
                <c:pt idx="40">
                  <c:v>100.62723427658544</c:v>
                </c:pt>
                <c:pt idx="41">
                  <c:v>106.24029676444323</c:v>
                </c:pt>
                <c:pt idx="42">
                  <c:v>112.47072764720821</c:v>
                </c:pt>
                <c:pt idx="43">
                  <c:v>113.30952610751858</c:v>
                </c:pt>
                <c:pt idx="44">
                  <c:v>108.82533904171046</c:v>
                </c:pt>
                <c:pt idx="45">
                  <c:v>100.51948051948052</c:v>
                </c:pt>
                <c:pt idx="46">
                  <c:v>98.604691254269426</c:v>
                </c:pt>
                <c:pt idx="47">
                  <c:v>99.79702514985253</c:v>
                </c:pt>
                <c:pt idx="48">
                  <c:v>90.725518227305216</c:v>
                </c:pt>
                <c:pt idx="49">
                  <c:v>110.96118757461761</c:v>
                </c:pt>
                <c:pt idx="50">
                  <c:v>100</c:v>
                </c:pt>
                <c:pt idx="51">
                  <c:v>88.560422589589706</c:v>
                </c:pt>
                <c:pt idx="52">
                  <c:v>85.803522151422399</c:v>
                </c:pt>
                <c:pt idx="53">
                  <c:v>89.234867823673525</c:v>
                </c:pt>
                <c:pt idx="54">
                  <c:v>93.733853582054977</c:v>
                </c:pt>
                <c:pt idx="55">
                  <c:v>104.11856750612618</c:v>
                </c:pt>
                <c:pt idx="56">
                  <c:v>109.33000793560819</c:v>
                </c:pt>
              </c:numCache>
            </c:numRef>
          </c:val>
          <c:smooth val="0"/>
        </c:ser>
        <c:ser>
          <c:idx val="1"/>
          <c:order val="1"/>
          <c:tx>
            <c:v>Construction neuve/carburant</c:v>
          </c:tx>
          <c:spPr>
            <a:ln w="38100">
              <a:solidFill>
                <a:srgbClr val="0000FF"/>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data2018!$CO$2:$CO$60</c:f>
              <c:numCache>
                <c:formatCode>0.0</c:formatCode>
                <c:ptCount val="59"/>
                <c:pt idx="0">
                  <c:v>97.44432144501198</c:v>
                </c:pt>
                <c:pt idx="1">
                  <c:v>98.837844481468323</c:v>
                </c:pt>
                <c:pt idx="2">
                  <c:v>104.05617461480422</c:v>
                </c:pt>
                <c:pt idx="3">
                  <c:v>113.97139113343525</c:v>
                </c:pt>
                <c:pt idx="4">
                  <c:v>121.5860413085591</c:v>
                </c:pt>
                <c:pt idx="5">
                  <c:v>129.25139241340671</c:v>
                </c:pt>
                <c:pt idx="6">
                  <c:v>132.3469712429918</c:v>
                </c:pt>
                <c:pt idx="7">
                  <c:v>132.74916934532507</c:v>
                </c:pt>
                <c:pt idx="8">
                  <c:v>137.48003943885371</c:v>
                </c:pt>
                <c:pt idx="9">
                  <c:v>135.2564262385001</c:v>
                </c:pt>
                <c:pt idx="10">
                  <c:v>137.61422597860377</c:v>
                </c:pt>
                <c:pt idx="11">
                  <c:v>139.60983704207976</c:v>
                </c:pt>
                <c:pt idx="12">
                  <c:v>147.57812647430697</c:v>
                </c:pt>
                <c:pt idx="13">
                  <c:v>153.96327606581218</c:v>
                </c:pt>
                <c:pt idx="14">
                  <c:v>127.88318452380952</c:v>
                </c:pt>
                <c:pt idx="15">
                  <c:v>138.61623679677902</c:v>
                </c:pt>
                <c:pt idx="16">
                  <c:v>142.85590600947179</c:v>
                </c:pt>
                <c:pt idx="17">
                  <c:v>133.48611189848833</c:v>
                </c:pt>
                <c:pt idx="18">
                  <c:v>131.57336038921133</c:v>
                </c:pt>
                <c:pt idx="19">
                  <c:v>126.35505953535274</c:v>
                </c:pt>
                <c:pt idx="20">
                  <c:v>122.9700090157252</c:v>
                </c:pt>
                <c:pt idx="21">
                  <c:v>117.60764890008933</c:v>
                </c:pt>
                <c:pt idx="22">
                  <c:v>114.71750982905053</c:v>
                </c:pt>
                <c:pt idx="23">
                  <c:v>113.93533232824322</c:v>
                </c:pt>
                <c:pt idx="24">
                  <c:v>111.43948077237967</c:v>
                </c:pt>
                <c:pt idx="25">
                  <c:v>103.66886208499014</c:v>
                </c:pt>
                <c:pt idx="26">
                  <c:v>122.18853237996106</c:v>
                </c:pt>
                <c:pt idx="27">
                  <c:v>124.61878839435519</c:v>
                </c:pt>
                <c:pt idx="28">
                  <c:v>126.9105273149757</c:v>
                </c:pt>
                <c:pt idx="29">
                  <c:v>120.8296976918498</c:v>
                </c:pt>
                <c:pt idx="30">
                  <c:v>119.25299771516534</c:v>
                </c:pt>
                <c:pt idx="31">
                  <c:v>123.58609028260224</c:v>
                </c:pt>
                <c:pt idx="32">
                  <c:v>127.80919590502008</c:v>
                </c:pt>
                <c:pt idx="33">
                  <c:v>124.51638533985046</c:v>
                </c:pt>
                <c:pt idx="34">
                  <c:v>119.85209786193039</c:v>
                </c:pt>
                <c:pt idx="35">
                  <c:v>115.41764232517757</c:v>
                </c:pt>
                <c:pt idx="36">
                  <c:v>109.67736060200721</c:v>
                </c:pt>
                <c:pt idx="37">
                  <c:v>108.40880207915919</c:v>
                </c:pt>
                <c:pt idx="38">
                  <c:v>111.86697044330822</c:v>
                </c:pt>
                <c:pt idx="39">
                  <c:v>108.57267576524248</c:v>
                </c:pt>
                <c:pt idx="40">
                  <c:v>94.591698122570151</c:v>
                </c:pt>
                <c:pt idx="41">
                  <c:v>102.794640306888</c:v>
                </c:pt>
                <c:pt idx="42">
                  <c:v>108.21675128486513</c:v>
                </c:pt>
                <c:pt idx="43">
                  <c:v>108.89773899085132</c:v>
                </c:pt>
                <c:pt idx="44">
                  <c:v>106.10865391232072</c:v>
                </c:pt>
                <c:pt idx="45">
                  <c:v>96.608147162163775</c:v>
                </c:pt>
                <c:pt idx="46">
                  <c:v>97.733282522659238</c:v>
                </c:pt>
                <c:pt idx="47">
                  <c:v>99.752151461079521</c:v>
                </c:pt>
                <c:pt idx="48">
                  <c:v>95.537176336876954</c:v>
                </c:pt>
                <c:pt idx="49">
                  <c:v>111.3336384233171</c:v>
                </c:pt>
                <c:pt idx="50">
                  <c:v>100</c:v>
                </c:pt>
                <c:pt idx="51">
                  <c:v>92.480727986123028</c:v>
                </c:pt>
                <c:pt idx="52">
                  <c:v>90.36108785837456</c:v>
                </c:pt>
                <c:pt idx="53">
                  <c:v>91.7202354169616</c:v>
                </c:pt>
                <c:pt idx="54">
                  <c:v>95.545182776278992</c:v>
                </c:pt>
                <c:pt idx="55">
                  <c:v>104.93567700361589</c:v>
                </c:pt>
                <c:pt idx="56">
                  <c:v>110.60287840728057</c:v>
                </c:pt>
              </c:numCache>
            </c:numRef>
          </c:val>
          <c:smooth val="0"/>
        </c:ser>
        <c:ser>
          <c:idx val="2"/>
          <c:order val="2"/>
          <c:tx>
            <c:v>Logements anciens/carburant</c:v>
          </c:tx>
          <c:spPr>
            <a:ln w="381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data2018!$CX$2:$CX$60</c:f>
              <c:numCache>
                <c:formatCode>0.00</c:formatCode>
                <c:ptCount val="59"/>
                <c:pt idx="0">
                  <c:v>11.226588710346009</c:v>
                </c:pt>
                <c:pt idx="1">
                  <c:v>11.190467874848268</c:v>
                </c:pt>
                <c:pt idx="2">
                  <c:v>13.171384477895533</c:v>
                </c:pt>
                <c:pt idx="3">
                  <c:v>15.825986840697379</c:v>
                </c:pt>
                <c:pt idx="4">
                  <c:v>20.59170453139529</c:v>
                </c:pt>
                <c:pt idx="5">
                  <c:v>26.855522178560769</c:v>
                </c:pt>
                <c:pt idx="6">
                  <c:v>33.975484529434794</c:v>
                </c:pt>
                <c:pt idx="7">
                  <c:v>37.362395447755723</c:v>
                </c:pt>
                <c:pt idx="8">
                  <c:v>39.255334633736211</c:v>
                </c:pt>
                <c:pt idx="9">
                  <c:v>39.509778151246309</c:v>
                </c:pt>
                <c:pt idx="10">
                  <c:v>43.685236482715446</c:v>
                </c:pt>
                <c:pt idx="11">
                  <c:v>43.617181564411673</c:v>
                </c:pt>
                <c:pt idx="12">
                  <c:v>46.284437649986359</c:v>
                </c:pt>
                <c:pt idx="13">
                  <c:v>49.037752314226985</c:v>
                </c:pt>
                <c:pt idx="14">
                  <c:v>39.381293183939107</c:v>
                </c:pt>
                <c:pt idx="15">
                  <c:v>44.277238218597319</c:v>
                </c:pt>
                <c:pt idx="16">
                  <c:v>46.415172085139538</c:v>
                </c:pt>
                <c:pt idx="17">
                  <c:v>47.124724533422963</c:v>
                </c:pt>
                <c:pt idx="18">
                  <c:v>50.402355392300542</c:v>
                </c:pt>
                <c:pt idx="19">
                  <c:v>49.512368739636187</c:v>
                </c:pt>
                <c:pt idx="20">
                  <c:v>48.797925662699974</c:v>
                </c:pt>
                <c:pt idx="21">
                  <c:v>53.24499755707145</c:v>
                </c:pt>
                <c:pt idx="22">
                  <c:v>52.63210760615241</c:v>
                </c:pt>
                <c:pt idx="23">
                  <c:v>51.927842256643984</c:v>
                </c:pt>
                <c:pt idx="24">
                  <c:v>50.539913271031097</c:v>
                </c:pt>
                <c:pt idx="25">
                  <c:v>47.419313866529706</c:v>
                </c:pt>
                <c:pt idx="26">
                  <c:v>55.991113452966886</c:v>
                </c:pt>
                <c:pt idx="27">
                  <c:v>58.16922797231237</c:v>
                </c:pt>
                <c:pt idx="28">
                  <c:v>62.028805844315549</c:v>
                </c:pt>
                <c:pt idx="29">
                  <c:v>65.292703199824984</c:v>
                </c:pt>
                <c:pt idx="30">
                  <c:v>71.560978341119934</c:v>
                </c:pt>
                <c:pt idx="31">
                  <c:v>77.959041701809284</c:v>
                </c:pt>
                <c:pt idx="32">
                  <c:v>83.801087232865498</c:v>
                </c:pt>
                <c:pt idx="33">
                  <c:v>78.851308866031744</c:v>
                </c:pt>
                <c:pt idx="34">
                  <c:v>74.709091617043171</c:v>
                </c:pt>
                <c:pt idx="35">
                  <c:v>71.847343170576536</c:v>
                </c:pt>
                <c:pt idx="36">
                  <c:v>66.481591247383591</c:v>
                </c:pt>
                <c:pt idx="37">
                  <c:v>63.878789134390601</c:v>
                </c:pt>
                <c:pt idx="38">
                  <c:v>67.231472932485204</c:v>
                </c:pt>
                <c:pt idx="39">
                  <c:v>68.983378276598984</c:v>
                </c:pt>
                <c:pt idx="40">
                  <c:v>63.891825698797859</c:v>
                </c:pt>
                <c:pt idx="41">
                  <c:v>72.345957039112292</c:v>
                </c:pt>
                <c:pt idx="42">
                  <c:v>80.758368100321931</c:v>
                </c:pt>
                <c:pt idx="43">
                  <c:v>88.256320867744122</c:v>
                </c:pt>
                <c:pt idx="44">
                  <c:v>94.464650157552555</c:v>
                </c:pt>
                <c:pt idx="45">
                  <c:v>96.888025949810853</c:v>
                </c:pt>
                <c:pt idx="46">
                  <c:v>102.67086344556546</c:v>
                </c:pt>
                <c:pt idx="47">
                  <c:v>107.35032583785983</c:v>
                </c:pt>
                <c:pt idx="48">
                  <c:v>96.301215480819081</c:v>
                </c:pt>
                <c:pt idx="49">
                  <c:v>107.13487818671852</c:v>
                </c:pt>
                <c:pt idx="50">
                  <c:v>100</c:v>
                </c:pt>
                <c:pt idx="51">
                  <c:v>92.960960466030713</c:v>
                </c:pt>
                <c:pt idx="52">
                  <c:v>88.105897714263975</c:v>
                </c:pt>
                <c:pt idx="53">
                  <c:v>88.35177630108231</c:v>
                </c:pt>
                <c:pt idx="54">
                  <c:v>90.267164123736279</c:v>
                </c:pt>
                <c:pt idx="55">
                  <c:v>97.937181475362777</c:v>
                </c:pt>
                <c:pt idx="56">
                  <c:v>103.4581457781036</c:v>
                </c:pt>
              </c:numCache>
            </c:numRef>
          </c:val>
          <c:smooth val="0"/>
        </c:ser>
        <c:ser>
          <c:idx val="3"/>
          <c:order val="3"/>
          <c:tx>
            <c:v>Prix réel des carburants</c:v>
          </c:tx>
          <c:spPr>
            <a:ln w="127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ser>
          <c:idx val="4"/>
          <c:order val="4"/>
          <c:tx>
            <c:v>Prix réel des véhicules neufs</c:v>
          </c:tx>
          <c:spPr>
            <a:ln w="25400">
              <a:solidFill>
                <a:srgbClr val="800080"/>
              </a:solidFill>
              <a:prstDash val="lgDash"/>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data2018!$BP$2:$BP$60</c:f>
              <c:numCache>
                <c:formatCode>0.0</c:formatCode>
                <c:ptCount val="59"/>
                <c:pt idx="0">
                  <c:v>158.02129221732744</c:v>
                </c:pt>
                <c:pt idx="1">
                  <c:v>153.15925496836289</c:v>
                </c:pt>
                <c:pt idx="2">
                  <c:v>148.17948717948718</c:v>
                </c:pt>
                <c:pt idx="3">
                  <c:v>142.89907060166314</c:v>
                </c:pt>
                <c:pt idx="4">
                  <c:v>139.32123125493291</c:v>
                </c:pt>
                <c:pt idx="5">
                  <c:v>135.57093425605535</c:v>
                </c:pt>
                <c:pt idx="6">
                  <c:v>131.35030230648653</c:v>
                </c:pt>
                <c:pt idx="7">
                  <c:v>127.27601678969461</c:v>
                </c:pt>
                <c:pt idx="8">
                  <c:v>123.37053879013366</c:v>
                </c:pt>
                <c:pt idx="9">
                  <c:v>124.44673185795162</c:v>
                </c:pt>
                <c:pt idx="10">
                  <c:v>124.09335947071796</c:v>
                </c:pt>
                <c:pt idx="11">
                  <c:v>127.59320461529541</c:v>
                </c:pt>
                <c:pt idx="12">
                  <c:v>127.8234198707416</c:v>
                </c:pt>
                <c:pt idx="13">
                  <c:v>125.89094250995609</c:v>
                </c:pt>
                <c:pt idx="14">
                  <c:v>122.89871892157302</c:v>
                </c:pt>
                <c:pt idx="15">
                  <c:v>133.22806316210273</c:v>
                </c:pt>
                <c:pt idx="16">
                  <c:v>136.57113687741563</c:v>
                </c:pt>
                <c:pt idx="17">
                  <c:v>133.10321827580458</c:v>
                </c:pt>
                <c:pt idx="18">
                  <c:v>131.54778340236234</c:v>
                </c:pt>
                <c:pt idx="19">
                  <c:v>130.92261740140492</c:v>
                </c:pt>
                <c:pt idx="20">
                  <c:v>130.15997260408005</c:v>
                </c:pt>
                <c:pt idx="21">
                  <c:v>126.23931807908387</c:v>
                </c:pt>
                <c:pt idx="22">
                  <c:v>122.75641642759498</c:v>
                </c:pt>
                <c:pt idx="23">
                  <c:v>120.33707667703555</c:v>
                </c:pt>
                <c:pt idx="24">
                  <c:v>119.87785016286645</c:v>
                </c:pt>
                <c:pt idx="25">
                  <c:v>120.03220611916264</c:v>
                </c:pt>
                <c:pt idx="26">
                  <c:v>124.84432166056895</c:v>
                </c:pt>
                <c:pt idx="27">
                  <c:v>124.58643237208763</c:v>
                </c:pt>
                <c:pt idx="28">
                  <c:v>122.78586454700761</c:v>
                </c:pt>
                <c:pt idx="29">
                  <c:v>121.92671153715412</c:v>
                </c:pt>
                <c:pt idx="30">
                  <c:v>119.30422829348244</c:v>
                </c:pt>
                <c:pt idx="31">
                  <c:v>119.47918274921516</c:v>
                </c:pt>
                <c:pt idx="32">
                  <c:v>118.0108875620892</c:v>
                </c:pt>
                <c:pt idx="33">
                  <c:v>119.34232152346114</c:v>
                </c:pt>
                <c:pt idx="34">
                  <c:v>117.21030463316681</c:v>
                </c:pt>
                <c:pt idx="35">
                  <c:v>117.42374608720972</c:v>
                </c:pt>
                <c:pt idx="36">
                  <c:v>113.66650338705632</c:v>
                </c:pt>
                <c:pt idx="37">
                  <c:v>109.80236404377158</c:v>
                </c:pt>
                <c:pt idx="38">
                  <c:v>110.68250662627793</c:v>
                </c:pt>
                <c:pt idx="39">
                  <c:v>109.52307326355853</c:v>
                </c:pt>
                <c:pt idx="40">
                  <c:v>107.03753662961067</c:v>
                </c:pt>
                <c:pt idx="41">
                  <c:v>105.72758597083724</c:v>
                </c:pt>
                <c:pt idx="42">
                  <c:v>105.70328466741189</c:v>
                </c:pt>
                <c:pt idx="43">
                  <c:v>105.33611765228594</c:v>
                </c:pt>
                <c:pt idx="44">
                  <c:v>104.93820444753906</c:v>
                </c:pt>
                <c:pt idx="45">
                  <c:v>104.47298683535647</c:v>
                </c:pt>
                <c:pt idx="46">
                  <c:v>103.53685972898028</c:v>
                </c:pt>
                <c:pt idx="47">
                  <c:v>103.39976433218914</c:v>
                </c:pt>
                <c:pt idx="48">
                  <c:v>101.16918844566713</c:v>
                </c:pt>
                <c:pt idx="49">
                  <c:v>100.68096731761611</c:v>
                </c:pt>
                <c:pt idx="50">
                  <c:v>100</c:v>
                </c:pt>
                <c:pt idx="51">
                  <c:v>101.84448569492325</c:v>
                </c:pt>
                <c:pt idx="52">
                  <c:v>103.73559322033898</c:v>
                </c:pt>
                <c:pt idx="53">
                  <c:v>105.26563958467653</c:v>
                </c:pt>
                <c:pt idx="54">
                  <c:v>107.34827659124552</c:v>
                </c:pt>
                <c:pt idx="55">
                  <c:v>108.23747076191573</c:v>
                </c:pt>
                <c:pt idx="56">
                  <c:v>108.24541548377198</c:v>
                </c:pt>
              </c:numCache>
            </c:numRef>
          </c:val>
          <c:smooth val="0"/>
        </c:ser>
        <c:dLbls>
          <c:showLegendKey val="0"/>
          <c:showVal val="0"/>
          <c:showCatName val="0"/>
          <c:showSerName val="0"/>
          <c:showPercent val="0"/>
          <c:showBubbleSize val="0"/>
        </c:dLbls>
        <c:marker val="1"/>
        <c:smooth val="0"/>
        <c:axId val="434999680"/>
        <c:axId val="435001216"/>
      </c:lineChart>
      <c:catAx>
        <c:axId val="434999680"/>
        <c:scaling>
          <c:orientation val="minMax"/>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DejaVu Serif"/>
                <a:ea typeface="DejaVu Serif"/>
                <a:cs typeface="DejaVu Serif"/>
              </a:defRPr>
            </a:pPr>
            <a:endParaRPr lang="fr-FR"/>
          </a:p>
        </c:txPr>
        <c:crossAx val="435001216"/>
        <c:crosses val="autoZero"/>
        <c:auto val="1"/>
        <c:lblAlgn val="ctr"/>
        <c:lblOffset val="100"/>
        <c:tickLblSkip val="5"/>
        <c:tickMarkSkip val="5"/>
        <c:noMultiLvlLbl val="0"/>
      </c:catAx>
      <c:valAx>
        <c:axId val="435001216"/>
        <c:scaling>
          <c:orientation val="minMax"/>
          <c:max val="16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Base 100 
en 2010</a:t>
                </a:r>
              </a:p>
            </c:rich>
          </c:tx>
          <c:layout>
            <c:manualLayout>
              <c:xMode val="edge"/>
              <c:yMode val="edge"/>
              <c:x val="0"/>
              <c:y val="2.5675753431326987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434999680"/>
        <c:crosses val="autoZero"/>
        <c:crossBetween val="between"/>
      </c:valAx>
      <c:spPr>
        <a:noFill/>
        <a:ln w="12700">
          <a:solidFill>
            <a:srgbClr val="808080"/>
          </a:solidFill>
          <a:prstDash val="solid"/>
        </a:ln>
      </c:spPr>
    </c:plotArea>
    <c:legend>
      <c:legendPos val="r"/>
      <c:layout>
        <c:manualLayout>
          <c:xMode val="edge"/>
          <c:yMode val="edge"/>
          <c:x val="0.73750000000000004"/>
          <c:y val="0"/>
          <c:w val="0.26145833333333335"/>
          <c:h val="0.10118043844856661"/>
        </c:manualLayout>
      </c:layout>
      <c:overlay val="0"/>
      <c:spPr>
        <a:noFill/>
        <a:ln w="3175">
          <a:solidFill>
            <a:srgbClr val="000000"/>
          </a:solidFill>
          <a:prstDash val="solid"/>
        </a:ln>
      </c:spPr>
      <c:txPr>
        <a:bodyPr/>
        <a:lstStyle/>
        <a:p>
          <a:pPr>
            <a:defRPr sz="825"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Evolution des prix nominal et réel des carburants entre 1960 et 2014</a:t>
            </a:r>
          </a:p>
        </c:rich>
      </c:tx>
      <c:layout>
        <c:manualLayout>
          <c:xMode val="edge"/>
          <c:yMode val="edge"/>
          <c:x val="5.3377843394575679E-2"/>
          <c:y val="0"/>
        </c:manualLayout>
      </c:layout>
      <c:overlay val="0"/>
      <c:spPr>
        <a:noFill/>
        <a:ln w="25400">
          <a:noFill/>
        </a:ln>
      </c:spPr>
    </c:title>
    <c:autoTitleDeleted val="0"/>
    <c:plotArea>
      <c:layout>
        <c:manualLayout>
          <c:layoutTarget val="inner"/>
          <c:xMode val="edge"/>
          <c:yMode val="edge"/>
          <c:x val="5.0041701417848201E-2"/>
          <c:y val="8.9189189189189194E-2"/>
          <c:w val="0.94495412844036675"/>
          <c:h val="0.86216216216216202"/>
        </c:manualLayout>
      </c:layout>
      <c:lineChart>
        <c:grouping val="standard"/>
        <c:varyColors val="0"/>
        <c:ser>
          <c:idx val="0"/>
          <c:order val="0"/>
          <c:tx>
            <c:v>Prix nominal en € courants / litre</c:v>
          </c:tx>
          <c:spPr>
            <a:ln w="25400">
              <a:solidFill>
                <a:srgbClr val="FF0000"/>
              </a:solidFill>
              <a:prstDash val="lgDash"/>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data2018!$CC$2:$CC$60</c:f>
              <c:numCache>
                <c:formatCode>0.00</c:formatCode>
                <c:ptCount val="59"/>
                <c:pt idx="0">
                  <c:v>0.15282131746188418</c:v>
                </c:pt>
                <c:pt idx="1">
                  <c:v>0.15231828049006704</c:v>
                </c:pt>
                <c:pt idx="2">
                  <c:v>0.15237038146616799</c:v>
                </c:pt>
                <c:pt idx="3">
                  <c:v>0.15206424176878894</c:v>
                </c:pt>
                <c:pt idx="4">
                  <c:v>0.15034957744136906</c:v>
                </c:pt>
                <c:pt idx="5">
                  <c:v>0.14927269013648842</c:v>
                </c:pt>
                <c:pt idx="6">
                  <c:v>0.14999689599093433</c:v>
                </c:pt>
                <c:pt idx="7">
                  <c:v>0.15221137709607321</c:v>
                </c:pt>
                <c:pt idx="8">
                  <c:v>0.15609883790483631</c:v>
                </c:pt>
                <c:pt idx="9">
                  <c:v>0.16736917091805514</c:v>
                </c:pt>
                <c:pt idx="10">
                  <c:v>0.17133568739400759</c:v>
                </c:pt>
                <c:pt idx="11">
                  <c:v>0.17598822420507684</c:v>
                </c:pt>
                <c:pt idx="12">
                  <c:v>0.17786422680265021</c:v>
                </c:pt>
                <c:pt idx="13">
                  <c:v>0.18567568925032296</c:v>
                </c:pt>
                <c:pt idx="14">
                  <c:v>0.26136192482949266</c:v>
                </c:pt>
                <c:pt idx="15">
                  <c:v>0.27077782052005916</c:v>
                </c:pt>
                <c:pt idx="16">
                  <c:v>0.29361297502703471</c:v>
                </c:pt>
                <c:pt idx="17">
                  <c:v>0.34332133642281787</c:v>
                </c:pt>
                <c:pt idx="18">
                  <c:v>0.37213698870946132</c:v>
                </c:pt>
                <c:pt idx="19">
                  <c:v>0.42589130647742135</c:v>
                </c:pt>
                <c:pt idx="20">
                  <c:v>0.50253915541591176</c:v>
                </c:pt>
                <c:pt idx="21">
                  <c:v>0.54430954381583541</c:v>
                </c:pt>
                <c:pt idx="22">
                  <c:v>0.6310562186980303</c:v>
                </c:pt>
                <c:pt idx="23">
                  <c:v>0.6827784619974725</c:v>
                </c:pt>
                <c:pt idx="24">
                  <c:v>0.73392379525686724</c:v>
                </c:pt>
                <c:pt idx="25">
                  <c:v>0.80616588757179997</c:v>
                </c:pt>
                <c:pt idx="26">
                  <c:v>0.76208932458190359</c:v>
                </c:pt>
                <c:pt idx="27">
                  <c:v>0.6699686182477872</c:v>
                </c:pt>
                <c:pt idx="28">
                  <c:v>0.67111237881506336</c:v>
                </c:pt>
                <c:pt idx="29">
                  <c:v>0.70247590660636994</c:v>
                </c:pt>
                <c:pt idx="30">
                  <c:v>0.7114325776864836</c:v>
                </c:pt>
                <c:pt idx="31">
                  <c:v>0.73896874101296084</c:v>
                </c:pt>
                <c:pt idx="32">
                  <c:v>0.72092030513144989</c:v>
                </c:pt>
                <c:pt idx="33">
                  <c:v>0.73850007750193292</c:v>
                </c:pt>
                <c:pt idx="34">
                  <c:v>0.75605698764955898</c:v>
                </c:pt>
                <c:pt idx="35">
                  <c:v>0.77373669946751966</c:v>
                </c:pt>
                <c:pt idx="36">
                  <c:v>0.82250983405252098</c:v>
                </c:pt>
                <c:pt idx="37">
                  <c:v>0.84501697175965917</c:v>
                </c:pt>
                <c:pt idx="38">
                  <c:v>0.81232685473402133</c:v>
                </c:pt>
                <c:pt idx="39">
                  <c:v>0.85496693934021617</c:v>
                </c:pt>
                <c:pt idx="40">
                  <c:v>0.99574812194780715</c:v>
                </c:pt>
                <c:pt idx="41">
                  <c:v>0.93281781658948326</c:v>
                </c:pt>
                <c:pt idx="42">
                  <c:v>0.90428738117332352</c:v>
                </c:pt>
                <c:pt idx="43">
                  <c:v>0.90809971647442222</c:v>
                </c:pt>
                <c:pt idx="44">
                  <c:v>0.96928581100389022</c:v>
                </c:pt>
                <c:pt idx="45">
                  <c:v>1.0895032822607029</c:v>
                </c:pt>
                <c:pt idx="46">
                  <c:v>1.193391382107825</c:v>
                </c:pt>
                <c:pt idx="47">
                  <c:v>1.1739599999999999</c:v>
                </c:pt>
                <c:pt idx="48">
                  <c:v>1.3077688535268936</c:v>
                </c:pt>
                <c:pt idx="49">
                  <c:v>1.0826271923620934</c:v>
                </c:pt>
                <c:pt idx="50">
                  <c:v>1.2186922044478332</c:v>
                </c:pt>
                <c:pt idx="51">
                  <c:v>1.3925935150573927</c:v>
                </c:pt>
                <c:pt idx="52">
                  <c:v>1.453015076990489</c:v>
                </c:pt>
                <c:pt idx="53">
                  <c:v>1.4115243645609854</c:v>
                </c:pt>
                <c:pt idx="54">
                  <c:v>1.3502573273619123</c:v>
                </c:pt>
                <c:pt idx="55">
                  <c:v>1.2154872790700371</c:v>
                </c:pt>
                <c:pt idx="56">
                  <c:v>1.1701024964661184</c:v>
                </c:pt>
                <c:pt idx="57">
                  <c:v>1.3866665872669477</c:v>
                </c:pt>
                <c:pt idx="58">
                  <c:v>1.4487902490421458</c:v>
                </c:pt>
              </c:numCache>
            </c:numRef>
          </c:val>
          <c:smooth val="0"/>
        </c:ser>
        <c:ser>
          <c:idx val="1"/>
          <c:order val="1"/>
          <c:tx>
            <c:v>Prix réel en €2010 / litre</c:v>
          </c:tx>
          <c:spPr>
            <a:ln w="254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data2018!$DF$2:$DF$60</c:f>
              <c:numCache>
                <c:formatCode>0.0000</c:formatCode>
                <c:ptCount val="59"/>
                <c:pt idx="0">
                  <c:v>1.4025451308910075</c:v>
                </c:pt>
                <c:pt idx="1">
                  <c:v>1.3574394482672401</c:v>
                </c:pt>
                <c:pt idx="2">
                  <c:v>1.3023109527022905</c:v>
                </c:pt>
                <c:pt idx="3">
                  <c:v>1.2397215210238786</c:v>
                </c:pt>
                <c:pt idx="4">
                  <c:v>1.1866580697819185</c:v>
                </c:pt>
                <c:pt idx="5">
                  <c:v>1.1478099972048321</c:v>
                </c:pt>
                <c:pt idx="6">
                  <c:v>1.1196304843691449</c:v>
                </c:pt>
                <c:pt idx="7">
                  <c:v>1.1015441966715387</c:v>
                </c:pt>
                <c:pt idx="8">
                  <c:v>1.0755052907870768</c:v>
                </c:pt>
                <c:pt idx="9">
                  <c:v>1.0767445375582547</c:v>
                </c:pt>
                <c:pt idx="10">
                  <c:v>1.0495937723230064</c:v>
                </c:pt>
                <c:pt idx="11">
                  <c:v>1.0203990502990481</c:v>
                </c:pt>
                <c:pt idx="12">
                  <c:v>0.97417146895963524</c:v>
                </c:pt>
                <c:pt idx="13">
                  <c:v>0.94800208950435494</c:v>
                </c:pt>
                <c:pt idx="14">
                  <c:v>1.1666380611056231</c:v>
                </c:pt>
                <c:pt idx="15">
                  <c:v>1.0824618049972383</c:v>
                </c:pt>
                <c:pt idx="16">
                  <c:v>1.0705643368593114</c:v>
                </c:pt>
                <c:pt idx="17">
                  <c:v>1.1449769432143333</c:v>
                </c:pt>
                <c:pt idx="18">
                  <c:v>1.1416996125462844</c:v>
                </c:pt>
                <c:pt idx="19">
                  <c:v>1.1778619018679719</c:v>
                </c:pt>
                <c:pt idx="20">
                  <c:v>1.2292430786554274</c:v>
                </c:pt>
                <c:pt idx="21">
                  <c:v>1.1716416122776663</c:v>
                </c:pt>
                <c:pt idx="22">
                  <c:v>1.2150417211198767</c:v>
                </c:pt>
                <c:pt idx="23">
                  <c:v>1.1999410590279125</c:v>
                </c:pt>
                <c:pt idx="24">
                  <c:v>1.1953156274541812</c:v>
                </c:pt>
                <c:pt idx="25">
                  <c:v>1.2363559352377884</c:v>
                </c:pt>
                <c:pt idx="26">
                  <c:v>1.1380412522689518</c:v>
                </c:pt>
                <c:pt idx="27">
                  <c:v>0.97134910508139016</c:v>
                </c:pt>
                <c:pt idx="28">
                  <c:v>0.94751073545449394</c:v>
                </c:pt>
                <c:pt idx="29">
                  <c:v>0.95516473806019442</c:v>
                </c:pt>
                <c:pt idx="30">
                  <c:v>0.94033939712978787</c:v>
                </c:pt>
                <c:pt idx="31">
                  <c:v>0.95076004967958516</c:v>
                </c:pt>
                <c:pt idx="32">
                  <c:v>0.90427011330521545</c:v>
                </c:pt>
                <c:pt idx="33">
                  <c:v>0.91261857552666537</c:v>
                </c:pt>
                <c:pt idx="34">
                  <c:v>0.92572361109016443</c:v>
                </c:pt>
                <c:pt idx="35">
                  <c:v>0.93875021167591144</c:v>
                </c:pt>
                <c:pt idx="36">
                  <c:v>0.98267623332161025</c:v>
                </c:pt>
                <c:pt idx="37">
                  <c:v>1.0018340566465425</c:v>
                </c:pt>
                <c:pt idx="38">
                  <c:v>0.96119705454139215</c:v>
                </c:pt>
                <c:pt idx="39">
                  <c:v>1.0168493569698098</c:v>
                </c:pt>
                <c:pt idx="40">
                  <c:v>1.157900509265323</c:v>
                </c:pt>
                <c:pt idx="41">
                  <c:v>1.0643016413635342</c:v>
                </c:pt>
                <c:pt idx="42">
                  <c:v>1.0210667899386014</c:v>
                </c:pt>
                <c:pt idx="43">
                  <c:v>1.0086858715893079</c:v>
                </c:pt>
                <c:pt idx="44">
                  <c:v>1.0545343694284892</c:v>
                </c:pt>
                <c:pt idx="45">
                  <c:v>1.16419824143091</c:v>
                </c:pt>
                <c:pt idx="46">
                  <c:v>1.2487745326299637</c:v>
                </c:pt>
                <c:pt idx="47">
                  <c:v>1.2028894922895639</c:v>
                </c:pt>
                <c:pt idx="48">
                  <c:v>1.3035193803469625</c:v>
                </c:pt>
                <c:pt idx="49">
                  <c:v>1.0954438858262605</c:v>
                </c:pt>
                <c:pt idx="50">
                  <c:v>1.2186922044478332</c:v>
                </c:pt>
                <c:pt idx="51">
                  <c:v>1.3677416492897969</c:v>
                </c:pt>
                <c:pt idx="52">
                  <c:v>1.407278524930256</c:v>
                </c:pt>
                <c:pt idx="53">
                  <c:v>1.3582928670993615</c:v>
                </c:pt>
                <c:pt idx="54">
                  <c:v>1.2978501387588306</c:v>
                </c:pt>
                <c:pt idx="55">
                  <c:v>1.1651973609705479</c:v>
                </c:pt>
                <c:pt idx="56">
                  <c:v>1.1222497664257256</c:v>
                </c:pt>
                <c:pt idx="57">
                  <c:v>1.3167893185718844</c:v>
                </c:pt>
              </c:numCache>
            </c:numRef>
          </c:val>
          <c:smooth val="0"/>
        </c:ser>
        <c:dLbls>
          <c:showLegendKey val="0"/>
          <c:showVal val="0"/>
          <c:showCatName val="0"/>
          <c:showSerName val="0"/>
          <c:showPercent val="0"/>
          <c:showBubbleSize val="0"/>
        </c:dLbls>
        <c:marker val="1"/>
        <c:smooth val="0"/>
        <c:axId val="436345856"/>
        <c:axId val="448897792"/>
      </c:lineChart>
      <c:catAx>
        <c:axId val="436345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448897792"/>
        <c:crosses val="autoZero"/>
        <c:auto val="1"/>
        <c:lblAlgn val="ctr"/>
        <c:lblOffset val="100"/>
        <c:tickLblSkip val="1"/>
        <c:tickMarkSkip val="1"/>
        <c:noMultiLvlLbl val="0"/>
      </c:catAx>
      <c:valAx>
        <c:axId val="448897792"/>
        <c:scaling>
          <c:orientation val="minMax"/>
          <c:max val="1.5"/>
        </c:scaling>
        <c:delete val="0"/>
        <c:axPos val="l"/>
        <c:majorGridlines>
          <c:spPr>
            <a:ln w="3175">
              <a:solidFill>
                <a:srgbClr val="808080"/>
              </a:solidFill>
              <a:prstDash val="sysDash"/>
            </a:ln>
          </c:spPr>
        </c:majorGridlines>
        <c:title>
          <c:tx>
            <c:rich>
              <a:bodyPr/>
              <a:lstStyle/>
              <a:p>
                <a:pPr>
                  <a:defRPr sz="1050" b="1" i="0" u="none" strike="noStrike" baseline="0">
                    <a:solidFill>
                      <a:srgbClr val="000000"/>
                    </a:solidFill>
                    <a:latin typeface="Arial"/>
                    <a:ea typeface="Arial"/>
                    <a:cs typeface="Arial"/>
                  </a:defRPr>
                </a:pPr>
                <a:r>
                  <a:rPr lang="fr-FR"/>
                  <a:t>Prix en euros / litre</a:t>
                </a:r>
              </a:p>
            </c:rich>
          </c:tx>
          <c:layout>
            <c:manualLayout>
              <c:xMode val="edge"/>
              <c:yMode val="edge"/>
              <c:x val="0"/>
              <c:y val="0.39864862592007366"/>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436345856"/>
        <c:crosses val="autoZero"/>
        <c:crossBetween val="between"/>
        <c:majorUnit val="0.1"/>
      </c:valAx>
      <c:spPr>
        <a:noFill/>
        <a:ln w="12700">
          <a:solidFill>
            <a:srgbClr val="808080"/>
          </a:solidFill>
          <a:prstDash val="solid"/>
        </a:ln>
      </c:spPr>
    </c:plotArea>
    <c:legend>
      <c:legendPos val="r"/>
      <c:layout>
        <c:manualLayout>
          <c:xMode val="edge"/>
          <c:yMode val="edge"/>
          <c:x val="0.70625000000000004"/>
          <c:y val="1.6863406408094434E-3"/>
          <c:w val="0.29166666666666663"/>
          <c:h val="7.4198988195615517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Evolution comparée des prix réels de la construction neuve et du carburant</a:t>
            </a:r>
          </a:p>
          <a:p>
            <a:pPr>
              <a:defRPr sz="1000" b="0" i="0" u="none" strike="noStrike" baseline="0">
                <a:solidFill>
                  <a:srgbClr val="000000"/>
                </a:solidFill>
                <a:latin typeface="Arial"/>
                <a:ea typeface="Arial"/>
                <a:cs typeface="Arial"/>
              </a:defRPr>
            </a:pPr>
            <a:r>
              <a:rPr lang="fr-FR" sz="800" b="0" i="0" u="none" strike="noStrike" baseline="0">
                <a:solidFill>
                  <a:srgbClr val="000000"/>
                </a:solidFill>
                <a:latin typeface="Arial"/>
                <a:cs typeface="Arial"/>
              </a:rPr>
              <a:t>définition: indices du prix du carburant et de la construction neuve rapportés à l'indice des prix à la consommation des ménages</a:t>
            </a:r>
          </a:p>
          <a:p>
            <a:pPr>
              <a:defRPr sz="1000" b="0" i="0" u="none" strike="noStrike" baseline="0">
                <a:solidFill>
                  <a:srgbClr val="000000"/>
                </a:solidFill>
                <a:latin typeface="Arial"/>
                <a:ea typeface="Arial"/>
                <a:cs typeface="Arial"/>
              </a:defRPr>
            </a:pPr>
            <a:r>
              <a:rPr lang="fr-FR" sz="800" b="0" i="0" u="none" strike="noStrike" baseline="0">
                <a:solidFill>
                  <a:srgbClr val="000000"/>
                </a:solidFill>
                <a:latin typeface="Arial"/>
                <a:cs typeface="Arial"/>
              </a:rPr>
              <a:t>sources : INSEE</a:t>
            </a:r>
          </a:p>
        </c:rich>
      </c:tx>
      <c:layout>
        <c:manualLayout>
          <c:xMode val="edge"/>
          <c:yMode val="edge"/>
          <c:x val="5.2543744531933508E-2"/>
          <c:y val="1.3513740799263498E-3"/>
        </c:manualLayout>
      </c:layout>
      <c:overlay val="0"/>
      <c:spPr>
        <a:noFill/>
        <a:ln w="25400">
          <a:noFill/>
        </a:ln>
      </c:spPr>
    </c:title>
    <c:autoTitleDeleted val="0"/>
    <c:plotArea>
      <c:layout>
        <c:manualLayout>
          <c:layoutTarget val="inner"/>
          <c:xMode val="edge"/>
          <c:yMode val="edge"/>
          <c:x val="6.1718098415346125E-2"/>
          <c:y val="0.11081081081081082"/>
          <c:w val="0.88407005838198482"/>
          <c:h val="0.84324324324324329"/>
        </c:manualLayout>
      </c:layout>
      <c:lineChart>
        <c:grouping val="standard"/>
        <c:varyColors val="0"/>
        <c:ser>
          <c:idx val="0"/>
          <c:order val="1"/>
          <c:tx>
            <c:v>Prix réel de la construction neuve</c:v>
          </c:tx>
          <c:spPr>
            <a:ln w="25400">
              <a:solidFill>
                <a:srgbClr val="00008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data2018!$CN$2:$CN$60</c:f>
              <c:numCache>
                <c:formatCode>0.0</c:formatCode>
                <c:ptCount val="59"/>
                <c:pt idx="0">
                  <c:v>85.889800216400047</c:v>
                </c:pt>
                <c:pt idx="1">
                  <c:v>84.867893376610581</c:v>
                </c:pt>
                <c:pt idx="2">
                  <c:v>85.610661268556015</c:v>
                </c:pt>
                <c:pt idx="3">
                  <c:v>89.571515614406962</c:v>
                </c:pt>
                <c:pt idx="4">
                  <c:v>92.557014082166731</c:v>
                </c:pt>
                <c:pt idx="5">
                  <c:v>95.231591088447757</c:v>
                </c:pt>
                <c:pt idx="6">
                  <c:v>94.777699642103684</c:v>
                </c:pt>
                <c:pt idx="7">
                  <c:v>93.43743096342682</c:v>
                </c:pt>
                <c:pt idx="8">
                  <c:v>93.03630614361451</c:v>
                </c:pt>
                <c:pt idx="9">
                  <c:v>91.844543164395816</c:v>
                </c:pt>
                <c:pt idx="10">
                  <c:v>89.874127858239078</c:v>
                </c:pt>
                <c:pt idx="11">
                  <c:v>90.118647636659929</c:v>
                </c:pt>
                <c:pt idx="12">
                  <c:v>90.173161296273889</c:v>
                </c:pt>
                <c:pt idx="13">
                  <c:v>91.029037927198274</c:v>
                </c:pt>
                <c:pt idx="14">
                  <c:v>92.063562915680947</c:v>
                </c:pt>
                <c:pt idx="15">
                  <c:v>93.299283587742082</c:v>
                </c:pt>
                <c:pt idx="16">
                  <c:v>94.992458174532814</c:v>
                </c:pt>
                <c:pt idx="17">
                  <c:v>95.058494159360393</c:v>
                </c:pt>
                <c:pt idx="18">
                  <c:v>95.06624361179064</c:v>
                </c:pt>
                <c:pt idx="19">
                  <c:v>94.841426953633302</c:v>
                </c:pt>
                <c:pt idx="20">
                  <c:v>95.348229435680096</c:v>
                </c:pt>
                <c:pt idx="21">
                  <c:v>91.730270096965725</c:v>
                </c:pt>
                <c:pt idx="22">
                  <c:v>90.981938644288675</c:v>
                </c:pt>
                <c:pt idx="23">
                  <c:v>88.565643560052123</c:v>
                </c:pt>
                <c:pt idx="24">
                  <c:v>86.924609977713018</c:v>
                </c:pt>
                <c:pt idx="25">
                  <c:v>84.450256074970028</c:v>
                </c:pt>
                <c:pt idx="26">
                  <c:v>84.883305104394665</c:v>
                </c:pt>
                <c:pt idx="27">
                  <c:v>84.844412802263577</c:v>
                </c:pt>
                <c:pt idx="28">
                  <c:v>84.94327702524464</c:v>
                </c:pt>
                <c:pt idx="29">
                  <c:v>82.946888943754445</c:v>
                </c:pt>
                <c:pt idx="30">
                  <c:v>82.566193826292221</c:v>
                </c:pt>
                <c:pt idx="31">
                  <c:v>83.840864706153198</c:v>
                </c:pt>
                <c:pt idx="32">
                  <c:v>82.954779515644759</c:v>
                </c:pt>
                <c:pt idx="33">
                  <c:v>82.662655390344966</c:v>
                </c:pt>
                <c:pt idx="34">
                  <c:v>82.023375917018527</c:v>
                </c:pt>
                <c:pt idx="35">
                  <c:v>81.237093060233022</c:v>
                </c:pt>
                <c:pt idx="36">
                  <c:v>81.410553480150853</c:v>
                </c:pt>
                <c:pt idx="37">
                  <c:v>82.717508437887872</c:v>
                </c:pt>
                <c:pt idx="38">
                  <c:v>82.653319864883699</c:v>
                </c:pt>
                <c:pt idx="39">
                  <c:v>83.919137162602027</c:v>
                </c:pt>
                <c:pt idx="40">
                  <c:v>84.000235017050969</c:v>
                </c:pt>
                <c:pt idx="41">
                  <c:v>85.365081061735196</c:v>
                </c:pt>
                <c:pt idx="42">
                  <c:v>86.616901319726608</c:v>
                </c:pt>
                <c:pt idx="43">
                  <c:v>87.728554625110789</c:v>
                </c:pt>
                <c:pt idx="44">
                  <c:v>90.060060558725226</c:v>
                </c:pt>
                <c:pt idx="45">
                  <c:v>90.616592130008726</c:v>
                </c:pt>
                <c:pt idx="46">
                  <c:v>94.916796779265709</c:v>
                </c:pt>
                <c:pt idx="47">
                  <c:v>96.683797972825403</c:v>
                </c:pt>
                <c:pt idx="48">
                  <c:v>101.24887603255493</c:v>
                </c:pt>
                <c:pt idx="49">
                  <c:v>100.0189054037502</c:v>
                </c:pt>
                <c:pt idx="50">
                  <c:v>100</c:v>
                </c:pt>
                <c:pt idx="51">
                  <c:v>103.51388947042759</c:v>
                </c:pt>
                <c:pt idx="52">
                  <c:v>104.65783101822353</c:v>
                </c:pt>
                <c:pt idx="53">
                  <c:v>103.0344483886995</c:v>
                </c:pt>
                <c:pt idx="54">
                  <c:v>103.09049527449992</c:v>
                </c:pt>
                <c:pt idx="55">
                  <c:v>102.21662014809255</c:v>
                </c:pt>
                <c:pt idx="56">
                  <c:v>102.93013786864921</c:v>
                </c:pt>
                <c:pt idx="57">
                  <c:v>103.87896467727111</c:v>
                </c:pt>
              </c:numCache>
            </c:numRef>
          </c:val>
          <c:smooth val="0"/>
        </c:ser>
        <c:dLbls>
          <c:showLegendKey val="0"/>
          <c:showVal val="0"/>
          <c:showCatName val="0"/>
          <c:showSerName val="0"/>
          <c:showPercent val="0"/>
          <c:showBubbleSize val="0"/>
        </c:dLbls>
        <c:marker val="1"/>
        <c:smooth val="0"/>
        <c:axId val="136840704"/>
        <c:axId val="136842240"/>
      </c:lineChart>
      <c:lineChart>
        <c:grouping val="standard"/>
        <c:varyColors val="0"/>
        <c:ser>
          <c:idx val="1"/>
          <c:order val="0"/>
          <c:tx>
            <c:v>Prix réel du carburant</c:v>
          </c:tx>
          <c:spPr>
            <a:ln w="254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dLbls>
          <c:showLegendKey val="0"/>
          <c:showVal val="0"/>
          <c:showCatName val="0"/>
          <c:showSerName val="0"/>
          <c:showPercent val="0"/>
          <c:showBubbleSize val="0"/>
        </c:dLbls>
        <c:marker val="1"/>
        <c:smooth val="0"/>
        <c:axId val="136844416"/>
        <c:axId val="136845952"/>
      </c:lineChart>
      <c:catAx>
        <c:axId val="1368407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136842240"/>
        <c:crosses val="autoZero"/>
        <c:auto val="0"/>
        <c:lblAlgn val="ctr"/>
        <c:lblOffset val="100"/>
        <c:tickLblSkip val="1"/>
        <c:tickMarkSkip val="1"/>
        <c:noMultiLvlLbl val="0"/>
      </c:catAx>
      <c:valAx>
        <c:axId val="136842240"/>
        <c:scaling>
          <c:orientation val="minMax"/>
          <c:max val="110"/>
          <c:min val="0"/>
        </c:scaling>
        <c:delete val="0"/>
        <c:axPos val="l"/>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fr-FR"/>
                  <a:t>Prix réel du carburant (100 = 2005)</a:t>
                </a:r>
              </a:p>
            </c:rich>
          </c:tx>
          <c:layout>
            <c:manualLayout>
              <c:xMode val="edge"/>
              <c:yMode val="edge"/>
              <c:x val="0.98081736657917762"/>
              <c:y val="0.39864862592007366"/>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36840704"/>
        <c:crosses val="autoZero"/>
        <c:crossBetween val="between"/>
        <c:majorUnit val="10"/>
      </c:valAx>
      <c:catAx>
        <c:axId val="136844416"/>
        <c:scaling>
          <c:orientation val="minMax"/>
        </c:scaling>
        <c:delete val="1"/>
        <c:axPos val="b"/>
        <c:numFmt formatCode="General" sourceLinked="1"/>
        <c:majorTickMark val="out"/>
        <c:minorTickMark val="none"/>
        <c:tickLblPos val="nextTo"/>
        <c:crossAx val="136845952"/>
        <c:crosses val="autoZero"/>
        <c:auto val="1"/>
        <c:lblAlgn val="ctr"/>
        <c:lblOffset val="100"/>
        <c:noMultiLvlLbl val="0"/>
      </c:catAx>
      <c:valAx>
        <c:axId val="136845952"/>
        <c:scaling>
          <c:orientation val="minMax"/>
          <c:max val="120"/>
          <c:min val="0"/>
        </c:scaling>
        <c:delete val="0"/>
        <c:axPos val="r"/>
        <c:title>
          <c:tx>
            <c:rich>
              <a:bodyPr/>
              <a:lstStyle/>
              <a:p>
                <a:pPr>
                  <a:defRPr sz="800" b="0" i="0" u="none" strike="noStrike" baseline="0">
                    <a:solidFill>
                      <a:srgbClr val="000000"/>
                    </a:solidFill>
                    <a:latin typeface="Arial"/>
                    <a:ea typeface="Arial"/>
                    <a:cs typeface="Arial"/>
                  </a:defRPr>
                </a:pPr>
                <a:r>
                  <a:rPr lang="fr-FR"/>
                  <a:t>Prix réel de la construction neuve (100 = 2005)</a:t>
                </a:r>
              </a:p>
            </c:rich>
          </c:tx>
          <c:layout>
            <c:manualLayout>
              <c:xMode val="edge"/>
              <c:yMode val="edge"/>
              <c:x val="0"/>
              <c:y val="0.3351351064253562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36844416"/>
        <c:crosses val="max"/>
        <c:crossBetween val="between"/>
        <c:majorUnit val="10"/>
      </c:valAx>
      <c:spPr>
        <a:noFill/>
        <a:ln w="12700">
          <a:solidFill>
            <a:srgbClr val="808080"/>
          </a:solidFill>
          <a:prstDash val="solid"/>
        </a:ln>
      </c:spPr>
    </c:plotArea>
    <c:legend>
      <c:legendPos val="r"/>
      <c:layout>
        <c:manualLayout>
          <c:xMode val="edge"/>
          <c:yMode val="edge"/>
          <c:x val="0.72187500000000004"/>
          <c:y val="0"/>
          <c:w val="0.27812499999999996"/>
          <c:h val="7.4198988195615517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Evolution apparente des consommations unitaires</a:t>
            </a:r>
          </a:p>
        </c:rich>
      </c:tx>
      <c:layout>
        <c:manualLayout>
          <c:xMode val="edge"/>
          <c:yMode val="edge"/>
          <c:x val="0.16475718426701269"/>
          <c:y val="6.269592476489028E-3"/>
        </c:manualLayout>
      </c:layout>
      <c:overlay val="0"/>
      <c:spPr>
        <a:noFill/>
        <a:ln w="25400">
          <a:noFill/>
        </a:ln>
      </c:spPr>
    </c:title>
    <c:autoTitleDeleted val="0"/>
    <c:plotArea>
      <c:layout>
        <c:manualLayout>
          <c:layoutTarget val="inner"/>
          <c:xMode val="edge"/>
          <c:yMode val="edge"/>
          <c:x val="4.2460582908200949E-2"/>
          <c:y val="7.1621621621621612E-2"/>
          <c:w val="0.90960243070946734"/>
          <c:h val="0.8824324324324323"/>
        </c:manualLayout>
      </c:layout>
      <c:lineChart>
        <c:grouping val="standard"/>
        <c:varyColors val="0"/>
        <c:ser>
          <c:idx val="1"/>
          <c:order val="0"/>
          <c:tx>
            <c:v>Litres / 100 km</c:v>
          </c:tx>
          <c:spPr>
            <a:ln w="25400">
              <a:solidFill>
                <a:srgbClr val="FF6600"/>
              </a:solidFill>
              <a:prstDash val="solid"/>
            </a:ln>
          </c:spPr>
          <c:marker>
            <c:symbol val="none"/>
          </c:marker>
          <c:cat>
            <c:numRef>
              <c:f>data2018!$A$2:$A$56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data2018!$EC$2:$EC$60</c:f>
              <c:numCache>
                <c:formatCode>0.00</c:formatCode>
                <c:ptCount val="59"/>
                <c:pt idx="0">
                  <c:v>10.005276995568257</c:v>
                </c:pt>
                <c:pt idx="1">
                  <c:v>10.229434688704911</c:v>
                </c:pt>
                <c:pt idx="2">
                  <c:v>10.073346812693311</c:v>
                </c:pt>
                <c:pt idx="3">
                  <c:v>9.7089469521703755</c:v>
                </c:pt>
                <c:pt idx="4">
                  <c:v>9.710008450033591</c:v>
                </c:pt>
                <c:pt idx="5">
                  <c:v>9.4907213154397638</c:v>
                </c:pt>
                <c:pt idx="6">
                  <c:v>9.4110798046717647</c:v>
                </c:pt>
                <c:pt idx="7">
                  <c:v>9.2348733299188623</c:v>
                </c:pt>
                <c:pt idx="8">
                  <c:v>9.2492317438535174</c:v>
                </c:pt>
                <c:pt idx="9">
                  <c:v>9.1032261794425384</c:v>
                </c:pt>
                <c:pt idx="10">
                  <c:v>9.0817514535883905</c:v>
                </c:pt>
                <c:pt idx="11">
                  <c:v>9.3809257661278025</c:v>
                </c:pt>
                <c:pt idx="12">
                  <c:v>9.6395869793942275</c:v>
                </c:pt>
                <c:pt idx="13">
                  <c:v>9.5070733863837305</c:v>
                </c:pt>
                <c:pt idx="14">
                  <c:v>8.6560867146090352</c:v>
                </c:pt>
                <c:pt idx="15">
                  <c:v>8.6836746915798297</c:v>
                </c:pt>
                <c:pt idx="16">
                  <c:v>9.1023288415647414</c:v>
                </c:pt>
                <c:pt idx="17">
                  <c:v>9.0608139732485729</c:v>
                </c:pt>
                <c:pt idx="18">
                  <c:v>9.1919772651853346</c:v>
                </c:pt>
                <c:pt idx="19">
                  <c:v>9.0887956613711545</c:v>
                </c:pt>
                <c:pt idx="20">
                  <c:v>8.6617951357997534</c:v>
                </c:pt>
                <c:pt idx="21">
                  <c:v>8.5020943049794937</c:v>
                </c:pt>
                <c:pt idx="22">
                  <c:v>8.818064283351875</c:v>
                </c:pt>
                <c:pt idx="23">
                  <c:v>8.7982949887972026</c:v>
                </c:pt>
                <c:pt idx="24">
                  <c:v>8.629359102319814</c:v>
                </c:pt>
                <c:pt idx="25">
                  <c:v>8.5494785387026759</c:v>
                </c:pt>
                <c:pt idx="26">
                  <c:v>8.6453551800086448</c:v>
                </c:pt>
                <c:pt idx="27">
                  <c:v>8.6398766232628237</c:v>
                </c:pt>
                <c:pt idx="28">
                  <c:v>8.5867023956325657</c:v>
                </c:pt>
                <c:pt idx="29">
                  <c:v>9.1217445269532842</c:v>
                </c:pt>
                <c:pt idx="30">
                  <c:v>8.2103007718463648</c:v>
                </c:pt>
                <c:pt idx="31">
                  <c:v>8.0977372751248442</c:v>
                </c:pt>
                <c:pt idx="32">
                  <c:v>8.0215756040118276</c:v>
                </c:pt>
                <c:pt idx="33">
                  <c:v>7.9849853401490032</c:v>
                </c:pt>
                <c:pt idx="34">
                  <c:v>7.7805089409820498</c:v>
                </c:pt>
                <c:pt idx="35">
                  <c:v>7.7766311591762056</c:v>
                </c:pt>
                <c:pt idx="36">
                  <c:v>7.6897187552609356</c:v>
                </c:pt>
                <c:pt idx="37">
                  <c:v>7.6460043239544637</c:v>
                </c:pt>
                <c:pt idx="38">
                  <c:v>7.6161150407987792</c:v>
                </c:pt>
                <c:pt idx="39">
                  <c:v>7.5538038757526955</c:v>
                </c:pt>
                <c:pt idx="40">
                  <c:v>7.4580736600646498</c:v>
                </c:pt>
                <c:pt idx="41">
                  <c:v>7.379176383063017</c:v>
                </c:pt>
                <c:pt idx="42">
                  <c:v>7.3136007875975801</c:v>
                </c:pt>
                <c:pt idx="43">
                  <c:v>7.21324721918878</c:v>
                </c:pt>
                <c:pt idx="44">
                  <c:v>7.1162624708101818</c:v>
                </c:pt>
                <c:pt idx="45">
                  <c:v>7.0673705758884138</c:v>
                </c:pt>
                <c:pt idx="46">
                  <c:v>6.9935100105564674</c:v>
                </c:pt>
                <c:pt idx="47">
                  <c:v>6.9789639401014725</c:v>
                </c:pt>
                <c:pt idx="48">
                  <c:v>6.9818954866554543</c:v>
                </c:pt>
                <c:pt idx="49">
                  <c:v>6.9459825143006846</c:v>
                </c:pt>
                <c:pt idx="50">
                  <c:v>6.9272139813421267</c:v>
                </c:pt>
                <c:pt idx="51">
                  <c:v>6.7800784095415363</c:v>
                </c:pt>
                <c:pt idx="52" formatCode="General">
                  <c:v>6.6939424530641221</c:v>
                </c:pt>
                <c:pt idx="53" formatCode="General">
                  <c:v>6.5304479629580428</c:v>
                </c:pt>
                <c:pt idx="54" formatCode="General">
                  <c:v>6.494778142094555</c:v>
                </c:pt>
                <c:pt idx="55" formatCode="General">
                  <c:v>6.4697448918035816</c:v>
                </c:pt>
                <c:pt idx="56" formatCode="General">
                  <c:v>6.3572235718020913</c:v>
                </c:pt>
                <c:pt idx="57" formatCode="General">
                  <c:v>6.3947602531329961</c:v>
                </c:pt>
                <c:pt idx="58" formatCode="General">
                  <c:v>6.39</c:v>
                </c:pt>
              </c:numCache>
            </c:numRef>
          </c:val>
          <c:smooth val="0"/>
        </c:ser>
        <c:dLbls>
          <c:showLegendKey val="0"/>
          <c:showVal val="0"/>
          <c:showCatName val="0"/>
          <c:showSerName val="0"/>
          <c:showPercent val="0"/>
          <c:showBubbleSize val="0"/>
        </c:dLbls>
        <c:marker val="1"/>
        <c:smooth val="0"/>
        <c:axId val="197330816"/>
        <c:axId val="197332352"/>
      </c:lineChart>
      <c:lineChart>
        <c:grouping val="standard"/>
        <c:varyColors val="0"/>
        <c:ser>
          <c:idx val="0"/>
          <c:order val="1"/>
          <c:tx>
            <c:v>Litres / km</c:v>
          </c:tx>
          <c:spPr>
            <a:ln w="25400">
              <a:solidFill>
                <a:srgbClr val="333333"/>
              </a:solidFill>
              <a:prstDash val="solid"/>
            </a:ln>
          </c:spPr>
          <c:marker>
            <c:symbol val="none"/>
          </c:marker>
          <c:val>
            <c:numRef>
              <c:f>data2018!$EP$2:$EP$60</c:f>
              <c:numCache>
                <c:formatCode>0.0000</c:formatCode>
                <c:ptCount val="59"/>
                <c:pt idx="0">
                  <c:v>9.1208326202694062E-2</c:v>
                </c:pt>
                <c:pt idx="1">
                  <c:v>9.3041591892240649E-2</c:v>
                </c:pt>
                <c:pt idx="2">
                  <c:v>8.9758030554894133E-2</c:v>
                </c:pt>
                <c:pt idx="3">
                  <c:v>8.6387708604968805E-2</c:v>
                </c:pt>
                <c:pt idx="4">
                  <c:v>8.7880244746097291E-2</c:v>
                </c:pt>
                <c:pt idx="5">
                  <c:v>8.7639069194737892E-2</c:v>
                </c:pt>
                <c:pt idx="6">
                  <c:v>8.6436115229452187E-2</c:v>
                </c:pt>
                <c:pt idx="7">
                  <c:v>8.5749273418366342E-2</c:v>
                </c:pt>
                <c:pt idx="8">
                  <c:v>8.7170502563614999E-2</c:v>
                </c:pt>
                <c:pt idx="9">
                  <c:v>8.6043141207041193E-2</c:v>
                </c:pt>
                <c:pt idx="10">
                  <c:v>8.637495769010288E-2</c:v>
                </c:pt>
                <c:pt idx="11">
                  <c:v>8.9093788502371429E-2</c:v>
                </c:pt>
                <c:pt idx="12">
                  <c:v>9.0925127183510215E-2</c:v>
                </c:pt>
                <c:pt idx="13">
                  <c:v>9.0518783542039349E-2</c:v>
                </c:pt>
                <c:pt idx="14">
                  <c:v>8.3367580874561323E-2</c:v>
                </c:pt>
                <c:pt idx="15">
                  <c:v>8.4934395501405816E-2</c:v>
                </c:pt>
                <c:pt idx="16">
                  <c:v>8.7041370068444118E-2</c:v>
                </c:pt>
                <c:pt idx="17">
                  <c:v>8.6555038720320387E-2</c:v>
                </c:pt>
                <c:pt idx="18">
                  <c:v>8.8133010008746529E-2</c:v>
                </c:pt>
                <c:pt idx="19">
                  <c:v>8.733918607347986E-2</c:v>
                </c:pt>
                <c:pt idx="20">
                  <c:v>8.3493728334630146E-2</c:v>
                </c:pt>
                <c:pt idx="21">
                  <c:v>8.2351931166712772E-2</c:v>
                </c:pt>
                <c:pt idx="22">
                  <c:v>8.579151211635444E-2</c:v>
                </c:pt>
                <c:pt idx="23">
                  <c:v>8.6701644792516117E-2</c:v>
                </c:pt>
                <c:pt idx="24">
                  <c:v>8.546384495566739E-2</c:v>
                </c:pt>
                <c:pt idx="25">
                  <c:v>8.4319181415370162E-2</c:v>
                </c:pt>
                <c:pt idx="26">
                  <c:v>8.4804902672735966E-2</c:v>
                </c:pt>
                <c:pt idx="27">
                  <c:v>8.4550453982772292E-2</c:v>
                </c:pt>
                <c:pt idx="28">
                  <c:v>8.3769916355260876E-2</c:v>
                </c:pt>
                <c:pt idx="29">
                  <c:v>8.927496164580094E-2</c:v>
                </c:pt>
                <c:pt idx="30">
                  <c:v>8.4337164554931801E-2</c:v>
                </c:pt>
                <c:pt idx="31">
                  <c:v>8.3849727888164277E-2</c:v>
                </c:pt>
                <c:pt idx="32">
                  <c:v>8.3058047022569734E-2</c:v>
                </c:pt>
                <c:pt idx="33">
                  <c:v>8.3075953163349509E-2</c:v>
                </c:pt>
                <c:pt idx="34">
                  <c:v>8.2577038266405153E-2</c:v>
                </c:pt>
                <c:pt idx="35">
                  <c:v>8.068100538203471E-2</c:v>
                </c:pt>
                <c:pt idx="36">
                  <c:v>7.9788720026207599E-2</c:v>
                </c:pt>
                <c:pt idx="37">
                  <c:v>7.9010851211660252E-2</c:v>
                </c:pt>
                <c:pt idx="38">
                  <c:v>7.8374031806171501E-2</c:v>
                </c:pt>
                <c:pt idx="39">
                  <c:v>7.6615316435687461E-2</c:v>
                </c:pt>
                <c:pt idx="40">
                  <c:v>7.5414832232273785E-2</c:v>
                </c:pt>
                <c:pt idx="41">
                  <c:v>7.4331801630852526E-2</c:v>
                </c:pt>
                <c:pt idx="42">
                  <c:v>7.3400350464235903E-2</c:v>
                </c:pt>
                <c:pt idx="43">
                  <c:v>7.2094981327959662E-2</c:v>
                </c:pt>
                <c:pt idx="44">
                  <c:v>7.0833710712772904E-2</c:v>
                </c:pt>
                <c:pt idx="45">
                  <c:v>7.0073779545492862E-2</c:v>
                </c:pt>
                <c:pt idx="46">
                  <c:v>6.9008849556164945E-2</c:v>
                </c:pt>
                <c:pt idx="47">
                  <c:v>6.8516869475063136E-2</c:v>
                </c:pt>
                <c:pt idx="48">
                  <c:v>6.8471106004026241E-2</c:v>
                </c:pt>
                <c:pt idx="49">
                  <c:v>6.804025218090208E-2</c:v>
                </c:pt>
                <c:pt idx="50">
                  <c:v>6.9272586794385679E-2</c:v>
                </c:pt>
                <c:pt idx="51">
                  <c:v>6.7852796661573844E-2</c:v>
                </c:pt>
                <c:pt idx="52">
                  <c:v>6.6939424530641223E-2</c:v>
                </c:pt>
                <c:pt idx="53">
                  <c:v>6.5304632849893102E-2</c:v>
                </c:pt>
                <c:pt idx="54">
                  <c:v>6.4947781420945552E-2</c:v>
                </c:pt>
                <c:pt idx="55">
                  <c:v>6.4697448918035819E-2</c:v>
                </c:pt>
                <c:pt idx="56">
                  <c:v>6.3572235718020911E-2</c:v>
                </c:pt>
                <c:pt idx="57">
                  <c:v>6.3947602531329945E-2</c:v>
                </c:pt>
              </c:numCache>
            </c:numRef>
          </c:val>
          <c:smooth val="0"/>
        </c:ser>
        <c:dLbls>
          <c:showLegendKey val="0"/>
          <c:showVal val="0"/>
          <c:showCatName val="0"/>
          <c:showSerName val="0"/>
          <c:showPercent val="0"/>
          <c:showBubbleSize val="0"/>
        </c:dLbls>
        <c:marker val="1"/>
        <c:smooth val="0"/>
        <c:axId val="197338624"/>
        <c:axId val="197340160"/>
      </c:lineChart>
      <c:catAx>
        <c:axId val="19733081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197332352"/>
        <c:crosses val="autoZero"/>
        <c:auto val="0"/>
        <c:lblAlgn val="ctr"/>
        <c:lblOffset val="100"/>
        <c:tickLblSkip val="1"/>
        <c:tickMarkSkip val="1"/>
        <c:noMultiLvlLbl val="0"/>
      </c:catAx>
      <c:valAx>
        <c:axId val="197332352"/>
        <c:scaling>
          <c:orientation val="minMax"/>
          <c:max val="10.25"/>
          <c:min val="0"/>
        </c:scaling>
        <c:delete val="0"/>
        <c:axPos val="l"/>
        <c:majorGridlines>
          <c:spPr>
            <a:ln w="3175">
              <a:solidFill>
                <a:srgbClr val="808080"/>
              </a:solidFill>
              <a:prstDash val="sysDash"/>
            </a:ln>
          </c:spPr>
        </c:majorGridlines>
        <c:title>
          <c:tx>
            <c:rich>
              <a:bodyPr rot="0" vert="horz"/>
              <a:lstStyle/>
              <a:p>
                <a:pPr>
                  <a:defRPr sz="800" b="0" i="0" u="none" strike="noStrike" baseline="0">
                    <a:solidFill>
                      <a:srgbClr val="000000"/>
                    </a:solidFill>
                    <a:latin typeface="Arial"/>
                    <a:ea typeface="Arial"/>
                    <a:cs typeface="Arial"/>
                  </a:defRPr>
                </a:pPr>
                <a:r>
                  <a:rPr lang="fr-FR"/>
                  <a:t>Consommation</a:t>
                </a:r>
              </a:p>
              <a:p>
                <a:pPr>
                  <a:defRPr sz="800" b="0" i="0" u="none" strike="noStrike" baseline="0">
                    <a:solidFill>
                      <a:srgbClr val="000000"/>
                    </a:solidFill>
                    <a:latin typeface="Arial"/>
                    <a:ea typeface="Arial"/>
                    <a:cs typeface="Arial"/>
                  </a:defRPr>
                </a:pPr>
                <a:r>
                  <a:rPr lang="fr-FR"/>
                  <a:t> unitaire (litres / 100 km)</a:t>
                </a:r>
              </a:p>
            </c:rich>
          </c:tx>
          <c:layout>
            <c:manualLayout>
              <c:xMode val="edge"/>
              <c:yMode val="edge"/>
              <c:x val="0"/>
              <c:y val="8.4879750532750823E-3"/>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330816"/>
        <c:crosses val="autoZero"/>
        <c:crossBetween val="between"/>
        <c:majorUnit val="0.5"/>
      </c:valAx>
      <c:catAx>
        <c:axId val="197338624"/>
        <c:scaling>
          <c:orientation val="minMax"/>
        </c:scaling>
        <c:delete val="1"/>
        <c:axPos val="b"/>
        <c:majorTickMark val="out"/>
        <c:minorTickMark val="none"/>
        <c:tickLblPos val="nextTo"/>
        <c:crossAx val="197340160"/>
        <c:crosses val="autoZero"/>
        <c:auto val="0"/>
        <c:lblAlgn val="ctr"/>
        <c:lblOffset val="100"/>
        <c:noMultiLvlLbl val="0"/>
      </c:catAx>
      <c:valAx>
        <c:axId val="197340160"/>
        <c:scaling>
          <c:orientation val="minMax"/>
          <c:max val="9.2999999999999999E-2"/>
          <c:min val="0"/>
        </c:scaling>
        <c:delete val="0"/>
        <c:axPos val="r"/>
        <c:title>
          <c:tx>
            <c:rich>
              <a:bodyPr rot="0" vert="horz"/>
              <a:lstStyle/>
              <a:p>
                <a:pPr>
                  <a:defRPr sz="1000" b="0" i="0" u="none" strike="noStrike" baseline="0">
                    <a:solidFill>
                      <a:srgbClr val="000000"/>
                    </a:solidFill>
                    <a:latin typeface="Arial"/>
                    <a:ea typeface="Arial"/>
                    <a:cs typeface="Arial"/>
                  </a:defRPr>
                </a:pPr>
                <a:r>
                  <a:rPr lang="fr-FR" b="0"/>
                  <a:t>Litres / km</a:t>
                </a:r>
              </a:p>
            </c:rich>
          </c:tx>
          <c:layout>
            <c:manualLayout>
              <c:xMode val="edge"/>
              <c:yMode val="edge"/>
              <c:x val="0.9221835551006482"/>
              <c:y val="2.7721801232526187E-2"/>
            </c:manualLayout>
          </c:layout>
          <c:overlay val="0"/>
          <c:spPr>
            <a:noFill/>
            <a:ln w="25400">
              <a:noFill/>
            </a:ln>
          </c:spPr>
        </c:title>
        <c:numFmt formatCode="0.0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338624"/>
        <c:crosses val="max"/>
        <c:crossBetween val="between"/>
        <c:majorUnit val="5.0000000000000001E-3"/>
      </c:valAx>
      <c:spPr>
        <a:noFill/>
        <a:ln w="12700">
          <a:solidFill>
            <a:srgbClr val="808080"/>
          </a:solidFill>
          <a:prstDash val="solid"/>
        </a:ln>
      </c:spPr>
    </c:plotArea>
    <c:legend>
      <c:legendPos val="r"/>
      <c:layout>
        <c:manualLayout>
          <c:xMode val="edge"/>
          <c:yMode val="edge"/>
          <c:x val="0.57840751994025308"/>
          <c:y val="2.0898641588296763E-3"/>
          <c:w val="0.2114583333333333"/>
          <c:h val="4.8903878583473864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Relation entre prix nominal du carburant et 
indice du coût de la construction base 53</a:t>
            </a:r>
          </a:p>
        </c:rich>
      </c:tx>
      <c:layout>
        <c:manualLayout>
          <c:xMode val="edge"/>
          <c:yMode val="edge"/>
          <c:x val="0.13094247594050745"/>
          <c:y val="0"/>
        </c:manualLayout>
      </c:layout>
      <c:overlay val="0"/>
      <c:spPr>
        <a:noFill/>
        <a:ln w="25400">
          <a:noFill/>
        </a:ln>
      </c:spPr>
    </c:title>
    <c:autoTitleDeleted val="0"/>
    <c:plotArea>
      <c:layout>
        <c:manualLayout>
          <c:layoutTarget val="inner"/>
          <c:xMode val="edge"/>
          <c:yMode val="edge"/>
          <c:x val="5.6713928273561288E-2"/>
          <c:y val="0.10270270270270269"/>
          <c:w val="0.87739783152627182"/>
          <c:h val="0.85135135135135132"/>
        </c:manualLayout>
      </c:layout>
      <c:lineChart>
        <c:grouping val="standard"/>
        <c:varyColors val="0"/>
        <c:ser>
          <c:idx val="1"/>
          <c:order val="0"/>
          <c:tx>
            <c:v>Prix du carburant (€/litre)</c:v>
          </c:tx>
          <c:spPr>
            <a:ln w="25400">
              <a:solidFill>
                <a:srgbClr val="FF6600"/>
              </a:solidFill>
              <a:prstDash val="solid"/>
            </a:ln>
          </c:spPr>
          <c:marker>
            <c:symbol val="none"/>
          </c:marker>
          <c:cat>
            <c:numRef>
              <c:f>data2018!$A$2:$A$56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data2018!$CC$2:$CC$60</c:f>
              <c:numCache>
                <c:formatCode>0.00</c:formatCode>
                <c:ptCount val="59"/>
                <c:pt idx="0">
                  <c:v>0.15282131746188418</c:v>
                </c:pt>
                <c:pt idx="1">
                  <c:v>0.15231828049006704</c:v>
                </c:pt>
                <c:pt idx="2">
                  <c:v>0.15237038146616799</c:v>
                </c:pt>
                <c:pt idx="3">
                  <c:v>0.15206424176878894</c:v>
                </c:pt>
                <c:pt idx="4">
                  <c:v>0.15034957744136906</c:v>
                </c:pt>
                <c:pt idx="5">
                  <c:v>0.14927269013648842</c:v>
                </c:pt>
                <c:pt idx="6">
                  <c:v>0.14999689599093433</c:v>
                </c:pt>
                <c:pt idx="7">
                  <c:v>0.15221137709607321</c:v>
                </c:pt>
                <c:pt idx="8">
                  <c:v>0.15609883790483631</c:v>
                </c:pt>
                <c:pt idx="9">
                  <c:v>0.16736917091805514</c:v>
                </c:pt>
                <c:pt idx="10">
                  <c:v>0.17133568739400759</c:v>
                </c:pt>
                <c:pt idx="11">
                  <c:v>0.17598822420507684</c:v>
                </c:pt>
                <c:pt idx="12">
                  <c:v>0.17786422680265021</c:v>
                </c:pt>
                <c:pt idx="13">
                  <c:v>0.18567568925032296</c:v>
                </c:pt>
                <c:pt idx="14">
                  <c:v>0.26136192482949266</c:v>
                </c:pt>
                <c:pt idx="15">
                  <c:v>0.27077782052005916</c:v>
                </c:pt>
                <c:pt idx="16">
                  <c:v>0.29361297502703471</c:v>
                </c:pt>
                <c:pt idx="17">
                  <c:v>0.34332133642281787</c:v>
                </c:pt>
                <c:pt idx="18">
                  <c:v>0.37213698870946132</c:v>
                </c:pt>
                <c:pt idx="19">
                  <c:v>0.42589130647742135</c:v>
                </c:pt>
                <c:pt idx="20">
                  <c:v>0.50253915541591176</c:v>
                </c:pt>
                <c:pt idx="21">
                  <c:v>0.54430954381583541</c:v>
                </c:pt>
                <c:pt idx="22">
                  <c:v>0.6310562186980303</c:v>
                </c:pt>
                <c:pt idx="23">
                  <c:v>0.6827784619974725</c:v>
                </c:pt>
                <c:pt idx="24">
                  <c:v>0.73392379525686724</c:v>
                </c:pt>
                <c:pt idx="25">
                  <c:v>0.80616588757179997</c:v>
                </c:pt>
                <c:pt idx="26">
                  <c:v>0.76208932458190359</c:v>
                </c:pt>
                <c:pt idx="27">
                  <c:v>0.6699686182477872</c:v>
                </c:pt>
                <c:pt idx="28">
                  <c:v>0.67111237881506336</c:v>
                </c:pt>
                <c:pt idx="29">
                  <c:v>0.70247590660636994</c:v>
                </c:pt>
                <c:pt idx="30">
                  <c:v>0.7114325776864836</c:v>
                </c:pt>
                <c:pt idx="31">
                  <c:v>0.73896874101296084</c:v>
                </c:pt>
                <c:pt idx="32">
                  <c:v>0.72092030513144989</c:v>
                </c:pt>
                <c:pt idx="33">
                  <c:v>0.73850007750193292</c:v>
                </c:pt>
                <c:pt idx="34">
                  <c:v>0.75605698764955898</c:v>
                </c:pt>
                <c:pt idx="35">
                  <c:v>0.77373669946751966</c:v>
                </c:pt>
                <c:pt idx="36">
                  <c:v>0.82250983405252098</c:v>
                </c:pt>
                <c:pt idx="37">
                  <c:v>0.84501697175965917</c:v>
                </c:pt>
                <c:pt idx="38">
                  <c:v>0.81232685473402133</c:v>
                </c:pt>
                <c:pt idx="39">
                  <c:v>0.85496693934021617</c:v>
                </c:pt>
                <c:pt idx="40">
                  <c:v>0.99574812194780715</c:v>
                </c:pt>
                <c:pt idx="41">
                  <c:v>0.93281781658948326</c:v>
                </c:pt>
                <c:pt idx="42">
                  <c:v>0.90428738117332352</c:v>
                </c:pt>
                <c:pt idx="43">
                  <c:v>0.90809971647442222</c:v>
                </c:pt>
                <c:pt idx="44">
                  <c:v>0.96928581100389022</c:v>
                </c:pt>
                <c:pt idx="45">
                  <c:v>1.0895032822607029</c:v>
                </c:pt>
                <c:pt idx="46">
                  <c:v>1.193391382107825</c:v>
                </c:pt>
                <c:pt idx="47">
                  <c:v>1.1739599999999999</c:v>
                </c:pt>
                <c:pt idx="48">
                  <c:v>1.3077688535268936</c:v>
                </c:pt>
                <c:pt idx="49">
                  <c:v>1.0826271923620934</c:v>
                </c:pt>
                <c:pt idx="50">
                  <c:v>1.2186922044478332</c:v>
                </c:pt>
                <c:pt idx="51">
                  <c:v>1.3925935150573927</c:v>
                </c:pt>
                <c:pt idx="52">
                  <c:v>1.453015076990489</c:v>
                </c:pt>
                <c:pt idx="53">
                  <c:v>1.4115243645609854</c:v>
                </c:pt>
                <c:pt idx="54">
                  <c:v>1.3502573273619123</c:v>
                </c:pt>
                <c:pt idx="55">
                  <c:v>1.2154872790700371</c:v>
                </c:pt>
                <c:pt idx="56">
                  <c:v>1.1701024964661184</c:v>
                </c:pt>
                <c:pt idx="57">
                  <c:v>1.3866665872669477</c:v>
                </c:pt>
                <c:pt idx="58">
                  <c:v>1.4487902490421458</c:v>
                </c:pt>
              </c:numCache>
            </c:numRef>
          </c:val>
          <c:smooth val="0"/>
        </c:ser>
        <c:dLbls>
          <c:showLegendKey val="0"/>
          <c:showVal val="0"/>
          <c:showCatName val="0"/>
          <c:showSerName val="0"/>
          <c:showPercent val="0"/>
          <c:showBubbleSize val="0"/>
        </c:dLbls>
        <c:marker val="1"/>
        <c:smooth val="0"/>
        <c:axId val="197413120"/>
        <c:axId val="197419008"/>
      </c:lineChart>
      <c:lineChart>
        <c:grouping val="standard"/>
        <c:varyColors val="0"/>
        <c:ser>
          <c:idx val="0"/>
          <c:order val="1"/>
          <c:tx>
            <c:v>Indice du coût de la construction (1953 = 100)</c:v>
          </c:tx>
          <c:spPr>
            <a:ln w="25400">
              <a:solidFill>
                <a:srgbClr val="000080"/>
              </a:solidFill>
              <a:prstDash val="solid"/>
            </a:ln>
          </c:spPr>
          <c:marker>
            <c:symbol val="none"/>
          </c:marker>
          <c:val>
            <c:numRef>
              <c:f>data2018!$CL$2:$CL$60</c:f>
              <c:numCache>
                <c:formatCode>0.0</c:formatCode>
                <c:ptCount val="59"/>
                <c:pt idx="0">
                  <c:v>142.25</c:v>
                </c:pt>
                <c:pt idx="1">
                  <c:v>144.75</c:v>
                </c:pt>
                <c:pt idx="2">
                  <c:v>152.25</c:v>
                </c:pt>
                <c:pt idx="3">
                  <c:v>167</c:v>
                </c:pt>
                <c:pt idx="4">
                  <c:v>178.25</c:v>
                </c:pt>
                <c:pt idx="5">
                  <c:v>188.25</c:v>
                </c:pt>
                <c:pt idx="6">
                  <c:v>193</c:v>
                </c:pt>
                <c:pt idx="7">
                  <c:v>196.25</c:v>
                </c:pt>
                <c:pt idx="8">
                  <c:v>205.25</c:v>
                </c:pt>
                <c:pt idx="9">
                  <c:v>217</c:v>
                </c:pt>
                <c:pt idx="10">
                  <c:v>223</c:v>
                </c:pt>
                <c:pt idx="11">
                  <c:v>236.25</c:v>
                </c:pt>
                <c:pt idx="12">
                  <c:v>250.25</c:v>
                </c:pt>
                <c:pt idx="13">
                  <c:v>271</c:v>
                </c:pt>
                <c:pt idx="14">
                  <c:v>313.5</c:v>
                </c:pt>
                <c:pt idx="15">
                  <c:v>354.75</c:v>
                </c:pt>
                <c:pt idx="16">
                  <c:v>396</c:v>
                </c:pt>
                <c:pt idx="17">
                  <c:v>433.25</c:v>
                </c:pt>
                <c:pt idx="18">
                  <c:v>471</c:v>
                </c:pt>
                <c:pt idx="19">
                  <c:v>521.25</c:v>
                </c:pt>
                <c:pt idx="20">
                  <c:v>592.5</c:v>
                </c:pt>
                <c:pt idx="21">
                  <c:v>647.75</c:v>
                </c:pt>
                <c:pt idx="22">
                  <c:v>718.25</c:v>
                </c:pt>
                <c:pt idx="23">
                  <c:v>766</c:v>
                </c:pt>
                <c:pt idx="24">
                  <c:v>811.25</c:v>
                </c:pt>
                <c:pt idx="25">
                  <c:v>837</c:v>
                </c:pt>
                <c:pt idx="26">
                  <c:v>864</c:v>
                </c:pt>
                <c:pt idx="27">
                  <c:v>889.5</c:v>
                </c:pt>
                <c:pt idx="28">
                  <c:v>914.5</c:v>
                </c:pt>
                <c:pt idx="29">
                  <c:v>927.25</c:v>
                </c:pt>
                <c:pt idx="30">
                  <c:v>949.5</c:v>
                </c:pt>
                <c:pt idx="31">
                  <c:v>990.5</c:v>
                </c:pt>
                <c:pt idx="32">
                  <c:v>1005.25</c:v>
                </c:pt>
                <c:pt idx="33">
                  <c:v>1016.75</c:v>
                </c:pt>
                <c:pt idx="34">
                  <c:v>1018.25</c:v>
                </c:pt>
                <c:pt idx="35">
                  <c:v>1017.75</c:v>
                </c:pt>
                <c:pt idx="36">
                  <c:v>1035.75</c:v>
                </c:pt>
                <c:pt idx="37">
                  <c:v>1060.5</c:v>
                </c:pt>
                <c:pt idx="38">
                  <c:v>1061.75</c:v>
                </c:pt>
                <c:pt idx="39">
                  <c:v>1072.5</c:v>
                </c:pt>
                <c:pt idx="40">
                  <c:v>1098</c:v>
                </c:pt>
                <c:pt idx="41">
                  <c:v>1137.25</c:v>
                </c:pt>
                <c:pt idx="42">
                  <c:v>1166</c:v>
                </c:pt>
                <c:pt idx="43">
                  <c:v>1200.5</c:v>
                </c:pt>
                <c:pt idx="44">
                  <c:v>1258.25</c:v>
                </c:pt>
                <c:pt idx="45">
                  <c:v>1289</c:v>
                </c:pt>
                <c:pt idx="46">
                  <c:v>1378.75</c:v>
                </c:pt>
                <c:pt idx="47">
                  <c:v>1434.25</c:v>
                </c:pt>
                <c:pt idx="48">
                  <c:v>1544</c:v>
                </c:pt>
                <c:pt idx="49">
                  <c:v>1502.5</c:v>
                </c:pt>
                <c:pt idx="50">
                  <c:v>1520</c:v>
                </c:pt>
                <c:pt idx="51">
                  <c:v>1602</c:v>
                </c:pt>
                <c:pt idx="52">
                  <c:v>1642.5</c:v>
                </c:pt>
                <c:pt idx="53">
                  <c:v>1627.5</c:v>
                </c:pt>
                <c:pt idx="54">
                  <c:v>1630.25</c:v>
                </c:pt>
                <c:pt idx="55">
                  <c:v>1620.75</c:v>
                </c:pt>
                <c:pt idx="56">
                  <c:v>1631.25</c:v>
                </c:pt>
                <c:pt idx="57">
                  <c:v>1662.75</c:v>
                </c:pt>
              </c:numCache>
            </c:numRef>
          </c:val>
          <c:smooth val="0"/>
        </c:ser>
        <c:dLbls>
          <c:showLegendKey val="0"/>
          <c:showVal val="0"/>
          <c:showCatName val="0"/>
          <c:showSerName val="0"/>
          <c:showPercent val="0"/>
          <c:showBubbleSize val="0"/>
        </c:dLbls>
        <c:marker val="1"/>
        <c:smooth val="0"/>
        <c:axId val="197420928"/>
        <c:axId val="197422464"/>
      </c:lineChart>
      <c:catAx>
        <c:axId val="19741312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197419008"/>
        <c:crosses val="autoZero"/>
        <c:auto val="0"/>
        <c:lblAlgn val="ctr"/>
        <c:lblOffset val="100"/>
        <c:tickLblSkip val="1"/>
        <c:tickMarkSkip val="1"/>
        <c:noMultiLvlLbl val="0"/>
      </c:catAx>
      <c:valAx>
        <c:axId val="197419008"/>
        <c:scaling>
          <c:orientation val="minMax"/>
          <c:max val="1.5"/>
          <c:min val="0"/>
        </c:scaling>
        <c:delete val="0"/>
        <c:axPos val="l"/>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fr-FR"/>
                  <a:t>Prix du carburant (€/litre)</a:t>
                </a:r>
              </a:p>
            </c:rich>
          </c:tx>
          <c:layout>
            <c:manualLayout>
              <c:xMode val="edge"/>
              <c:yMode val="edge"/>
              <c:x val="0"/>
              <c:y val="0.42972969862746918"/>
            </c:manualLayout>
          </c:layout>
          <c:overlay val="0"/>
          <c:spPr>
            <a:noFill/>
            <a:ln w="25400">
              <a:noFill/>
            </a:ln>
          </c:spPr>
        </c:title>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413120"/>
        <c:crosses val="autoZero"/>
        <c:crossBetween val="between"/>
        <c:majorUnit val="0.1"/>
      </c:valAx>
      <c:catAx>
        <c:axId val="197420928"/>
        <c:scaling>
          <c:orientation val="minMax"/>
        </c:scaling>
        <c:delete val="1"/>
        <c:axPos val="b"/>
        <c:majorTickMark val="out"/>
        <c:minorTickMark val="none"/>
        <c:tickLblPos val="nextTo"/>
        <c:crossAx val="197422464"/>
        <c:crosses val="autoZero"/>
        <c:auto val="0"/>
        <c:lblAlgn val="ctr"/>
        <c:lblOffset val="100"/>
        <c:noMultiLvlLbl val="0"/>
      </c:catAx>
      <c:valAx>
        <c:axId val="197422464"/>
        <c:scaling>
          <c:orientation val="minMax"/>
          <c:max val="1700"/>
          <c:min val="0"/>
        </c:scaling>
        <c:delete val="0"/>
        <c:axPos val="r"/>
        <c:title>
          <c:tx>
            <c:rich>
              <a:bodyPr/>
              <a:lstStyle/>
              <a:p>
                <a:pPr>
                  <a:defRPr sz="800" b="0" i="0" u="none" strike="noStrike" baseline="0">
                    <a:solidFill>
                      <a:srgbClr val="000000"/>
                    </a:solidFill>
                    <a:latin typeface="Arial"/>
                    <a:ea typeface="Arial"/>
                    <a:cs typeface="Arial"/>
                  </a:defRPr>
                </a:pPr>
                <a:r>
                  <a:rPr lang="fr-FR"/>
                  <a:t>Indice du coût de la construction (1953 = 100)</a:t>
                </a:r>
              </a:p>
            </c:rich>
          </c:tx>
          <c:layout>
            <c:manualLayout>
              <c:xMode val="edge"/>
              <c:yMode val="edge"/>
              <c:x val="0.98081736657917762"/>
              <c:y val="0.3513514183408355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7420928"/>
        <c:crosses val="max"/>
        <c:crossBetween val="between"/>
        <c:majorUnit val="100"/>
      </c:valAx>
      <c:spPr>
        <a:noFill/>
        <a:ln w="12700">
          <a:solidFill>
            <a:srgbClr val="808080"/>
          </a:solidFill>
          <a:prstDash val="solid"/>
        </a:ln>
      </c:spPr>
    </c:plotArea>
    <c:legend>
      <c:legendPos val="r"/>
      <c:layout>
        <c:manualLayout>
          <c:xMode val="edge"/>
          <c:yMode val="edge"/>
          <c:x val="0.60833333333333328"/>
          <c:y val="0"/>
          <c:w val="0.37187499999999996"/>
          <c:h val="7.4198988195615517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ejaVu Serif"/>
                <a:ea typeface="DejaVu Serif"/>
                <a:cs typeface="DejaVu Serif"/>
              </a:defRPr>
            </a:pPr>
            <a:r>
              <a:rPr lang="fr-FR"/>
              <a:t>Evolution des parts budgétaires de l'énergie selon relativement
au RDB et à la dépense des ménages</a:t>
            </a:r>
          </a:p>
        </c:rich>
      </c:tx>
      <c:layout>
        <c:manualLayout>
          <c:xMode val="edge"/>
          <c:yMode val="edge"/>
          <c:x val="9.6747265966754148E-2"/>
          <c:y val="0"/>
        </c:manualLayout>
      </c:layout>
      <c:overlay val="0"/>
      <c:spPr>
        <a:noFill/>
        <a:ln w="25400">
          <a:noFill/>
        </a:ln>
      </c:spPr>
    </c:title>
    <c:autoTitleDeleted val="0"/>
    <c:plotArea>
      <c:layout>
        <c:manualLayout>
          <c:layoutTarget val="inner"/>
          <c:xMode val="edge"/>
          <c:yMode val="edge"/>
          <c:x val="4.5871559633027519E-2"/>
          <c:y val="0.10135135135135136"/>
          <c:w val="0.9349457881567973"/>
          <c:h val="0.84594594594594597"/>
        </c:manualLayout>
      </c:layout>
      <c:scatterChart>
        <c:scatterStyle val="lineMarker"/>
        <c:varyColors val="0"/>
        <c:ser>
          <c:idx val="0"/>
          <c:order val="0"/>
          <c:tx>
            <c:v>Energie sur RDB</c:v>
          </c:tx>
          <c:spPr>
            <a:ln w="25400">
              <a:solidFill>
                <a:srgbClr val="00008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data_menages!$F$2:$F$56</c:f>
              <c:numCache>
                <c:formatCode>0.0000</c:formatCode>
                <c:ptCount val="55"/>
                <c:pt idx="0">
                  <c:v>5.6830472835981784E-2</c:v>
                </c:pt>
                <c:pt idx="1">
                  <c:v>5.6326726779050693E-2</c:v>
                </c:pt>
                <c:pt idx="2">
                  <c:v>5.4137066739434733E-2</c:v>
                </c:pt>
                <c:pt idx="3">
                  <c:v>5.458577620325282E-2</c:v>
                </c:pt>
                <c:pt idx="4">
                  <c:v>5.2964176592087651E-2</c:v>
                </c:pt>
                <c:pt idx="5">
                  <c:v>5.3369241744207971E-2</c:v>
                </c:pt>
                <c:pt idx="6">
                  <c:v>5.3120646625172969E-2</c:v>
                </c:pt>
                <c:pt idx="7">
                  <c:v>5.4796169960480832E-2</c:v>
                </c:pt>
                <c:pt idx="8">
                  <c:v>5.6263627830858462E-2</c:v>
                </c:pt>
                <c:pt idx="9">
                  <c:v>5.7040017270555042E-2</c:v>
                </c:pt>
                <c:pt idx="10">
                  <c:v>5.6807541922056642E-2</c:v>
                </c:pt>
                <c:pt idx="11">
                  <c:v>5.8203240231936432E-2</c:v>
                </c:pt>
                <c:pt idx="12">
                  <c:v>5.7409392646953709E-2</c:v>
                </c:pt>
                <c:pt idx="13">
                  <c:v>5.730217938605859E-2</c:v>
                </c:pt>
                <c:pt idx="14">
                  <c:v>6.418409700212431E-2</c:v>
                </c:pt>
                <c:pt idx="15">
                  <c:v>6.3283317544612139E-2</c:v>
                </c:pt>
                <c:pt idx="16">
                  <c:v>6.519899570514448E-2</c:v>
                </c:pt>
                <c:pt idx="17">
                  <c:v>6.6270453937402829E-2</c:v>
                </c:pt>
                <c:pt idx="18">
                  <c:v>6.7703200114771878E-2</c:v>
                </c:pt>
                <c:pt idx="19">
                  <c:v>7.046993741957415E-2</c:v>
                </c:pt>
                <c:pt idx="20">
                  <c:v>7.8102115899404051E-2</c:v>
                </c:pt>
                <c:pt idx="21">
                  <c:v>7.8388026311270773E-2</c:v>
                </c:pt>
                <c:pt idx="22">
                  <c:v>7.9189829894538807E-2</c:v>
                </c:pt>
                <c:pt idx="23">
                  <c:v>8.1023599733601265E-2</c:v>
                </c:pt>
                <c:pt idx="24">
                  <c:v>8.4682206846293559E-2</c:v>
                </c:pt>
                <c:pt idx="25">
                  <c:v>8.8195239400187475E-2</c:v>
                </c:pt>
                <c:pt idx="26">
                  <c:v>7.6749895795594644E-2</c:v>
                </c:pt>
                <c:pt idx="27">
                  <c:v>7.154430601411331E-2</c:v>
                </c:pt>
                <c:pt idx="28">
                  <c:v>6.6006959535578433E-2</c:v>
                </c:pt>
                <c:pt idx="29">
                  <c:v>6.4331556491529884E-2</c:v>
                </c:pt>
                <c:pt idx="30">
                  <c:v>6.3539987529661543E-2</c:v>
                </c:pt>
                <c:pt idx="31">
                  <c:v>6.5504377697453528E-2</c:v>
                </c:pt>
                <c:pt idx="32">
                  <c:v>6.2394937338682087E-2</c:v>
                </c:pt>
                <c:pt idx="33">
                  <c:v>6.2243634452260846E-2</c:v>
                </c:pt>
                <c:pt idx="34">
                  <c:v>6.0912351121231688E-2</c:v>
                </c:pt>
                <c:pt idx="35">
                  <c:v>6.0743526630764488E-2</c:v>
                </c:pt>
                <c:pt idx="36">
                  <c:v>6.3667965566527748E-2</c:v>
                </c:pt>
                <c:pt idx="37">
                  <c:v>6.1902691135899496E-2</c:v>
                </c:pt>
                <c:pt idx="38">
                  <c:v>6.0178051996012144E-2</c:v>
                </c:pt>
                <c:pt idx="39">
                  <c:v>5.9485674601971052E-2</c:v>
                </c:pt>
                <c:pt idx="40">
                  <c:v>6.1855786677112466E-2</c:v>
                </c:pt>
                <c:pt idx="41">
                  <c:v>6.0174171175696914E-2</c:v>
                </c:pt>
                <c:pt idx="42">
                  <c:v>5.5871278929670816E-2</c:v>
                </c:pt>
                <c:pt idx="43">
                  <c:v>5.7395757078379038E-2</c:v>
                </c:pt>
                <c:pt idx="44">
                  <c:v>5.8028182614141277E-2</c:v>
                </c:pt>
                <c:pt idx="45">
                  <c:v>6.0893601545724742E-2</c:v>
                </c:pt>
                <c:pt idx="46">
                  <c:v>6.1217894209111834E-2</c:v>
                </c:pt>
                <c:pt idx="47">
                  <c:v>5.8434786011835223E-2</c:v>
                </c:pt>
                <c:pt idx="48">
                  <c:v>6.3461515183966394E-2</c:v>
                </c:pt>
                <c:pt idx="49">
                  <c:v>5.6126367818310173E-2</c:v>
                </c:pt>
                <c:pt idx="50">
                  <c:v>6.088120029650574E-2</c:v>
                </c:pt>
                <c:pt idx="51">
                  <c:v>6.2392537135328267E-2</c:v>
                </c:pt>
                <c:pt idx="52">
                  <c:v>6.7465035833873616E-2</c:v>
                </c:pt>
                <c:pt idx="53">
                  <c:v>6.8324044709519471E-2</c:v>
                </c:pt>
                <c:pt idx="54">
                  <c:v>6.3058425177078062E-2</c:v>
                </c:pt>
              </c:numCache>
            </c:numRef>
          </c:yVal>
          <c:smooth val="0"/>
        </c:ser>
        <c:ser>
          <c:idx val="1"/>
          <c:order val="1"/>
          <c:tx>
            <c:v>Energie sur Dépense totale</c:v>
          </c:tx>
          <c:spPr>
            <a:ln w="25400">
              <a:solidFill>
                <a:srgbClr val="FF000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data_menages!$G$2:$G$56</c:f>
              <c:numCache>
                <c:formatCode>0.0000</c:formatCode>
                <c:ptCount val="55"/>
                <c:pt idx="0">
                  <c:v>6.9323495809605701E-2</c:v>
                </c:pt>
                <c:pt idx="1">
                  <c:v>6.8035546420102982E-2</c:v>
                </c:pt>
                <c:pt idx="2">
                  <c:v>6.7128479267339114E-2</c:v>
                </c:pt>
                <c:pt idx="3">
                  <c:v>6.7082516113903604E-2</c:v>
                </c:pt>
                <c:pt idx="4">
                  <c:v>6.4857704574178138E-2</c:v>
                </c:pt>
                <c:pt idx="5">
                  <c:v>6.5857662462167649E-2</c:v>
                </c:pt>
                <c:pt idx="6">
                  <c:v>6.5590913976829479E-2</c:v>
                </c:pt>
                <c:pt idx="7">
                  <c:v>6.8075620269629822E-2</c:v>
                </c:pt>
                <c:pt idx="8">
                  <c:v>7.0042017016005778E-2</c:v>
                </c:pt>
                <c:pt idx="9">
                  <c:v>6.9856866401388357E-2</c:v>
                </c:pt>
                <c:pt idx="10">
                  <c:v>7.1372351491321664E-2</c:v>
                </c:pt>
                <c:pt idx="11">
                  <c:v>7.3055989469138313E-2</c:v>
                </c:pt>
                <c:pt idx="12">
                  <c:v>7.2532399060922223E-2</c:v>
                </c:pt>
                <c:pt idx="13">
                  <c:v>7.2456017166663153E-2</c:v>
                </c:pt>
                <c:pt idx="14">
                  <c:v>8.1718870728083218E-2</c:v>
                </c:pt>
                <c:pt idx="15">
                  <c:v>8.1401053284989269E-2</c:v>
                </c:pt>
                <c:pt idx="16">
                  <c:v>8.1431693548148484E-2</c:v>
                </c:pt>
                <c:pt idx="17">
                  <c:v>8.2927140664320484E-2</c:v>
                </c:pt>
                <c:pt idx="18">
                  <c:v>8.6411631718641871E-2</c:v>
                </c:pt>
                <c:pt idx="19">
                  <c:v>8.7713668745685688E-2</c:v>
                </c:pt>
                <c:pt idx="20">
                  <c:v>9.6619028305368518E-2</c:v>
                </c:pt>
                <c:pt idx="21">
                  <c:v>9.6662637573686788E-2</c:v>
                </c:pt>
                <c:pt idx="22">
                  <c:v>9.661030843104966E-2</c:v>
                </c:pt>
                <c:pt idx="23">
                  <c:v>9.7903902366717616E-2</c:v>
                </c:pt>
                <c:pt idx="24">
                  <c:v>0.10042341262424195</c:v>
                </c:pt>
                <c:pt idx="25">
                  <c:v>0.10336970598158768</c:v>
                </c:pt>
                <c:pt idx="26">
                  <c:v>8.8918360368342164E-2</c:v>
                </c:pt>
                <c:pt idx="27">
                  <c:v>8.1322958789773053E-2</c:v>
                </c:pt>
                <c:pt idx="28">
                  <c:v>7.5129560209144242E-2</c:v>
                </c:pt>
                <c:pt idx="29">
                  <c:v>7.3509874547916007E-2</c:v>
                </c:pt>
                <c:pt idx="30">
                  <c:v>7.3451355242781791E-2</c:v>
                </c:pt>
                <c:pt idx="31">
                  <c:v>7.6420791174775349E-2</c:v>
                </c:pt>
                <c:pt idx="32">
                  <c:v>7.356389797187457E-2</c:v>
                </c:pt>
                <c:pt idx="33">
                  <c:v>7.3886849506623553E-2</c:v>
                </c:pt>
                <c:pt idx="34">
                  <c:v>7.1683885670674144E-2</c:v>
                </c:pt>
                <c:pt idx="35">
                  <c:v>7.2050630267345595E-2</c:v>
                </c:pt>
                <c:pt idx="36">
                  <c:v>7.4785588298987349E-2</c:v>
                </c:pt>
                <c:pt idx="37">
                  <c:v>7.3600837868170219E-2</c:v>
                </c:pt>
                <c:pt idx="38">
                  <c:v>7.1059302979027933E-2</c:v>
                </c:pt>
                <c:pt idx="39">
                  <c:v>6.9945577638012818E-2</c:v>
                </c:pt>
                <c:pt idx="40">
                  <c:v>7.256068400243483E-2</c:v>
                </c:pt>
                <c:pt idx="41">
                  <c:v>7.1073787470949251E-2</c:v>
                </c:pt>
                <c:pt idx="42">
                  <c:v>6.6718037120412757E-2</c:v>
                </c:pt>
                <c:pt idx="43">
                  <c:v>6.8002986851357472E-2</c:v>
                </c:pt>
                <c:pt idx="44">
                  <c:v>6.8886010830026406E-2</c:v>
                </c:pt>
                <c:pt idx="45">
                  <c:v>7.1184710474963719E-2</c:v>
                </c:pt>
                <c:pt idx="46">
                  <c:v>7.1681460481603704E-2</c:v>
                </c:pt>
                <c:pt idx="47">
                  <c:v>6.8819900310298637E-2</c:v>
                </c:pt>
                <c:pt idx="48">
                  <c:v>7.4617446087567874E-2</c:v>
                </c:pt>
                <c:pt idx="49">
                  <c:v>6.700693744297101E-2</c:v>
                </c:pt>
                <c:pt idx="50">
                  <c:v>7.229911075794325E-2</c:v>
                </c:pt>
                <c:pt idx="51">
                  <c:v>7.3920157632121244E-2</c:v>
                </c:pt>
                <c:pt idx="52">
                  <c:v>7.9435908313877771E-2</c:v>
                </c:pt>
                <c:pt idx="53">
                  <c:v>8.0080916368850022E-2</c:v>
                </c:pt>
                <c:pt idx="54">
                  <c:v>7.43143540711865E-2</c:v>
                </c:pt>
              </c:numCache>
            </c:numRef>
          </c:yVal>
          <c:smooth val="0"/>
        </c:ser>
        <c:dLbls>
          <c:showLegendKey val="0"/>
          <c:showVal val="0"/>
          <c:showCatName val="0"/>
          <c:showSerName val="0"/>
          <c:showPercent val="0"/>
          <c:showBubbleSize val="0"/>
        </c:dLbls>
        <c:axId val="197678208"/>
        <c:axId val="197679744"/>
      </c:scatterChart>
      <c:valAx>
        <c:axId val="197678208"/>
        <c:scaling>
          <c:orientation val="minMax"/>
          <c:max val="2015"/>
          <c:min val="1960"/>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DejaVu Serif"/>
                <a:ea typeface="DejaVu Serif"/>
                <a:cs typeface="DejaVu Serif"/>
              </a:defRPr>
            </a:pPr>
            <a:endParaRPr lang="fr-FR"/>
          </a:p>
        </c:txPr>
        <c:crossAx val="197679744"/>
        <c:crosses val="autoZero"/>
        <c:crossBetween val="midCat"/>
        <c:majorUnit val="5"/>
      </c:valAx>
      <c:valAx>
        <c:axId val="197679744"/>
        <c:scaling>
          <c:orientation val="minMax"/>
          <c:max val="0.11"/>
        </c:scaling>
        <c:delete val="0"/>
        <c:axPos val="l"/>
        <c:majorGridlines>
          <c:spPr>
            <a:ln w="3175">
              <a:solidFill>
                <a:srgbClr val="80808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DejaVu Serif"/>
                <a:ea typeface="DejaVu Serif"/>
                <a:cs typeface="DejaVu Serif"/>
              </a:defRPr>
            </a:pPr>
            <a:endParaRPr lang="fr-FR"/>
          </a:p>
        </c:txPr>
        <c:crossAx val="197678208"/>
        <c:crosses val="autoZero"/>
        <c:crossBetween val="midCat"/>
        <c:majorUnit val="0.01"/>
      </c:valAx>
      <c:spPr>
        <a:noFill/>
        <a:ln w="12700">
          <a:solidFill>
            <a:srgbClr val="808080"/>
          </a:solidFill>
          <a:prstDash val="solid"/>
        </a:ln>
      </c:spPr>
    </c:plotArea>
    <c:legend>
      <c:legendPos val="r"/>
      <c:layout>
        <c:manualLayout>
          <c:xMode val="edge"/>
          <c:yMode val="edge"/>
          <c:x val="0.73541666666666672"/>
          <c:y val="0"/>
          <c:w val="0.25"/>
          <c:h val="7.0826306913996634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ejaVu Serif"/>
                <a:ea typeface="DejaVu Serif"/>
                <a:cs typeface="DejaVu Serif"/>
              </a:defRPr>
            </a:pPr>
            <a:r>
              <a:rPr lang="fr-FR"/>
              <a:t>Evolution des indices de prix réels du carburant et de l'énergie domestique</a:t>
            </a:r>
          </a:p>
        </c:rich>
      </c:tx>
      <c:layout>
        <c:manualLayout>
          <c:xMode val="edge"/>
          <c:yMode val="edge"/>
          <c:x val="4.670559930008749E-2"/>
          <c:y val="0"/>
        </c:manualLayout>
      </c:layout>
      <c:overlay val="0"/>
      <c:spPr>
        <a:noFill/>
        <a:ln w="25400">
          <a:noFill/>
        </a:ln>
      </c:spPr>
    </c:title>
    <c:autoTitleDeleted val="0"/>
    <c:plotArea>
      <c:layout>
        <c:manualLayout>
          <c:layoutTarget val="inner"/>
          <c:xMode val="edge"/>
          <c:yMode val="edge"/>
          <c:x val="5.6713928273561288E-2"/>
          <c:y val="8.7837837837837843E-2"/>
          <c:w val="0.94328607172643864"/>
          <c:h val="0.85810810810810811"/>
        </c:manualLayout>
      </c:layout>
      <c:lineChart>
        <c:grouping val="standard"/>
        <c:varyColors val="0"/>
        <c:ser>
          <c:idx val="0"/>
          <c:order val="0"/>
          <c:tx>
            <c:v>Energie domestique</c:v>
          </c:tx>
          <c:spPr>
            <a:ln w="25400">
              <a:solidFill>
                <a:srgbClr val="000080"/>
              </a:solidFill>
              <a:prstDash val="solid"/>
            </a:ln>
          </c:spPr>
          <c:marker>
            <c:symbol val="none"/>
          </c:marker>
          <c:cat>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data_menages!$K$2:$K$56</c:f>
              <c:numCache>
                <c:formatCode>0.000</c:formatCode>
                <c:ptCount val="55"/>
                <c:pt idx="0">
                  <c:v>1.052863436123348</c:v>
                </c:pt>
                <c:pt idx="1">
                  <c:v>1.0139916228500134</c:v>
                </c:pt>
                <c:pt idx="2">
                  <c:v>0.9622222222222222</c:v>
                </c:pt>
                <c:pt idx="3">
                  <c:v>0.91496820479373886</c:v>
                </c:pt>
                <c:pt idx="4">
                  <c:v>0.90197316495659041</c:v>
                </c:pt>
                <c:pt idx="5">
                  <c:v>0.87266435986159163</c:v>
                </c:pt>
                <c:pt idx="6">
                  <c:v>0.83847129954467425</c:v>
                </c:pt>
                <c:pt idx="7">
                  <c:v>0.82168186423505574</c:v>
                </c:pt>
                <c:pt idx="8">
                  <c:v>0.82423866611547469</c:v>
                </c:pt>
                <c:pt idx="9">
                  <c:v>0.80404014410705094</c:v>
                </c:pt>
                <c:pt idx="10">
                  <c:v>0.79171771624601806</c:v>
                </c:pt>
                <c:pt idx="11">
                  <c:v>0.81851916275294256</c:v>
                </c:pt>
                <c:pt idx="12">
                  <c:v>0.80561945448570493</c:v>
                </c:pt>
                <c:pt idx="13">
                  <c:v>0.77892372102522212</c:v>
                </c:pt>
                <c:pt idx="14">
                  <c:v>0.91675222068472983</c:v>
                </c:pt>
                <c:pt idx="15">
                  <c:v>0.91061363182090738</c:v>
                </c:pt>
                <c:pt idx="16">
                  <c:v>0.93229052723692851</c:v>
                </c:pt>
                <c:pt idx="17">
                  <c:v>0.92586293146573295</c:v>
                </c:pt>
                <c:pt idx="18">
                  <c:v>0.91649025924221517</c:v>
                </c:pt>
                <c:pt idx="19">
                  <c:v>0.95129708501576404</c:v>
                </c:pt>
                <c:pt idx="20">
                  <c:v>1.1091923095738956</c:v>
                </c:pt>
                <c:pt idx="21">
                  <c:v>1.1764857825516069</c:v>
                </c:pt>
                <c:pt idx="22">
                  <c:v>1.2276604347574949</c:v>
                </c:pt>
                <c:pt idx="23">
                  <c:v>1.2345125744714505</c:v>
                </c:pt>
                <c:pt idx="24">
                  <c:v>1.2351954397394136</c:v>
                </c:pt>
                <c:pt idx="25">
                  <c:v>1.2357641285177519</c:v>
                </c:pt>
                <c:pt idx="26">
                  <c:v>1.0805794071529904</c:v>
                </c:pt>
                <c:pt idx="27">
                  <c:v>0.98228292230293024</c:v>
                </c:pt>
                <c:pt idx="28">
                  <c:v>0.94296121645088882</c:v>
                </c:pt>
                <c:pt idx="29">
                  <c:v>0.92260520769596832</c:v>
                </c:pt>
                <c:pt idx="30">
                  <c:v>0.9252812033255351</c:v>
                </c:pt>
                <c:pt idx="31">
                  <c:v>0.93335391899541964</c:v>
                </c:pt>
                <c:pt idx="32">
                  <c:v>0.90753098188751191</c:v>
                </c:pt>
                <c:pt idx="33">
                  <c:v>0.89891375539106033</c:v>
                </c:pt>
                <c:pt idx="34">
                  <c:v>0.89045205211088252</c:v>
                </c:pt>
                <c:pt idx="35">
                  <c:v>0.88507922642013059</c:v>
                </c:pt>
                <c:pt idx="36">
                  <c:v>0.89460102029844335</c:v>
                </c:pt>
                <c:pt idx="37">
                  <c:v>0.89278812524452567</c:v>
                </c:pt>
                <c:pt idx="38">
                  <c:v>0.8703261075350246</c:v>
                </c:pt>
                <c:pt idx="39">
                  <c:v>0.84781160799238831</c:v>
                </c:pt>
                <c:pt idx="40">
                  <c:v>0.87155216521698697</c:v>
                </c:pt>
                <c:pt idx="41">
                  <c:v>0.86990849553887228</c:v>
                </c:pt>
                <c:pt idx="42">
                  <c:v>0.85871074828088478</c:v>
                </c:pt>
                <c:pt idx="43">
                  <c:v>0.86525303238992313</c:v>
                </c:pt>
                <c:pt idx="44">
                  <c:v>0.86303799120936509</c:v>
                </c:pt>
                <c:pt idx="45">
                  <c:v>0.9040327406394254</c:v>
                </c:pt>
                <c:pt idx="46">
                  <c:v>0.93966410296656733</c:v>
                </c:pt>
                <c:pt idx="47">
                  <c:v>0.9410215687279061</c:v>
                </c:pt>
                <c:pt idx="48">
                  <c:v>0.99929230707892269</c:v>
                </c:pt>
                <c:pt idx="49">
                  <c:v>0.96292623697257917</c:v>
                </c:pt>
                <c:pt idx="50">
                  <c:v>1</c:v>
                </c:pt>
                <c:pt idx="51">
                  <c:v>1.0801928950961039</c:v>
                </c:pt>
                <c:pt idx="52">
                  <c:v>1.1248038740920097</c:v>
                </c:pt>
                <c:pt idx="53">
                  <c:v>1.1613749495493073</c:v>
                </c:pt>
                <c:pt idx="54">
                  <c:v>1.1851887454459815</c:v>
                </c:pt>
              </c:numCache>
            </c:numRef>
          </c:val>
          <c:smooth val="0"/>
        </c:ser>
        <c:ser>
          <c:idx val="1"/>
          <c:order val="1"/>
          <c:tx>
            <c:v>Carburant</c:v>
          </c:tx>
          <c:spPr>
            <a:ln w="25400">
              <a:solidFill>
                <a:srgbClr val="FF0000"/>
              </a:solidFill>
              <a:prstDash val="solid"/>
            </a:ln>
          </c:spPr>
          <c:marker>
            <c:symbol val="none"/>
          </c:marker>
          <c:cat>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data_menages!$L$2:$L$56</c:f>
              <c:numCache>
                <c:formatCode>0.000</c:formatCode>
                <c:ptCount val="55"/>
                <c:pt idx="0">
                  <c:v>0.88417158833979059</c:v>
                </c:pt>
                <c:pt idx="1">
                  <c:v>0.8590562044808846</c:v>
                </c:pt>
                <c:pt idx="2">
                  <c:v>0.82360875127341338</c:v>
                </c:pt>
                <c:pt idx="3">
                  <c:v>0.78577544515590181</c:v>
                </c:pt>
                <c:pt idx="4">
                  <c:v>0.75866248856020002</c:v>
                </c:pt>
                <c:pt idx="5">
                  <c:v>0.73377285172819529</c:v>
                </c:pt>
                <c:pt idx="6">
                  <c:v>0.712454365021711</c:v>
                </c:pt>
                <c:pt idx="7">
                  <c:v>0.70004064959360235</c:v>
                </c:pt>
                <c:pt idx="8">
                  <c:v>0.6703934896089917</c:v>
                </c:pt>
                <c:pt idx="9">
                  <c:v>0.6723502551557915</c:v>
                </c:pt>
                <c:pt idx="10">
                  <c:v>0.64644423133522144</c:v>
                </c:pt>
                <c:pt idx="11">
                  <c:v>0.63786041009630556</c:v>
                </c:pt>
                <c:pt idx="12">
                  <c:v>0.60269876945755574</c:v>
                </c:pt>
                <c:pt idx="13">
                  <c:v>0.5832040005088972</c:v>
                </c:pt>
                <c:pt idx="14">
                  <c:v>0.71884012354173865</c:v>
                </c:pt>
                <c:pt idx="15">
                  <c:v>0.67013413326538807</c:v>
                </c:pt>
                <c:pt idx="16">
                  <c:v>0.6618267792899265</c:v>
                </c:pt>
                <c:pt idx="17">
                  <c:v>0.70904793426294799</c:v>
                </c:pt>
                <c:pt idx="18">
                  <c:v>0.71857776702813791</c:v>
                </c:pt>
                <c:pt idx="19">
                  <c:v>0.74456613592322407</c:v>
                </c:pt>
                <c:pt idx="20">
                  <c:v>0.76579985636415193</c:v>
                </c:pt>
                <c:pt idx="21">
                  <c:v>0.76826584787371222</c:v>
                </c:pt>
                <c:pt idx="22">
                  <c:v>0.78101285380724539</c:v>
                </c:pt>
                <c:pt idx="23">
                  <c:v>0.76350101811024096</c:v>
                </c:pt>
                <c:pt idx="24">
                  <c:v>0.76620616942833164</c:v>
                </c:pt>
                <c:pt idx="25">
                  <c:v>0.80100229738642115</c:v>
                </c:pt>
                <c:pt idx="26">
                  <c:v>0.67773596565832528</c:v>
                </c:pt>
                <c:pt idx="27">
                  <c:v>0.66328960223575428</c:v>
                </c:pt>
                <c:pt idx="28">
                  <c:v>0.6501463274135183</c:v>
                </c:pt>
                <c:pt idx="29">
                  <c:v>0.66681791704202009</c:v>
                </c:pt>
                <c:pt idx="30">
                  <c:v>0.67788517801323012</c:v>
                </c:pt>
                <c:pt idx="31">
                  <c:v>0.66582125182160767</c:v>
                </c:pt>
                <c:pt idx="32">
                  <c:v>0.63669316146384214</c:v>
                </c:pt>
                <c:pt idx="33">
                  <c:v>0.6511804565900905</c:v>
                </c:pt>
                <c:pt idx="34">
                  <c:v>0.67175462451254275</c:v>
                </c:pt>
                <c:pt idx="35">
                  <c:v>0.69334426771031543</c:v>
                </c:pt>
                <c:pt idx="36">
                  <c:v>0.73211510682668868</c:v>
                </c:pt>
                <c:pt idx="37">
                  <c:v>0.75467734151379773</c:v>
                </c:pt>
                <c:pt idx="38">
                  <c:v>0.73148284855711299</c:v>
                </c:pt>
                <c:pt idx="39">
                  <c:v>0.7665387117024941</c:v>
                </c:pt>
                <c:pt idx="40">
                  <c:v>0.88643650740258695</c:v>
                </c:pt>
                <c:pt idx="41">
                  <c:v>0.82710675738411032</c:v>
                </c:pt>
                <c:pt idx="42">
                  <c:v>0.79593834236021688</c:v>
                </c:pt>
                <c:pt idx="43">
                  <c:v>0.79970469859279081</c:v>
                </c:pt>
                <c:pt idx="44">
                  <c:v>0.84388584263156441</c:v>
                </c:pt>
                <c:pt idx="45">
                  <c:v>0.9376338001482396</c:v>
                </c:pt>
                <c:pt idx="46">
                  <c:v>0.97265553681645966</c:v>
                </c:pt>
                <c:pt idx="47">
                  <c:v>0.97057209799790711</c:v>
                </c:pt>
                <c:pt idx="48">
                  <c:v>1.0662841935503622</c:v>
                </c:pt>
                <c:pt idx="49">
                  <c:v>0.89514996862766016</c:v>
                </c:pt>
                <c:pt idx="50">
                  <c:v>1</c:v>
                </c:pt>
                <c:pt idx="51">
                  <c:v>1.1238434326087796</c:v>
                </c:pt>
                <c:pt idx="52">
                  <c:v>1.1644253899416592</c:v>
                </c:pt>
                <c:pt idx="53">
                  <c:v>1.1261021473554096</c:v>
                </c:pt>
                <c:pt idx="54">
                  <c:v>1.0811224496972744</c:v>
                </c:pt>
              </c:numCache>
            </c:numRef>
          </c:val>
          <c:smooth val="0"/>
        </c:ser>
        <c:dLbls>
          <c:showLegendKey val="0"/>
          <c:showVal val="0"/>
          <c:showCatName val="0"/>
          <c:showSerName val="0"/>
          <c:showPercent val="0"/>
          <c:showBubbleSize val="0"/>
        </c:dLbls>
        <c:marker val="1"/>
        <c:smooth val="0"/>
        <c:axId val="197705728"/>
        <c:axId val="197707264"/>
      </c:lineChart>
      <c:catAx>
        <c:axId val="197705728"/>
        <c:scaling>
          <c:orientation val="minMax"/>
        </c:scaling>
        <c:delete val="0"/>
        <c:axPos val="b"/>
        <c:majorGridlines>
          <c:spPr>
            <a:ln w="3175">
              <a:solidFill>
                <a:srgbClr val="808080"/>
              </a:solidFill>
              <a:prstDash val="sysDash"/>
            </a:ln>
          </c:spPr>
        </c:majorGridlines>
        <c:numFmt formatCode="General" sourceLinked="1"/>
        <c:majorTickMark val="in"/>
        <c:minorTickMark val="none"/>
        <c:tickLblPos val="low"/>
        <c:spPr>
          <a:ln w="3175">
            <a:solidFill>
              <a:srgbClr val="000000"/>
            </a:solidFill>
            <a:prstDash val="solid"/>
          </a:ln>
        </c:spPr>
        <c:txPr>
          <a:bodyPr rot="0" vert="horz"/>
          <a:lstStyle/>
          <a:p>
            <a:pPr>
              <a:defRPr sz="1025" b="0" i="0" u="none" strike="noStrike" baseline="0">
                <a:solidFill>
                  <a:srgbClr val="000000"/>
                </a:solidFill>
                <a:latin typeface="DejaVu Serif"/>
                <a:ea typeface="DejaVu Serif"/>
                <a:cs typeface="DejaVu Serif"/>
              </a:defRPr>
            </a:pPr>
            <a:endParaRPr lang="fr-FR"/>
          </a:p>
        </c:txPr>
        <c:crossAx val="197707264"/>
        <c:crosses val="autoZero"/>
        <c:auto val="1"/>
        <c:lblAlgn val="ctr"/>
        <c:lblOffset val="100"/>
        <c:tickLblSkip val="5"/>
        <c:tickMarkSkip val="5"/>
        <c:noMultiLvlLbl val="0"/>
      </c:catAx>
      <c:valAx>
        <c:axId val="197707264"/>
        <c:scaling>
          <c:orientation val="minMax"/>
        </c:scaling>
        <c:delete val="0"/>
        <c:axPos val="l"/>
        <c:majorGridlines>
          <c:spPr>
            <a:ln w="3175">
              <a:solidFill>
                <a:srgbClr val="80808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DejaVu Serif"/>
                <a:ea typeface="DejaVu Serif"/>
                <a:cs typeface="DejaVu Serif"/>
              </a:defRPr>
            </a:pPr>
            <a:endParaRPr lang="fr-FR"/>
          </a:p>
        </c:txPr>
        <c:crossAx val="197705728"/>
        <c:crosses val="autoZero"/>
        <c:crossBetween val="between"/>
      </c:valAx>
      <c:spPr>
        <a:noFill/>
        <a:ln w="12700">
          <a:solidFill>
            <a:srgbClr val="808080"/>
          </a:solidFill>
          <a:prstDash val="solid"/>
        </a:ln>
      </c:spPr>
    </c:plotArea>
    <c:legend>
      <c:legendPos val="r"/>
      <c:layout>
        <c:manualLayout>
          <c:xMode val="edge"/>
          <c:yMode val="edge"/>
          <c:x val="0.77812499999999996"/>
          <c:y val="0"/>
          <c:w val="0.21666666666666667"/>
          <c:h val="7.0826306913996634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Nombre d'heures de smic net pour obtenir le parcours moyen</a:t>
            </a:r>
          </a:p>
          <a:p>
            <a:pPr>
              <a:defRPr/>
            </a:pPr>
            <a:r>
              <a:rPr lang="en-US" sz="1000"/>
              <a:t>source:</a:t>
            </a:r>
            <a:r>
              <a:rPr lang="en-US" sz="1000" baseline="0"/>
              <a:t> Cired, base CARBECO</a:t>
            </a:r>
            <a:endParaRPr lang="en-US" sz="1000"/>
          </a:p>
        </c:rich>
      </c:tx>
      <c:layout>
        <c:manualLayout>
          <c:xMode val="edge"/>
          <c:yMode val="edge"/>
          <c:x val="0.12651600207672697"/>
          <c:y val="0"/>
        </c:manualLayout>
      </c:layout>
      <c:overlay val="0"/>
    </c:title>
    <c:autoTitleDeleted val="0"/>
    <c:plotArea>
      <c:layout>
        <c:manualLayout>
          <c:layoutTarget val="inner"/>
          <c:xMode val="edge"/>
          <c:yMode val="edge"/>
          <c:x val="4.235248737992308E-2"/>
          <c:y val="8.8174849827118651E-2"/>
          <c:w val="0.93558680882316225"/>
          <c:h val="0.85932862141253674"/>
        </c:manualLayout>
      </c:layout>
      <c:scatterChart>
        <c:scatterStyle val="lineMarker"/>
        <c:varyColors val="0"/>
        <c:ser>
          <c:idx val="0"/>
          <c:order val="0"/>
          <c:tx>
            <c:strRef>
              <c:f>data2018!$FE$1</c:f>
              <c:strCache>
                <c:ptCount val="1"/>
                <c:pt idx="0">
                  <c:v>Nb heure de smic net pour km moyen</c:v>
                </c:pt>
              </c:strCache>
            </c:strRef>
          </c:tx>
          <c:xVal>
            <c:numRef>
              <c:f>data2018!$A$2:$A$59</c:f>
              <c:numCache>
                <c:formatCode>General</c:formatCode>
                <c:ptCount val="58"/>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numCache>
            </c:numRef>
          </c:xVal>
          <c:yVal>
            <c:numRef>
              <c:f>data2018!$FE$2:$FE$59</c:f>
              <c:numCache>
                <c:formatCode>0</c:formatCode>
                <c:ptCount val="58"/>
                <c:pt idx="0">
                  <c:v>538.7369927000052</c:v>
                </c:pt>
                <c:pt idx="1">
                  <c:v>554.53299299662058</c:v>
                </c:pt>
                <c:pt idx="2">
                  <c:v>536.13837186223645</c:v>
                </c:pt>
                <c:pt idx="3">
                  <c:v>496.52585521681158</c:v>
                </c:pt>
                <c:pt idx="4">
                  <c:v>492.39234105424379</c:v>
                </c:pt>
                <c:pt idx="5">
                  <c:v>472.00376553907489</c:v>
                </c:pt>
                <c:pt idx="6">
                  <c:v>465.41147228752425</c:v>
                </c:pt>
                <c:pt idx="7">
                  <c:v>456.34369308735637</c:v>
                </c:pt>
                <c:pt idx="8">
                  <c:v>387.0706275780592</c:v>
                </c:pt>
                <c:pt idx="9">
                  <c:v>356.75261738657883</c:v>
                </c:pt>
                <c:pt idx="10">
                  <c:v>354.80150231595564</c:v>
                </c:pt>
                <c:pt idx="11">
                  <c:v>362.87400807256404</c:v>
                </c:pt>
                <c:pt idx="12">
                  <c:v>367.50957400711815</c:v>
                </c:pt>
                <c:pt idx="13">
                  <c:v>371.44762922735509</c:v>
                </c:pt>
                <c:pt idx="14">
                  <c:v>426.22420859929281</c:v>
                </c:pt>
                <c:pt idx="15">
                  <c:v>396.87027387771036</c:v>
                </c:pt>
                <c:pt idx="16">
                  <c:v>407.41928470131245</c:v>
                </c:pt>
                <c:pt idx="17">
                  <c:v>428.75116962415029</c:v>
                </c:pt>
                <c:pt idx="18">
                  <c:v>429.86840255250627</c:v>
                </c:pt>
                <c:pt idx="19">
                  <c:v>434.59164716827399</c:v>
                </c:pt>
                <c:pt idx="20">
                  <c:v>440.64949638525775</c:v>
                </c:pt>
                <c:pt idx="21">
                  <c:v>422.69319902682781</c:v>
                </c:pt>
                <c:pt idx="22">
                  <c:v>408.12608865858311</c:v>
                </c:pt>
                <c:pt idx="23">
                  <c:v>396.06323670574318</c:v>
                </c:pt>
                <c:pt idx="24">
                  <c:v>393.46257331290269</c:v>
                </c:pt>
                <c:pt idx="25">
                  <c:v>394.12210902025419</c:v>
                </c:pt>
                <c:pt idx="26">
                  <c:v>372.91816819695975</c:v>
                </c:pt>
                <c:pt idx="27">
                  <c:v>321.48802297247278</c:v>
                </c:pt>
                <c:pt idx="28">
                  <c:v>317.09279718918521</c:v>
                </c:pt>
                <c:pt idx="29">
                  <c:v>336.60076017159889</c:v>
                </c:pt>
                <c:pt idx="30">
                  <c:v>296.01241260055161</c:v>
                </c:pt>
                <c:pt idx="31">
                  <c:v>286.94219380747461</c:v>
                </c:pt>
                <c:pt idx="32">
                  <c:v>273.46838329631191</c:v>
                </c:pt>
                <c:pt idx="33">
                  <c:v>272.06257681351536</c:v>
                </c:pt>
                <c:pt idx="34">
                  <c:v>266.19720882960769</c:v>
                </c:pt>
                <c:pt idx="35">
                  <c:v>268.00730870966521</c:v>
                </c:pt>
                <c:pt idx="36">
                  <c:v>272.34009521602383</c:v>
                </c:pt>
                <c:pt idx="37">
                  <c:v>266.93272694954771</c:v>
                </c:pt>
                <c:pt idx="38">
                  <c:v>238.52898389965463</c:v>
                </c:pt>
                <c:pt idx="39">
                  <c:v>246.37125986120608</c:v>
                </c:pt>
                <c:pt idx="40">
                  <c:v>270.62104318025223</c:v>
                </c:pt>
                <c:pt idx="41">
                  <c:v>246.65576611037579</c:v>
                </c:pt>
                <c:pt idx="42">
                  <c:v>227.8675622619638</c:v>
                </c:pt>
                <c:pt idx="43">
                  <c:v>216.60874997377647</c:v>
                </c:pt>
                <c:pt idx="44">
                  <c:v>213.31213472813883</c:v>
                </c:pt>
                <c:pt idx="45">
                  <c:v>221.1039192760519</c:v>
                </c:pt>
                <c:pt idx="46">
                  <c:v>248.25739005099095</c:v>
                </c:pt>
                <c:pt idx="47">
                  <c:v>238.5183513067704</c:v>
                </c:pt>
                <c:pt idx="48">
                  <c:v>253.30258713442416</c:v>
                </c:pt>
                <c:pt idx="49">
                  <c:v>206.34450997343757</c:v>
                </c:pt>
                <c:pt idx="50">
                  <c:v>230.51596228115213</c:v>
                </c:pt>
                <c:pt idx="51">
                  <c:v>246.69687031669892</c:v>
                </c:pt>
                <c:pt idx="52">
                  <c:v>248.79506528570155</c:v>
                </c:pt>
                <c:pt idx="53">
                  <c:v>236.07355235042724</c:v>
                </c:pt>
                <c:pt idx="54">
                  <c:v>223.43814023470668</c:v>
                </c:pt>
                <c:pt idx="55">
                  <c:v>204.18763912606161</c:v>
                </c:pt>
                <c:pt idx="56">
                  <c:v>195.1709482495834</c:v>
                </c:pt>
                <c:pt idx="57">
                  <c:v>231.25062511336861</c:v>
                </c:pt>
              </c:numCache>
            </c:numRef>
          </c:yVal>
          <c:smooth val="0"/>
        </c:ser>
        <c:dLbls>
          <c:showLegendKey val="0"/>
          <c:showVal val="0"/>
          <c:showCatName val="0"/>
          <c:showSerName val="0"/>
          <c:showPercent val="0"/>
          <c:showBubbleSize val="0"/>
        </c:dLbls>
        <c:axId val="213350656"/>
        <c:axId val="214132224"/>
      </c:scatterChart>
      <c:valAx>
        <c:axId val="213350656"/>
        <c:scaling>
          <c:orientation val="minMax"/>
          <c:max val="2020"/>
          <c:min val="1960"/>
        </c:scaling>
        <c:delete val="0"/>
        <c:axPos val="b"/>
        <c:majorGridlines/>
        <c:numFmt formatCode="General" sourceLinked="1"/>
        <c:majorTickMark val="out"/>
        <c:minorTickMark val="none"/>
        <c:tickLblPos val="nextTo"/>
        <c:crossAx val="214132224"/>
        <c:crosses val="autoZero"/>
        <c:crossBetween val="midCat"/>
        <c:majorUnit val="5"/>
      </c:valAx>
      <c:valAx>
        <c:axId val="214132224"/>
        <c:scaling>
          <c:orientation val="minMax"/>
        </c:scaling>
        <c:delete val="0"/>
        <c:axPos val="l"/>
        <c:majorGridlines/>
        <c:title>
          <c:tx>
            <c:rich>
              <a:bodyPr rot="0" vert="horz"/>
              <a:lstStyle/>
              <a:p>
                <a:pPr>
                  <a:defRPr/>
                </a:pPr>
                <a:r>
                  <a:rPr lang="fr-FR"/>
                  <a:t>heures</a:t>
                </a:r>
                <a:r>
                  <a:rPr lang="fr-FR" baseline="0"/>
                  <a:t> </a:t>
                </a:r>
              </a:p>
              <a:p>
                <a:pPr>
                  <a:defRPr/>
                </a:pPr>
                <a:r>
                  <a:rPr lang="fr-FR" baseline="0"/>
                  <a:t>de smic net</a:t>
                </a:r>
                <a:endParaRPr lang="fr-FR"/>
              </a:p>
            </c:rich>
          </c:tx>
          <c:layout>
            <c:manualLayout>
              <c:xMode val="edge"/>
              <c:yMode val="edge"/>
              <c:x val="5.4673367526430483E-3"/>
              <c:y val="1.3649005076301271E-2"/>
            </c:manualLayout>
          </c:layout>
          <c:overlay val="0"/>
        </c:title>
        <c:numFmt formatCode="0" sourceLinked="1"/>
        <c:majorTickMark val="out"/>
        <c:minorTickMark val="none"/>
        <c:tickLblPos val="nextTo"/>
        <c:crossAx val="213350656"/>
        <c:crosses val="autoZero"/>
        <c:crossBetween val="midCat"/>
      </c:valAx>
    </c:plotArea>
    <c:legend>
      <c:legendPos val="r"/>
      <c:layout>
        <c:manualLayout>
          <c:xMode val="edge"/>
          <c:yMode val="edge"/>
          <c:x val="0.81201132987154778"/>
          <c:y val="2.1057946395644591E-2"/>
          <c:w val="0.16065198636523703"/>
          <c:h val="5.8848629200653743E-2"/>
        </c:manualLayout>
      </c:layout>
      <c:overlay val="0"/>
    </c:legend>
    <c:plotVisOnly val="1"/>
    <c:dispBlanksAs val="gap"/>
    <c:showDLblsOverMax val="0"/>
  </c:char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ejaVu Serif"/>
                <a:ea typeface="DejaVu Serif"/>
                <a:cs typeface="DejaVu Serif"/>
              </a:defRPr>
            </a:pPr>
            <a:r>
              <a:rPr lang="fr-FR"/>
              <a:t>Volatilité des prix réels du carburant 
et de l'énergie domestique</a:t>
            </a:r>
          </a:p>
        </c:rich>
      </c:tx>
      <c:layout>
        <c:manualLayout>
          <c:xMode val="edge"/>
          <c:yMode val="edge"/>
          <c:x val="0.17681397637795276"/>
          <c:y val="0"/>
        </c:manualLayout>
      </c:layout>
      <c:overlay val="0"/>
      <c:spPr>
        <a:noFill/>
        <a:ln w="25400">
          <a:noFill/>
        </a:ln>
      </c:spPr>
    </c:title>
    <c:autoTitleDeleted val="0"/>
    <c:plotArea>
      <c:layout>
        <c:manualLayout>
          <c:layoutTarget val="inner"/>
          <c:xMode val="edge"/>
          <c:yMode val="edge"/>
          <c:x val="5.6713928273561288E-2"/>
          <c:y val="9.5945945945945951E-2"/>
          <c:w val="0.92243536280233518"/>
          <c:h val="0.85"/>
        </c:manualLayout>
      </c:layout>
      <c:scatterChart>
        <c:scatterStyle val="lineMarker"/>
        <c:varyColors val="0"/>
        <c:ser>
          <c:idx val="0"/>
          <c:order val="0"/>
          <c:tx>
            <c:v>Volatilité du prix réel de l'énergie domestique</c:v>
          </c:tx>
          <c:spPr>
            <a:ln w="25400">
              <a:solidFill>
                <a:srgbClr val="00008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data_menages!$M$2:$M$56</c:f>
              <c:numCache>
                <c:formatCode>0.000</c:formatCode>
                <c:ptCount val="55"/>
                <c:pt idx="1">
                  <c:v>3.6920090431158736E-2</c:v>
                </c:pt>
                <c:pt idx="2">
                  <c:v>5.1055057518407887E-2</c:v>
                </c:pt>
                <c:pt idx="3">
                  <c:v>4.9109255988031175E-2</c:v>
                </c:pt>
                <c:pt idx="4">
                  <c:v>1.4202722858635219E-2</c:v>
                </c:pt>
                <c:pt idx="5">
                  <c:v>3.2494098753380718E-2</c:v>
                </c:pt>
                <c:pt idx="6">
                  <c:v>3.918237284531767E-2</c:v>
                </c:pt>
                <c:pt idx="7">
                  <c:v>2.0023864047267859E-2</c:v>
                </c:pt>
                <c:pt idx="8">
                  <c:v>3.1116688729635467E-3</c:v>
                </c:pt>
                <c:pt idx="9">
                  <c:v>2.4505671523051276E-2</c:v>
                </c:pt>
                <c:pt idx="10">
                  <c:v>1.5325637595766883E-2</c:v>
                </c:pt>
                <c:pt idx="11">
                  <c:v>3.3852275826294909E-2</c:v>
                </c:pt>
                <c:pt idx="12">
                  <c:v>1.5759812175748955E-2</c:v>
                </c:pt>
                <c:pt idx="13">
                  <c:v>3.3136902680093505E-2</c:v>
                </c:pt>
                <c:pt idx="14">
                  <c:v>0.17694736459957516</c:v>
                </c:pt>
                <c:pt idx="15">
                  <c:v>6.6960174464998357E-3</c:v>
                </c:pt>
                <c:pt idx="16">
                  <c:v>2.3804712183667753E-2</c:v>
                </c:pt>
                <c:pt idx="17">
                  <c:v>6.8944128288478401E-3</c:v>
                </c:pt>
                <c:pt idx="18">
                  <c:v>1.0123174721640371E-2</c:v>
                </c:pt>
                <c:pt idx="19">
                  <c:v>3.7978391393191924E-2</c:v>
                </c:pt>
                <c:pt idx="20">
                  <c:v>0.1659788798317563</c:v>
                </c:pt>
                <c:pt idx="21">
                  <c:v>6.0668896093917679E-2</c:v>
                </c:pt>
                <c:pt idx="22">
                  <c:v>4.3497892592376575E-2</c:v>
                </c:pt>
                <c:pt idx="23">
                  <c:v>5.5814617136449307E-3</c:v>
                </c:pt>
                <c:pt idx="24">
                  <c:v>5.5314565609476674E-4</c:v>
                </c:pt>
                <c:pt idx="25">
                  <c:v>4.6040388431012325E-4</c:v>
                </c:pt>
                <c:pt idx="26">
                  <c:v>0.12557794629538177</c:v>
                </c:pt>
                <c:pt idx="27">
                  <c:v>9.0966461325635017E-2</c:v>
                </c:pt>
                <c:pt idx="28">
                  <c:v>4.0030937074476469E-2</c:v>
                </c:pt>
                <c:pt idx="29">
                  <c:v>2.1587323423052696E-2</c:v>
                </c:pt>
                <c:pt idx="30">
                  <c:v>2.9004774818577328E-3</c:v>
                </c:pt>
                <c:pt idx="31">
                  <c:v>8.7246078714995345E-3</c:v>
                </c:pt>
                <c:pt idx="32">
                  <c:v>2.7666822394340262E-2</c:v>
                </c:pt>
                <c:pt idx="33">
                  <c:v>9.4952422214051868E-3</c:v>
                </c:pt>
                <c:pt idx="34">
                  <c:v>9.413253751464401E-3</c:v>
                </c:pt>
                <c:pt idx="35">
                  <c:v>6.0338180792725016E-3</c:v>
                </c:pt>
                <c:pt idx="36">
                  <c:v>1.0758126045761429E-2</c:v>
                </c:pt>
                <c:pt idx="37">
                  <c:v>2.026484447014032E-3</c:v>
                </c:pt>
                <c:pt idx="38">
                  <c:v>2.515940464973021E-2</c:v>
                </c:pt>
                <c:pt idx="39">
                  <c:v>2.5869038453187221E-2</c:v>
                </c:pt>
                <c:pt idx="40">
                  <c:v>2.8002161094274447E-2</c:v>
                </c:pt>
                <c:pt idx="41">
                  <c:v>1.8859108424169602E-3</c:v>
                </c:pt>
                <c:pt idx="42">
                  <c:v>1.2872327739541056E-2</c:v>
                </c:pt>
                <c:pt idx="43">
                  <c:v>7.6187285673736671E-3</c:v>
                </c:pt>
                <c:pt idx="44">
                  <c:v>2.5599923925604395E-3</c:v>
                </c:pt>
                <c:pt idx="45">
                  <c:v>4.7500515443839042E-2</c:v>
                </c:pt>
                <c:pt idx="46">
                  <c:v>3.9413796343194196E-2</c:v>
                </c:pt>
                <c:pt idx="47">
                  <c:v>1.4446287317491091E-3</c:v>
                </c:pt>
                <c:pt idx="48">
                  <c:v>6.1922850960566489E-2</c:v>
                </c:pt>
                <c:pt idx="49">
                  <c:v>3.639182434281607E-2</c:v>
                </c:pt>
                <c:pt idx="50">
                  <c:v>3.8501145367042744E-2</c:v>
                </c:pt>
                <c:pt idx="51">
                  <c:v>8.0192895096103944E-2</c:v>
                </c:pt>
                <c:pt idx="52">
                  <c:v>4.1299085745177599E-2</c:v>
                </c:pt>
                <c:pt idx="53">
                  <c:v>3.2513290805314288E-2</c:v>
                </c:pt>
                <c:pt idx="54">
                  <c:v>2.0504829991309537E-2</c:v>
                </c:pt>
              </c:numCache>
            </c:numRef>
          </c:yVal>
          <c:smooth val="0"/>
        </c:ser>
        <c:ser>
          <c:idx val="1"/>
          <c:order val="1"/>
          <c:tx>
            <c:v>Volatilité du prix réel du carburant</c:v>
          </c:tx>
          <c:spPr>
            <a:ln w="25400">
              <a:solidFill>
                <a:srgbClr val="FF000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data_menages!$N$2:$N$56</c:f>
              <c:numCache>
                <c:formatCode>0.000</c:formatCode>
                <c:ptCount val="55"/>
                <c:pt idx="1">
                  <c:v>2.8405554069052541E-2</c:v>
                </c:pt>
                <c:pt idx="2">
                  <c:v>4.126325265166042E-2</c:v>
                </c:pt>
                <c:pt idx="3">
                  <c:v>4.5936017628535386E-2</c:v>
                </c:pt>
                <c:pt idx="4">
                  <c:v>3.4504713481244509E-2</c:v>
                </c:pt>
                <c:pt idx="5">
                  <c:v>3.2807259100473773E-2</c:v>
                </c:pt>
                <c:pt idx="6">
                  <c:v>2.9053250820433862E-2</c:v>
                </c:pt>
                <c:pt idx="7">
                  <c:v>1.7423874478936452E-2</c:v>
                </c:pt>
                <c:pt idx="8">
                  <c:v>4.2350626355515009E-2</c:v>
                </c:pt>
                <c:pt idx="9">
                  <c:v>2.9188313686356882E-3</c:v>
                </c:pt>
                <c:pt idx="10">
                  <c:v>3.8530548061690428E-2</c:v>
                </c:pt>
                <c:pt idx="11">
                  <c:v>1.3278517809937163E-2</c:v>
                </c:pt>
                <c:pt idx="12">
                  <c:v>5.5124350221768759E-2</c:v>
                </c:pt>
                <c:pt idx="13">
                  <c:v>3.2345791855862505E-2</c:v>
                </c:pt>
                <c:pt idx="14">
                  <c:v>0.23257063208497697</c:v>
                </c:pt>
                <c:pt idx="15">
                  <c:v>6.7756360115758807E-2</c:v>
                </c:pt>
                <c:pt idx="16">
                  <c:v>1.2396554007750638E-2</c:v>
                </c:pt>
                <c:pt idx="17">
                  <c:v>7.1349719368692055E-2</c:v>
                </c:pt>
                <c:pt idx="18">
                  <c:v>1.3440322303591712E-2</c:v>
                </c:pt>
                <c:pt idx="19">
                  <c:v>3.6166397135507955E-2</c:v>
                </c:pt>
                <c:pt idx="20">
                  <c:v>2.8518246286609816E-2</c:v>
                </c:pt>
                <c:pt idx="21">
                  <c:v>3.2201514391347885E-3</c:v>
                </c:pt>
                <c:pt idx="22">
                  <c:v>1.6591920581674025E-2</c:v>
                </c:pt>
                <c:pt idx="23">
                  <c:v>2.2421955812428118E-2</c:v>
                </c:pt>
                <c:pt idx="24">
                  <c:v>3.543088029910324E-3</c:v>
                </c:pt>
                <c:pt idx="25">
                  <c:v>4.541353143116944E-2</c:v>
                </c:pt>
                <c:pt idx="26">
                  <c:v>0.15389011009119424</c:v>
                </c:pt>
                <c:pt idx="27">
                  <c:v>2.1315621650001115E-2</c:v>
                </c:pt>
                <c:pt idx="28">
                  <c:v>1.9815288492287308E-2</c:v>
                </c:pt>
                <c:pt idx="29">
                  <c:v>2.5642826738445867E-2</c:v>
                </c:pt>
                <c:pt idx="30">
                  <c:v>1.6597125974514793E-2</c:v>
                </c:pt>
                <c:pt idx="31">
                  <c:v>1.7796415356033934E-2</c:v>
                </c:pt>
                <c:pt idx="32">
                  <c:v>4.3747612858668239E-2</c:v>
                </c:pt>
                <c:pt idx="33">
                  <c:v>2.2753966907607559E-2</c:v>
                </c:pt>
                <c:pt idx="34">
                  <c:v>3.159518642526371E-2</c:v>
                </c:pt>
                <c:pt idx="35">
                  <c:v>3.2139180602499318E-2</c:v>
                </c:pt>
                <c:pt idx="36">
                  <c:v>5.5918597617326871E-2</c:v>
                </c:pt>
                <c:pt idx="37">
                  <c:v>3.0817878878232285E-2</c:v>
                </c:pt>
                <c:pt idx="38">
                  <c:v>3.073431741061583E-2</c:v>
                </c:pt>
                <c:pt idx="39">
                  <c:v>4.7924381568932972E-2</c:v>
                </c:pt>
                <c:pt idx="40">
                  <c:v>0.15641453441248654</c:v>
                </c:pt>
                <c:pt idx="41">
                  <c:v>6.6930625626332896E-2</c:v>
                </c:pt>
                <c:pt idx="42">
                  <c:v>3.768366628084352E-2</c:v>
                </c:pt>
                <c:pt idx="43">
                  <c:v>4.7319698425452028E-3</c:v>
                </c:pt>
                <c:pt idx="44">
                  <c:v>5.5246823129234457E-2</c:v>
                </c:pt>
                <c:pt idx="45">
                  <c:v>0.11109080491779855</c:v>
                </c:pt>
                <c:pt idx="46">
                  <c:v>3.7351188345261299E-2</c:v>
                </c:pt>
                <c:pt idx="47">
                  <c:v>2.1420109583416558E-3</c:v>
                </c:pt>
                <c:pt idx="48">
                  <c:v>9.8614101672497734E-2</c:v>
                </c:pt>
                <c:pt idx="49">
                  <c:v>0.16049588464111386</c:v>
                </c:pt>
                <c:pt idx="50">
                  <c:v>0.11713124621239013</c:v>
                </c:pt>
                <c:pt idx="51">
                  <c:v>0.12384343260877961</c:v>
                </c:pt>
                <c:pt idx="52">
                  <c:v>3.610997417912265E-2</c:v>
                </c:pt>
                <c:pt idx="53">
                  <c:v>3.2911720164543801E-2</c:v>
                </c:pt>
                <c:pt idx="54">
                  <c:v>3.9942822028860792E-2</c:v>
                </c:pt>
              </c:numCache>
            </c:numRef>
          </c:yVal>
          <c:smooth val="0"/>
        </c:ser>
        <c:dLbls>
          <c:showLegendKey val="0"/>
          <c:showVal val="0"/>
          <c:showCatName val="0"/>
          <c:showSerName val="0"/>
          <c:showPercent val="0"/>
          <c:showBubbleSize val="0"/>
        </c:dLbls>
        <c:axId val="206981760"/>
        <c:axId val="206995840"/>
      </c:scatterChart>
      <c:valAx>
        <c:axId val="206981760"/>
        <c:scaling>
          <c:orientation val="minMax"/>
          <c:max val="2015"/>
          <c:min val="1960"/>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DejaVu Serif"/>
                <a:ea typeface="DejaVu Serif"/>
                <a:cs typeface="DejaVu Serif"/>
              </a:defRPr>
            </a:pPr>
            <a:endParaRPr lang="fr-FR"/>
          </a:p>
        </c:txPr>
        <c:crossAx val="206995840"/>
        <c:crosses val="autoZero"/>
        <c:crossBetween val="midCat"/>
        <c:majorUnit val="5"/>
        <c:minorUnit val="5"/>
      </c:valAx>
      <c:valAx>
        <c:axId val="206995840"/>
        <c:scaling>
          <c:orientation val="minMax"/>
        </c:scaling>
        <c:delete val="0"/>
        <c:axPos val="l"/>
        <c:majorGridlines>
          <c:spPr>
            <a:ln w="3175">
              <a:solidFill>
                <a:srgbClr val="80808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DejaVu Serif"/>
                <a:ea typeface="DejaVu Serif"/>
                <a:cs typeface="DejaVu Serif"/>
              </a:defRPr>
            </a:pPr>
            <a:endParaRPr lang="fr-FR"/>
          </a:p>
        </c:txPr>
        <c:crossAx val="206981760"/>
        <c:crosses val="autoZero"/>
        <c:crossBetween val="midCat"/>
      </c:valAx>
      <c:spPr>
        <a:noFill/>
        <a:ln w="12700">
          <a:solidFill>
            <a:srgbClr val="808080"/>
          </a:solidFill>
          <a:prstDash val="solid"/>
        </a:ln>
      </c:spPr>
    </c:plotArea>
    <c:legend>
      <c:legendPos val="r"/>
      <c:layout>
        <c:manualLayout>
          <c:xMode val="edge"/>
          <c:yMode val="edge"/>
          <c:x val="0.58854166666666663"/>
          <c:y val="0"/>
          <c:w val="0.39687499999999998"/>
          <c:h val="7.0826306913996634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DejaVu Serif"/>
                <a:ea typeface="DejaVu Serif"/>
                <a:cs typeface="DejaVu Serif"/>
              </a:defRPr>
            </a:pPr>
            <a:r>
              <a:rPr lang="fr-FR"/>
              <a:t>Volatilité des parts budgétaires de l'énergie 
relatives au RDB et à la consommation des ménages</a:t>
            </a:r>
          </a:p>
        </c:rich>
      </c:tx>
      <c:layout>
        <c:manualLayout>
          <c:xMode val="edge"/>
          <c:yMode val="edge"/>
          <c:x val="4.1701443569553805E-2"/>
          <c:y val="0"/>
        </c:manualLayout>
      </c:layout>
      <c:overlay val="0"/>
      <c:spPr>
        <a:noFill/>
        <a:ln w="25400">
          <a:noFill/>
        </a:ln>
      </c:spPr>
    </c:title>
    <c:autoTitleDeleted val="0"/>
    <c:plotArea>
      <c:layout>
        <c:manualLayout>
          <c:layoutTarget val="inner"/>
          <c:xMode val="edge"/>
          <c:yMode val="edge"/>
          <c:x val="5.0041701417848201E-2"/>
          <c:y val="9.5945945945945951E-2"/>
          <c:w val="0.92910758965804818"/>
          <c:h val="0.85"/>
        </c:manualLayout>
      </c:layout>
      <c:scatterChart>
        <c:scatterStyle val="lineMarker"/>
        <c:varyColors val="0"/>
        <c:ser>
          <c:idx val="0"/>
          <c:order val="0"/>
          <c:tx>
            <c:v>Volatilité de la part de l'énergie sur le RDB</c:v>
          </c:tx>
          <c:spPr>
            <a:ln w="25400">
              <a:solidFill>
                <a:srgbClr val="00008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data_menages!$O$2:$O$56</c:f>
              <c:numCache>
                <c:formatCode>0.000</c:formatCode>
                <c:ptCount val="55"/>
                <c:pt idx="1">
                  <c:v>8.8640131217093687E-3</c:v>
                </c:pt>
                <c:pt idx="2">
                  <c:v>3.8874263867758607E-2</c:v>
                </c:pt>
                <c:pt idx="3">
                  <c:v>8.288396302994272E-3</c:v>
                </c:pt>
                <c:pt idx="4">
                  <c:v>2.9707365617135495E-2</c:v>
                </c:pt>
                <c:pt idx="5">
                  <c:v>7.6479080424489698E-3</c:v>
                </c:pt>
                <c:pt idx="6">
                  <c:v>4.6580223160465062E-3</c:v>
                </c:pt>
                <c:pt idx="7">
                  <c:v>3.1541847506687981E-2</c:v>
                </c:pt>
                <c:pt idx="8">
                  <c:v>2.6780299999725532E-2</c:v>
                </c:pt>
                <c:pt idx="9">
                  <c:v>1.3799135776146221E-2</c:v>
                </c:pt>
                <c:pt idx="10">
                  <c:v>4.0756535432959762E-3</c:v>
                </c:pt>
                <c:pt idx="11">
                  <c:v>2.456889107778637E-2</c:v>
                </c:pt>
                <c:pt idx="12">
                  <c:v>1.36392335172284E-2</c:v>
                </c:pt>
                <c:pt idx="13">
                  <c:v>1.8675212530890883E-3</c:v>
                </c:pt>
                <c:pt idx="14">
                  <c:v>0.12009870636334052</c:v>
                </c:pt>
                <c:pt idx="15">
                  <c:v>1.4034309113710175E-2</c:v>
                </c:pt>
                <c:pt idx="16">
                  <c:v>3.0271455967552097E-2</c:v>
                </c:pt>
                <c:pt idx="17">
                  <c:v>1.6433661602763161E-2</c:v>
                </c:pt>
                <c:pt idx="18">
                  <c:v>2.1619682562041609E-2</c:v>
                </c:pt>
                <c:pt idx="19">
                  <c:v>4.0865679910433217E-2</c:v>
                </c:pt>
                <c:pt idx="20">
                  <c:v>0.10830403373836317</c:v>
                </c:pt>
                <c:pt idx="21">
                  <c:v>3.6607255587668419E-3</c:v>
                </c:pt>
                <c:pt idx="22">
                  <c:v>1.0228648698005882E-2</c:v>
                </c:pt>
                <c:pt idx="23">
                  <c:v>2.3156633137166427E-2</c:v>
                </c:pt>
                <c:pt idx="24">
                  <c:v>4.5154832971152636E-2</c:v>
                </c:pt>
                <c:pt idx="25">
                  <c:v>4.1484896116021241E-2</c:v>
                </c:pt>
                <c:pt idx="26">
                  <c:v>0.12977280499981836</c:v>
                </c:pt>
                <c:pt idx="27">
                  <c:v>6.7825366113137164E-2</c:v>
                </c:pt>
                <c:pt idx="28">
                  <c:v>7.7397444842676077E-2</c:v>
                </c:pt>
                <c:pt idx="29">
                  <c:v>2.5382218115129085E-2</c:v>
                </c:pt>
                <c:pt idx="30">
                  <c:v>1.230452059670839E-2</c:v>
                </c:pt>
                <c:pt idx="31">
                  <c:v>3.09158097784481E-2</c:v>
                </c:pt>
                <c:pt idx="32">
                  <c:v>4.7469199282116348E-2</c:v>
                </c:pt>
                <c:pt idx="33">
                  <c:v>2.4249224836938588E-3</c:v>
                </c:pt>
                <c:pt idx="34">
                  <c:v>2.1388264723683714E-2</c:v>
                </c:pt>
                <c:pt idx="35">
                  <c:v>2.7715970137353052E-3</c:v>
                </c:pt>
                <c:pt idx="36">
                  <c:v>4.8144042632555006E-2</c:v>
                </c:pt>
                <c:pt idx="37">
                  <c:v>2.7726257858572301E-2</c:v>
                </c:pt>
                <c:pt idx="38">
                  <c:v>2.7860487294504299E-2</c:v>
                </c:pt>
                <c:pt idx="39">
                  <c:v>1.150548033836285E-2</c:v>
                </c:pt>
                <c:pt idx="40">
                  <c:v>3.9843409207346969E-2</c:v>
                </c:pt>
                <c:pt idx="41">
                  <c:v>2.7186066037662604E-2</c:v>
                </c:pt>
                <c:pt idx="42">
                  <c:v>7.1507295604662069E-2</c:v>
                </c:pt>
                <c:pt idx="43">
                  <c:v>2.7285542373697735E-2</c:v>
                </c:pt>
                <c:pt idx="44">
                  <c:v>1.1018680961009109E-2</c:v>
                </c:pt>
                <c:pt idx="45">
                  <c:v>4.9379780694444264E-2</c:v>
                </c:pt>
                <c:pt idx="46">
                  <c:v>5.3255622126995306E-3</c:v>
                </c:pt>
                <c:pt idx="47">
                  <c:v>4.5462331451158744E-2</c:v>
                </c:pt>
                <c:pt idx="48">
                  <c:v>8.602289004896968E-2</c:v>
                </c:pt>
                <c:pt idx="49">
                  <c:v>0.11558418270336934</c:v>
                </c:pt>
                <c:pt idx="50">
                  <c:v>8.4716554144171674E-2</c:v>
                </c:pt>
                <c:pt idx="51">
                  <c:v>2.4824360089189534E-2</c:v>
                </c:pt>
                <c:pt idx="52">
                  <c:v>8.1299766469556944E-2</c:v>
                </c:pt>
                <c:pt idx="53">
                  <c:v>1.273265277381741E-2</c:v>
                </c:pt>
                <c:pt idx="54">
                  <c:v>7.7068322796582933E-2</c:v>
                </c:pt>
              </c:numCache>
            </c:numRef>
          </c:yVal>
          <c:smooth val="0"/>
        </c:ser>
        <c:ser>
          <c:idx val="1"/>
          <c:order val="1"/>
          <c:tx>
            <c:v>Volatilité de la part de l'énergie sur la consommation totale</c:v>
          </c:tx>
          <c:spPr>
            <a:ln w="25400">
              <a:solidFill>
                <a:srgbClr val="FF0000"/>
              </a:solidFill>
              <a:prstDash val="solid"/>
            </a:ln>
          </c:spPr>
          <c:marker>
            <c:symbol val="none"/>
          </c:marker>
          <c:xVal>
            <c:numRef>
              <c:f>data_menages!$A$2:$A$56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xVal>
          <c:yVal>
            <c:numRef>
              <c:f>data_menages!$P$2:$P$56</c:f>
              <c:numCache>
                <c:formatCode>0.000</c:formatCode>
                <c:ptCount val="55"/>
                <c:pt idx="1">
                  <c:v>1.857882921888443E-2</c:v>
                </c:pt>
                <c:pt idx="2">
                  <c:v>1.3332253512934988E-2</c:v>
                </c:pt>
                <c:pt idx="3">
                  <c:v>6.847042259435776E-4</c:v>
                </c:pt>
                <c:pt idx="4">
                  <c:v>3.316529654236311E-2</c:v>
                </c:pt>
                <c:pt idx="5">
                  <c:v>1.5417719368187921E-2</c:v>
                </c:pt>
                <c:pt idx="6">
                  <c:v>4.0503788832682019E-3</c:v>
                </c:pt>
                <c:pt idx="7">
                  <c:v>3.788186720005271E-2</c:v>
                </c:pt>
                <c:pt idx="8">
                  <c:v>2.8885476747587013E-2</c:v>
                </c:pt>
                <c:pt idx="9">
                  <c:v>2.6434220844198109E-3</c:v>
                </c:pt>
                <c:pt idx="10">
                  <c:v>2.1694146445469409E-2</c:v>
                </c:pt>
                <c:pt idx="11">
                  <c:v>2.3589498491181971E-2</c:v>
                </c:pt>
                <c:pt idx="12">
                  <c:v>7.1669744263374024E-3</c:v>
                </c:pt>
                <c:pt idx="13">
                  <c:v>1.0530727681420382E-3</c:v>
                </c:pt>
                <c:pt idx="14">
                  <c:v>0.12784105342298457</c:v>
                </c:pt>
                <c:pt idx="15">
                  <c:v>3.8891560818489213E-3</c:v>
                </c:pt>
                <c:pt idx="16">
                  <c:v>3.7641113871034193E-4</c:v>
                </c:pt>
                <c:pt idx="17">
                  <c:v>1.8364435897280984E-2</c:v>
                </c:pt>
                <c:pt idx="18">
                  <c:v>4.2018704930707917E-2</c:v>
                </c:pt>
                <c:pt idx="19">
                  <c:v>1.506784446894005E-2</c:v>
                </c:pt>
                <c:pt idx="20">
                  <c:v>0.10152761464695725</c:v>
                </c:pt>
                <c:pt idx="21">
                  <c:v>4.5135279336938616E-4</c:v>
                </c:pt>
                <c:pt idx="22">
                  <c:v>5.4135852228565096E-4</c:v>
                </c:pt>
                <c:pt idx="23">
                  <c:v>1.3389812709180937E-2</c:v>
                </c:pt>
                <c:pt idx="24">
                  <c:v>2.57345233092654E-2</c:v>
                </c:pt>
                <c:pt idx="25">
                  <c:v>2.9338709772490867E-2</c:v>
                </c:pt>
                <c:pt idx="26">
                  <c:v>0.13980252218014055</c:v>
                </c:pt>
                <c:pt idx="27">
                  <c:v>8.5419946421699033E-2</c:v>
                </c:pt>
                <c:pt idx="28">
                  <c:v>7.6158057611249608E-2</c:v>
                </c:pt>
                <c:pt idx="29">
                  <c:v>2.1558567050298016E-2</c:v>
                </c:pt>
                <c:pt idx="30">
                  <c:v>7.960740716006498E-4</c:v>
                </c:pt>
                <c:pt idx="31">
                  <c:v>4.0427244972928822E-2</c:v>
                </c:pt>
                <c:pt idx="32">
                  <c:v>3.7383716642857445E-2</c:v>
                </c:pt>
                <c:pt idx="33">
                  <c:v>4.3900818696753774E-3</c:v>
                </c:pt>
                <c:pt idx="34">
                  <c:v>2.9815371079692898E-2</c:v>
                </c:pt>
                <c:pt idx="35">
                  <c:v>5.1161372355892354E-3</c:v>
                </c:pt>
                <c:pt idx="36">
                  <c:v>3.7958835633965071E-2</c:v>
                </c:pt>
                <c:pt idx="37">
                  <c:v>1.5841961770502899E-2</c:v>
                </c:pt>
                <c:pt idx="38">
                  <c:v>3.453133092988081E-2</c:v>
                </c:pt>
                <c:pt idx="39">
                  <c:v>1.5673181333397124E-2</c:v>
                </c:pt>
                <c:pt idx="40">
                  <c:v>3.7387729899892808E-2</c:v>
                </c:pt>
                <c:pt idx="41">
                  <c:v>2.0491765643164128E-2</c:v>
                </c:pt>
                <c:pt idx="42">
                  <c:v>6.1284905526061473E-2</c:v>
                </c:pt>
                <c:pt idx="43">
                  <c:v>1.9259405498180948E-2</c:v>
                </c:pt>
                <c:pt idx="44">
                  <c:v>1.2985076384939731E-2</c:v>
                </c:pt>
                <c:pt idx="45">
                  <c:v>3.3369614777218892E-2</c:v>
                </c:pt>
                <c:pt idx="46">
                  <c:v>6.9783244649803677E-3</c:v>
                </c:pt>
                <c:pt idx="47">
                  <c:v>3.9920505972941944E-2</c:v>
                </c:pt>
                <c:pt idx="48">
                  <c:v>8.4242286767765906E-2</c:v>
                </c:pt>
                <c:pt idx="49">
                  <c:v>0.10199368972861245</c:v>
                </c:pt>
                <c:pt idx="50">
                  <c:v>7.897948357177742E-2</c:v>
                </c:pt>
                <c:pt idx="51">
                  <c:v>2.242139435995627E-2</c:v>
                </c:pt>
                <c:pt idx="52">
                  <c:v>7.4617680189574154E-2</c:v>
                </c:pt>
                <c:pt idx="53">
                  <c:v>8.1198549706715806E-3</c:v>
                </c:pt>
                <c:pt idx="54">
                  <c:v>7.2009194688818612E-2</c:v>
                </c:pt>
              </c:numCache>
            </c:numRef>
          </c:yVal>
          <c:smooth val="0"/>
        </c:ser>
        <c:dLbls>
          <c:showLegendKey val="0"/>
          <c:showVal val="0"/>
          <c:showCatName val="0"/>
          <c:showSerName val="0"/>
          <c:showPercent val="0"/>
          <c:showBubbleSize val="0"/>
        </c:dLbls>
        <c:axId val="207013376"/>
        <c:axId val="207014912"/>
      </c:scatterChart>
      <c:valAx>
        <c:axId val="207013376"/>
        <c:scaling>
          <c:orientation val="minMax"/>
          <c:max val="2015"/>
          <c:min val="1960"/>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207014912"/>
        <c:crosses val="autoZero"/>
        <c:crossBetween val="midCat"/>
        <c:majorUnit val="5"/>
      </c:valAx>
      <c:valAx>
        <c:axId val="207014912"/>
        <c:scaling>
          <c:orientation val="minMax"/>
          <c:max val="0.14000000000000001"/>
        </c:scaling>
        <c:delete val="0"/>
        <c:axPos val="l"/>
        <c:majorGridlines>
          <c:spPr>
            <a:ln w="3175">
              <a:solidFill>
                <a:srgbClr val="808080"/>
              </a:solidFill>
              <a:prstDash val="sysDash"/>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207013376"/>
        <c:crosses val="autoZero"/>
        <c:crossBetween val="midCat"/>
      </c:valAx>
      <c:spPr>
        <a:noFill/>
        <a:ln w="12700">
          <a:solidFill>
            <a:srgbClr val="808080"/>
          </a:solidFill>
          <a:prstDash val="solid"/>
        </a:ln>
      </c:spPr>
    </c:plotArea>
    <c:legend>
      <c:legendPos val="r"/>
      <c:layout>
        <c:manualLayout>
          <c:xMode val="edge"/>
          <c:yMode val="edge"/>
          <c:x val="0.53333333333333333"/>
          <c:y val="0"/>
          <c:w val="0.46562499999999996"/>
          <c:h val="7.0826306913996634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Evolution des prix réels du carburant  
selon différents modes de calcul</a:t>
            </a:r>
          </a:p>
        </c:rich>
      </c:tx>
      <c:layout>
        <c:manualLayout>
          <c:xMode val="edge"/>
          <c:yMode val="edge"/>
          <c:x val="0.27856550743657044"/>
          <c:y val="1.3513740799263498E-3"/>
        </c:manualLayout>
      </c:layout>
      <c:overlay val="0"/>
      <c:spPr>
        <a:noFill/>
        <a:ln w="25400">
          <a:noFill/>
        </a:ln>
      </c:spPr>
    </c:title>
    <c:autoTitleDeleted val="0"/>
    <c:plotArea>
      <c:layout>
        <c:manualLayout>
          <c:layoutTarget val="inner"/>
          <c:xMode val="edge"/>
          <c:yMode val="edge"/>
          <c:x val="3.336113427856547E-2"/>
          <c:y val="0.11756756756756756"/>
          <c:w val="0.96663886572143443"/>
          <c:h val="0.83648648648648638"/>
        </c:manualLayout>
      </c:layout>
      <c:lineChart>
        <c:grouping val="standard"/>
        <c:varyColors val="0"/>
        <c:ser>
          <c:idx val="0"/>
          <c:order val="0"/>
          <c:tx>
            <c:v>Indice de prix des carburants INSEE déflaté</c:v>
          </c:tx>
          <c:spPr>
            <a:ln w="38100">
              <a:solidFill>
                <a:srgbClr val="333333"/>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data2018!$CY$2:$CY$53</c:f>
              <c:numCache>
                <c:formatCode>0.0</c:formatCode>
                <c:ptCount val="52"/>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numCache>
            </c:numRef>
          </c:val>
          <c:smooth val="0"/>
        </c:ser>
        <c:ser>
          <c:idx val="1"/>
          <c:order val="1"/>
          <c:tx>
            <c:v>Prix réel en volume, base 2005</c:v>
          </c:tx>
          <c:spPr>
            <a:ln w="12700">
              <a:solidFill>
                <a:srgbClr val="333333"/>
              </a:solidFill>
              <a:prstDash val="solid"/>
            </a:ln>
          </c:spPr>
          <c:marker>
            <c:symbol val="square"/>
            <c:size val="5"/>
            <c:spPr>
              <a:solidFill>
                <a:srgbClr val="FFFFFF"/>
              </a:solidFill>
              <a:ln>
                <a:solidFill>
                  <a:srgbClr val="333333"/>
                </a:solidFill>
                <a:prstDash val="solid"/>
              </a:ln>
            </c:spPr>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data2018!$DF$2:$DF$56</c:f>
              <c:numCache>
                <c:formatCode>0.0000</c:formatCode>
                <c:ptCount val="55"/>
                <c:pt idx="0">
                  <c:v>1.4025451308910075</c:v>
                </c:pt>
                <c:pt idx="1">
                  <c:v>1.3574394482672401</c:v>
                </c:pt>
                <c:pt idx="2">
                  <c:v>1.3023109527022905</c:v>
                </c:pt>
                <c:pt idx="3">
                  <c:v>1.2397215210238786</c:v>
                </c:pt>
                <c:pt idx="4">
                  <c:v>1.1866580697819185</c:v>
                </c:pt>
                <c:pt idx="5">
                  <c:v>1.1478099972048321</c:v>
                </c:pt>
                <c:pt idx="6">
                  <c:v>1.1196304843691449</c:v>
                </c:pt>
                <c:pt idx="7">
                  <c:v>1.1015441966715387</c:v>
                </c:pt>
                <c:pt idx="8">
                  <c:v>1.0755052907870768</c:v>
                </c:pt>
                <c:pt idx="9">
                  <c:v>1.0767445375582547</c:v>
                </c:pt>
                <c:pt idx="10">
                  <c:v>1.0495937723230064</c:v>
                </c:pt>
                <c:pt idx="11">
                  <c:v>1.0203990502990481</c:v>
                </c:pt>
                <c:pt idx="12">
                  <c:v>0.97417146895963524</c:v>
                </c:pt>
                <c:pt idx="13">
                  <c:v>0.94800208950435494</c:v>
                </c:pt>
                <c:pt idx="14">
                  <c:v>1.1666380611056231</c:v>
                </c:pt>
                <c:pt idx="15">
                  <c:v>1.0824618049972383</c:v>
                </c:pt>
                <c:pt idx="16">
                  <c:v>1.0705643368593114</c:v>
                </c:pt>
                <c:pt idx="17">
                  <c:v>1.1449769432143333</c:v>
                </c:pt>
                <c:pt idx="18">
                  <c:v>1.1416996125462844</c:v>
                </c:pt>
                <c:pt idx="19">
                  <c:v>1.1778619018679719</c:v>
                </c:pt>
                <c:pt idx="20">
                  <c:v>1.2292430786554274</c:v>
                </c:pt>
                <c:pt idx="21">
                  <c:v>1.1716416122776663</c:v>
                </c:pt>
                <c:pt idx="22">
                  <c:v>1.2150417211198767</c:v>
                </c:pt>
                <c:pt idx="23">
                  <c:v>1.1999410590279125</c:v>
                </c:pt>
                <c:pt idx="24">
                  <c:v>1.1953156274541812</c:v>
                </c:pt>
                <c:pt idx="25">
                  <c:v>1.2363559352377884</c:v>
                </c:pt>
                <c:pt idx="26">
                  <c:v>1.1380412522689518</c:v>
                </c:pt>
                <c:pt idx="27">
                  <c:v>0.97134910508139016</c:v>
                </c:pt>
                <c:pt idx="28">
                  <c:v>0.94751073545449394</c:v>
                </c:pt>
                <c:pt idx="29">
                  <c:v>0.95516473806019442</c:v>
                </c:pt>
                <c:pt idx="30">
                  <c:v>0.94033939712978787</c:v>
                </c:pt>
                <c:pt idx="31">
                  <c:v>0.95076004967958516</c:v>
                </c:pt>
                <c:pt idx="32">
                  <c:v>0.90427011330521545</c:v>
                </c:pt>
                <c:pt idx="33">
                  <c:v>0.91261857552666537</c:v>
                </c:pt>
                <c:pt idx="34">
                  <c:v>0.92572361109016443</c:v>
                </c:pt>
                <c:pt idx="35">
                  <c:v>0.93875021167591144</c:v>
                </c:pt>
                <c:pt idx="36">
                  <c:v>0.98267623332161025</c:v>
                </c:pt>
                <c:pt idx="37">
                  <c:v>1.0018340566465425</c:v>
                </c:pt>
                <c:pt idx="38">
                  <c:v>0.96119705454139215</c:v>
                </c:pt>
                <c:pt idx="39">
                  <c:v>1.0168493569698098</c:v>
                </c:pt>
                <c:pt idx="40">
                  <c:v>1.157900509265323</c:v>
                </c:pt>
                <c:pt idx="41">
                  <c:v>1.0643016413635342</c:v>
                </c:pt>
                <c:pt idx="42">
                  <c:v>1.0210667899386014</c:v>
                </c:pt>
                <c:pt idx="43">
                  <c:v>1.0086858715893079</c:v>
                </c:pt>
                <c:pt idx="44">
                  <c:v>1.0545343694284892</c:v>
                </c:pt>
                <c:pt idx="45">
                  <c:v>1.16419824143091</c:v>
                </c:pt>
                <c:pt idx="46">
                  <c:v>1.2487745326299637</c:v>
                </c:pt>
                <c:pt idx="47">
                  <c:v>1.2028894922895639</c:v>
                </c:pt>
                <c:pt idx="48">
                  <c:v>1.3035193803469625</c:v>
                </c:pt>
                <c:pt idx="49">
                  <c:v>1.0954438858262605</c:v>
                </c:pt>
                <c:pt idx="50">
                  <c:v>1.2186922044478332</c:v>
                </c:pt>
                <c:pt idx="51">
                  <c:v>1.3677416492897969</c:v>
                </c:pt>
                <c:pt idx="52">
                  <c:v>1.407278524930256</c:v>
                </c:pt>
                <c:pt idx="53">
                  <c:v>1.3582928670993615</c:v>
                </c:pt>
                <c:pt idx="54">
                  <c:v>1.2978501387588306</c:v>
                </c:pt>
              </c:numCache>
            </c:numRef>
          </c:val>
          <c:smooth val="0"/>
        </c:ser>
        <c:ser>
          <c:idx val="2"/>
          <c:order val="2"/>
          <c:tx>
            <c:v>Prix réel par tep, base 2010</c:v>
          </c:tx>
          <c:spPr>
            <a:ln w="12700">
              <a:solidFill>
                <a:srgbClr val="80808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data2018!$DK$2:$DK$60</c:f>
              <c:numCache>
                <c:formatCode>0.0000</c:formatCode>
                <c:ptCount val="59"/>
                <c:pt idx="0">
                  <c:v>1.4023975627682221</c:v>
                </c:pt>
                <c:pt idx="1">
                  <c:v>1.3571307428192716</c:v>
                </c:pt>
                <c:pt idx="2">
                  <c:v>1.3019899634656082</c:v>
                </c:pt>
                <c:pt idx="3">
                  <c:v>1.2394019652436625</c:v>
                </c:pt>
                <c:pt idx="4">
                  <c:v>1.1863571070430201</c:v>
                </c:pt>
                <c:pt idx="5">
                  <c:v>1.1473095868339072</c:v>
                </c:pt>
                <c:pt idx="6">
                  <c:v>1.1191226388549653</c:v>
                </c:pt>
                <c:pt idx="7">
                  <c:v>1.101030087538986</c:v>
                </c:pt>
                <c:pt idx="8">
                  <c:v>1.0750049648519935</c:v>
                </c:pt>
                <c:pt idx="9">
                  <c:v>1.0761349195250001</c:v>
                </c:pt>
                <c:pt idx="10">
                  <c:v>1.0490309174195169</c:v>
                </c:pt>
                <c:pt idx="11">
                  <c:v>1.0198942263823632</c:v>
                </c:pt>
                <c:pt idx="12">
                  <c:v>0.97353304074766933</c:v>
                </c:pt>
                <c:pt idx="13">
                  <c:v>0.9472620315459368</c:v>
                </c:pt>
                <c:pt idx="14">
                  <c:v>1.1654044437749502</c:v>
                </c:pt>
                <c:pt idx="15">
                  <c:v>1.0812633948031458</c:v>
                </c:pt>
                <c:pt idx="16">
                  <c:v>1.0692944115141902</c:v>
                </c:pt>
                <c:pt idx="17">
                  <c:v>1.1431996683231607</c:v>
                </c:pt>
                <c:pt idx="18">
                  <c:v>1.1396383535956052</c:v>
                </c:pt>
                <c:pt idx="19">
                  <c:v>1.1757231820182672</c:v>
                </c:pt>
                <c:pt idx="20">
                  <c:v>1.2270897464474568</c:v>
                </c:pt>
                <c:pt idx="21">
                  <c:v>1.1694943101307278</c:v>
                </c:pt>
                <c:pt idx="22">
                  <c:v>1.2125513149934952</c:v>
                </c:pt>
                <c:pt idx="23">
                  <c:v>1.1979350664642694</c:v>
                </c:pt>
                <c:pt idx="24">
                  <c:v>1.1927741525652522</c:v>
                </c:pt>
                <c:pt idx="25">
                  <c:v>1.233935631681931</c:v>
                </c:pt>
                <c:pt idx="26">
                  <c:v>1.1355511000961542</c:v>
                </c:pt>
                <c:pt idx="27">
                  <c:v>0.9678364530134872</c:v>
                </c:pt>
                <c:pt idx="28">
                  <c:v>0.94382962966792328</c:v>
                </c:pt>
                <c:pt idx="29">
                  <c:v>0.95123592811037994</c:v>
                </c:pt>
                <c:pt idx="30">
                  <c:v>0.93723457332719828</c:v>
                </c:pt>
                <c:pt idx="31">
                  <c:v>0.94693151276844489</c:v>
                </c:pt>
                <c:pt idx="32">
                  <c:v>0.90015010375266791</c:v>
                </c:pt>
                <c:pt idx="33">
                  <c:v>0.90847255392515347</c:v>
                </c:pt>
                <c:pt idx="34">
                  <c:v>0.92150030302109764</c:v>
                </c:pt>
                <c:pt idx="35">
                  <c:v>0.93351627688004069</c:v>
                </c:pt>
                <c:pt idx="36">
                  <c:v>0.97762264197671012</c:v>
                </c:pt>
                <c:pt idx="37">
                  <c:v>0.99657211554822078</c:v>
                </c:pt>
                <c:pt idx="38">
                  <c:v>0.9556894889067501</c:v>
                </c:pt>
                <c:pt idx="39">
                  <c:v>1.0115708775412158</c:v>
                </c:pt>
                <c:pt idx="40">
                  <c:v>1.1530070603332512</c:v>
                </c:pt>
                <c:pt idx="41">
                  <c:v>1.0596243973855191</c:v>
                </c:pt>
                <c:pt idx="42">
                  <c:v>1.0164015483667748</c:v>
                </c:pt>
                <c:pt idx="43">
                  <c:v>1.0044813264044394</c:v>
                </c:pt>
                <c:pt idx="44">
                  <c:v>1.0513563105047701</c:v>
                </c:pt>
                <c:pt idx="45">
                  <c:v>1.1618078140283847</c:v>
                </c:pt>
                <c:pt idx="46">
                  <c:v>1.2442171363716754</c:v>
                </c:pt>
                <c:pt idx="47">
                  <c:v>1.1997164324817062</c:v>
                </c:pt>
                <c:pt idx="48">
                  <c:v>1.3018878020739533</c:v>
                </c:pt>
                <c:pt idx="49">
                  <c:v>1.0920537659975222</c:v>
                </c:pt>
                <c:pt idx="50">
                  <c:v>1.2155630547125131</c:v>
                </c:pt>
                <c:pt idx="51">
                  <c:v>1.3652357587314079</c:v>
                </c:pt>
                <c:pt idx="52">
                  <c:v>1.4047338939440559</c:v>
                </c:pt>
                <c:pt idx="53">
                  <c:v>1.3555576334886916</c:v>
                </c:pt>
                <c:pt idx="54">
                  <c:v>1.2949602140183796</c:v>
                </c:pt>
                <c:pt idx="55">
                  <c:v>1.1622483052844432</c:v>
                </c:pt>
                <c:pt idx="56">
                  <c:v>1.1193743498536992</c:v>
                </c:pt>
                <c:pt idx="57">
                  <c:v>1.3163587740637677</c:v>
                </c:pt>
              </c:numCache>
            </c:numRef>
          </c:val>
          <c:smooth val="0"/>
        </c:ser>
        <c:dLbls>
          <c:showLegendKey val="0"/>
          <c:showVal val="0"/>
          <c:showCatName val="0"/>
          <c:showSerName val="0"/>
          <c:showPercent val="0"/>
          <c:showBubbleSize val="0"/>
        </c:dLbls>
        <c:marker val="1"/>
        <c:smooth val="0"/>
        <c:axId val="212747776"/>
        <c:axId val="212749312"/>
      </c:lineChart>
      <c:catAx>
        <c:axId val="212747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700" b="0" i="0" u="none" strike="noStrike" baseline="0">
                <a:solidFill>
                  <a:srgbClr val="000000"/>
                </a:solidFill>
                <a:latin typeface="DejaVu Serif"/>
                <a:ea typeface="DejaVu Serif"/>
                <a:cs typeface="DejaVu Serif"/>
              </a:defRPr>
            </a:pPr>
            <a:endParaRPr lang="fr-FR"/>
          </a:p>
        </c:txPr>
        <c:crossAx val="212749312"/>
        <c:crosses val="autoZero"/>
        <c:auto val="1"/>
        <c:lblAlgn val="ctr"/>
        <c:lblOffset val="100"/>
        <c:tickLblSkip val="1"/>
        <c:tickMarkSkip val="1"/>
        <c:noMultiLvlLbl val="0"/>
      </c:catAx>
      <c:valAx>
        <c:axId val="212749312"/>
        <c:scaling>
          <c:orientation val="minMax"/>
          <c:max val="1.45"/>
          <c:min val="0.85"/>
        </c:scaling>
        <c:delete val="0"/>
        <c:axPos val="l"/>
        <c:majorGridlines>
          <c:spPr>
            <a:ln w="3175">
              <a:solidFill>
                <a:srgbClr val="808080"/>
              </a:solidFill>
              <a:prstDash val="sysDash"/>
            </a:ln>
          </c:spPr>
        </c:majorGridlines>
        <c:title>
          <c:tx>
            <c:rich>
              <a:bodyPr rot="0" vert="horz"/>
              <a:lstStyle/>
              <a:p>
                <a:pPr algn="ctr">
                  <a:defRPr sz="800" b="0" i="0" u="none" strike="noStrike" baseline="0">
                    <a:solidFill>
                      <a:srgbClr val="000000"/>
                    </a:solidFill>
                    <a:latin typeface="DejaVu Serif"/>
                    <a:ea typeface="DejaVu Serif"/>
                    <a:cs typeface="DejaVu Serif"/>
                  </a:defRPr>
                </a:pPr>
                <a:r>
                  <a:rPr lang="fr-FR"/>
                  <a:t>€2010/litre 
ou
 Indice de prix réel</a:t>
                </a:r>
              </a:p>
            </c:rich>
          </c:tx>
          <c:layout>
            <c:manualLayout>
              <c:xMode val="edge"/>
              <c:yMode val="edge"/>
              <c:x val="1.5012467191601051E-2"/>
              <c:y val="9.4594415158476188E-3"/>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DejaVu Serif"/>
                <a:ea typeface="DejaVu Serif"/>
                <a:cs typeface="DejaVu Serif"/>
              </a:defRPr>
            </a:pPr>
            <a:endParaRPr lang="fr-FR"/>
          </a:p>
        </c:txPr>
        <c:crossAx val="212747776"/>
        <c:crosses val="autoZero"/>
        <c:crossBetween val="between"/>
        <c:majorUnit val="0.05"/>
      </c:valAx>
      <c:spPr>
        <a:noFill/>
        <a:ln w="12700">
          <a:solidFill>
            <a:srgbClr val="808080"/>
          </a:solidFill>
          <a:prstDash val="solid"/>
        </a:ln>
      </c:spPr>
    </c:plotArea>
    <c:legend>
      <c:legendPos val="r"/>
      <c:layout>
        <c:manualLayout>
          <c:xMode val="edge"/>
          <c:yMode val="edge"/>
          <c:x val="0.68125000000000002"/>
          <c:y val="0"/>
          <c:w val="0.31770833333333337"/>
          <c:h val="9.1062394603709948E-2"/>
        </c:manualLayout>
      </c:layout>
      <c:overlay val="0"/>
      <c:spPr>
        <a:noFill/>
        <a:ln w="3175">
          <a:solidFill>
            <a:srgbClr val="000000"/>
          </a:solidFill>
          <a:prstDash val="solid"/>
        </a:ln>
      </c:spPr>
      <c:txPr>
        <a:bodyPr/>
        <a:lstStyle/>
        <a:p>
          <a:pPr>
            <a:defRPr sz="735"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800" b="0" i="0" u="none" strike="noStrike" baseline="0">
          <a:solidFill>
            <a:srgbClr val="000000"/>
          </a:solidFill>
          <a:latin typeface="DejaVu Serif"/>
          <a:ea typeface="DejaVu Serif"/>
          <a:cs typeface="DejaVu Serif"/>
        </a:defRPr>
      </a:pPr>
      <a:endParaRPr lang="fr-FR"/>
    </a:p>
  </c:txPr>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Evolution des indices de prix en base 2010</a:t>
            </a:r>
          </a:p>
          <a:p>
            <a:pPr>
              <a:defRPr sz="10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des carburants pour les ménages entre 1960 et 2014</a:t>
            </a:r>
          </a:p>
          <a:p>
            <a:pPr>
              <a:defRPr sz="1000" b="0" i="0" u="none" strike="noStrike" baseline="0">
                <a:solidFill>
                  <a:srgbClr val="000000"/>
                </a:solidFill>
                <a:latin typeface="Arial"/>
                <a:ea typeface="Arial"/>
                <a:cs typeface="Arial"/>
              </a:defRPr>
            </a:pPr>
            <a:r>
              <a:rPr lang="fr-FR" sz="900" b="0" i="0" u="none" strike="noStrike" baseline="0">
                <a:solidFill>
                  <a:srgbClr val="000000"/>
                </a:solidFill>
                <a:latin typeface="Arial"/>
                <a:cs typeface="Arial"/>
              </a:rPr>
              <a:t>Source: INSEE</a:t>
            </a:r>
          </a:p>
        </c:rich>
      </c:tx>
      <c:layout>
        <c:manualLayout>
          <c:xMode val="edge"/>
          <c:yMode val="edge"/>
          <c:x val="0.12593832020997375"/>
          <c:y val="0"/>
        </c:manualLayout>
      </c:layout>
      <c:overlay val="0"/>
      <c:spPr>
        <a:noFill/>
        <a:ln w="25400">
          <a:noFill/>
        </a:ln>
      </c:spPr>
    </c:title>
    <c:autoTitleDeleted val="0"/>
    <c:plotArea>
      <c:layout>
        <c:manualLayout>
          <c:layoutTarget val="inner"/>
          <c:xMode val="edge"/>
          <c:yMode val="edge"/>
          <c:x val="3.1693077564637191E-2"/>
          <c:y val="0.10405405405405406"/>
          <c:w val="0.96663886572143443"/>
          <c:h val="0.85"/>
        </c:manualLayout>
      </c:layout>
      <c:lineChart>
        <c:grouping val="standard"/>
        <c:varyColors val="0"/>
        <c:ser>
          <c:idx val="0"/>
          <c:order val="0"/>
          <c:tx>
            <c:v>Essence et super plombé</c:v>
          </c:tx>
          <c:spPr>
            <a:ln w="25400">
              <a:solidFill>
                <a:srgbClr val="FF6600"/>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ZIA_quantites_physiques!$T$3:$T$54</c:f>
              <c:numCache>
                <c:formatCode>0.0</c:formatCode>
                <c:ptCount val="52"/>
                <c:pt idx="0">
                  <c:v>9.6489999999999991</c:v>
                </c:pt>
                <c:pt idx="1">
                  <c:v>9.6549999999999994</c:v>
                </c:pt>
                <c:pt idx="2">
                  <c:v>9.6530000000000005</c:v>
                </c:pt>
                <c:pt idx="3">
                  <c:v>9.6560000000000006</c:v>
                </c:pt>
                <c:pt idx="4">
                  <c:v>9.6310000000000002</c:v>
                </c:pt>
                <c:pt idx="5">
                  <c:v>9.5619999999999994</c:v>
                </c:pt>
                <c:pt idx="6">
                  <c:v>9.5640000000000001</c:v>
                </c:pt>
                <c:pt idx="7">
                  <c:v>9.6929999999999996</c:v>
                </c:pt>
                <c:pt idx="8">
                  <c:v>9.75</c:v>
                </c:pt>
                <c:pt idx="9">
                  <c:v>10.478</c:v>
                </c:pt>
                <c:pt idx="10">
                  <c:v>10.579000000000001</c:v>
                </c:pt>
                <c:pt idx="11">
                  <c:v>11.023999999999999</c:v>
                </c:pt>
                <c:pt idx="12">
                  <c:v>11.023999999999999</c:v>
                </c:pt>
                <c:pt idx="13">
                  <c:v>11.443</c:v>
                </c:pt>
                <c:pt idx="14">
                  <c:v>16.145</c:v>
                </c:pt>
                <c:pt idx="15">
                  <c:v>16.806999999999999</c:v>
                </c:pt>
                <c:pt idx="16">
                  <c:v>18.202000000000002</c:v>
                </c:pt>
                <c:pt idx="17">
                  <c:v>21.350999999999999</c:v>
                </c:pt>
                <c:pt idx="18">
                  <c:v>23.542000000000002</c:v>
                </c:pt>
                <c:pt idx="19">
                  <c:v>27.053000000000001</c:v>
                </c:pt>
                <c:pt idx="20">
                  <c:v>31.439</c:v>
                </c:pt>
                <c:pt idx="21">
                  <c:v>35.813000000000002</c:v>
                </c:pt>
                <c:pt idx="22">
                  <c:v>40.682000000000002</c:v>
                </c:pt>
                <c:pt idx="23">
                  <c:v>43.542000000000002</c:v>
                </c:pt>
                <c:pt idx="24">
                  <c:v>47.173999999999999</c:v>
                </c:pt>
                <c:pt idx="25">
                  <c:v>52.235999999999997</c:v>
                </c:pt>
                <c:pt idx="26">
                  <c:v>45.603999999999999</c:v>
                </c:pt>
                <c:pt idx="27">
                  <c:v>46.11</c:v>
                </c:pt>
                <c:pt idx="28">
                  <c:v>46.527999999999999</c:v>
                </c:pt>
                <c:pt idx="29">
                  <c:v>49.698</c:v>
                </c:pt>
                <c:pt idx="30">
                  <c:v>51.326000000000001</c:v>
                </c:pt>
                <c:pt idx="31">
                  <c:v>51.654000000000003</c:v>
                </c:pt>
                <c:pt idx="32">
                  <c:v>50.704000000000001</c:v>
                </c:pt>
                <c:pt idx="33">
                  <c:v>52.530999999999999</c:v>
                </c:pt>
                <c:pt idx="34">
                  <c:v>54.368000000000002</c:v>
                </c:pt>
                <c:pt idx="35">
                  <c:v>56.69</c:v>
                </c:pt>
                <c:pt idx="36">
                  <c:v>60.161000000000001</c:v>
                </c:pt>
                <c:pt idx="37">
                  <c:v>62.429000000000002</c:v>
                </c:pt>
                <c:pt idx="38">
                  <c:v>61.118000000000002</c:v>
                </c:pt>
                <c:pt idx="39">
                  <c:v>63.597000000000001</c:v>
                </c:pt>
                <c:pt idx="40">
                  <c:v>74.37</c:v>
                </c:pt>
                <c:pt idx="41">
                  <c:v>71.331000000000003</c:v>
                </c:pt>
                <c:pt idx="42">
                  <c:v>69.662000000000006</c:v>
                </c:pt>
                <c:pt idx="43">
                  <c:v>70.638000000000005</c:v>
                </c:pt>
                <c:pt idx="44">
                  <c:v>74.06</c:v>
                </c:pt>
                <c:pt idx="45">
                  <c:v>81.302000000000007</c:v>
                </c:pt>
                <c:pt idx="46">
                  <c:v>89.254999999999995</c:v>
                </c:pt>
                <c:pt idx="47">
                  <c:v>94.74</c:v>
                </c:pt>
              </c:numCache>
            </c:numRef>
          </c:val>
          <c:smooth val="0"/>
        </c:ser>
        <c:ser>
          <c:idx val="1"/>
          <c:order val="1"/>
          <c:tx>
            <c:v>Super sans plomb</c:v>
          </c:tx>
          <c:spPr>
            <a:ln w="12700">
              <a:solidFill>
                <a:srgbClr val="333333"/>
              </a:solidFill>
              <a:prstDash val="sysDash"/>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ZIA_quantites_physiques!$U$3:$U$54</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54.9</c:v>
                </c:pt>
                <c:pt idx="30">
                  <c:v>56.698</c:v>
                </c:pt>
                <c:pt idx="31">
                  <c:v>55.688000000000002</c:v>
                </c:pt>
                <c:pt idx="32">
                  <c:v>54.457999999999998</c:v>
                </c:pt>
                <c:pt idx="33">
                  <c:v>56.091999999999999</c:v>
                </c:pt>
                <c:pt idx="34">
                  <c:v>58.277999999999999</c:v>
                </c:pt>
                <c:pt idx="35">
                  <c:v>61.780999999999999</c:v>
                </c:pt>
                <c:pt idx="36">
                  <c:v>65.597999999999999</c:v>
                </c:pt>
                <c:pt idx="37">
                  <c:v>68.081999999999994</c:v>
                </c:pt>
                <c:pt idx="38">
                  <c:v>66.379000000000005</c:v>
                </c:pt>
                <c:pt idx="39">
                  <c:v>68.55</c:v>
                </c:pt>
                <c:pt idx="40">
                  <c:v>79.161000000000001</c:v>
                </c:pt>
                <c:pt idx="41">
                  <c:v>75.397000000000006</c:v>
                </c:pt>
                <c:pt idx="42">
                  <c:v>73.632999999999996</c:v>
                </c:pt>
                <c:pt idx="43">
                  <c:v>74.828000000000003</c:v>
                </c:pt>
                <c:pt idx="44">
                  <c:v>78.881</c:v>
                </c:pt>
                <c:pt idx="45">
                  <c:v>86.760999999999996</c:v>
                </c:pt>
                <c:pt idx="46">
                  <c:v>92.206999999999994</c:v>
                </c:pt>
                <c:pt idx="47">
                  <c:v>94.74</c:v>
                </c:pt>
                <c:pt idx="48">
                  <c:v>101.6</c:v>
                </c:pt>
                <c:pt idx="49">
                  <c:v>89.97</c:v>
                </c:pt>
                <c:pt idx="50" formatCode="General">
                  <c:v>100</c:v>
                </c:pt>
                <c:pt idx="51" formatCode="General">
                  <c:v>110.95699999999999</c:v>
                </c:pt>
              </c:numCache>
            </c:numRef>
          </c:val>
          <c:smooth val="0"/>
        </c:ser>
        <c:ser>
          <c:idx val="2"/>
          <c:order val="2"/>
          <c:tx>
            <c:v>Gazole</c:v>
          </c:tx>
          <c:spPr>
            <a:ln w="25400">
              <a:solidFill>
                <a:srgbClr val="808080"/>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ZIA_quantites_physiques!$V$3:$V$54</c:f>
              <c:numCache>
                <c:formatCode>0.0</c:formatCode>
                <c:ptCount val="52"/>
                <c:pt idx="0">
                  <c:v>8.3369999999999997</c:v>
                </c:pt>
                <c:pt idx="1">
                  <c:v>8.3219999999999992</c:v>
                </c:pt>
                <c:pt idx="2">
                  <c:v>8.2780000000000005</c:v>
                </c:pt>
                <c:pt idx="3">
                  <c:v>8.25</c:v>
                </c:pt>
                <c:pt idx="4">
                  <c:v>8.157</c:v>
                </c:pt>
                <c:pt idx="5">
                  <c:v>8.0239999999999991</c:v>
                </c:pt>
                <c:pt idx="6">
                  <c:v>8.0280000000000005</c:v>
                </c:pt>
                <c:pt idx="7">
                  <c:v>8.09</c:v>
                </c:pt>
                <c:pt idx="8">
                  <c:v>8.1649999999999991</c:v>
                </c:pt>
                <c:pt idx="9">
                  <c:v>8.3559999999999999</c:v>
                </c:pt>
                <c:pt idx="10">
                  <c:v>8.5250000000000004</c:v>
                </c:pt>
                <c:pt idx="11">
                  <c:v>9.1479999999999997</c:v>
                </c:pt>
                <c:pt idx="12">
                  <c:v>9.2200000000000006</c:v>
                </c:pt>
                <c:pt idx="13">
                  <c:v>9.4979999999999993</c:v>
                </c:pt>
                <c:pt idx="14">
                  <c:v>12.68</c:v>
                </c:pt>
                <c:pt idx="15">
                  <c:v>13.541</c:v>
                </c:pt>
                <c:pt idx="16">
                  <c:v>14.909000000000001</c:v>
                </c:pt>
                <c:pt idx="17">
                  <c:v>16.414000000000001</c:v>
                </c:pt>
                <c:pt idx="18">
                  <c:v>18.082000000000001</c:v>
                </c:pt>
                <c:pt idx="19">
                  <c:v>22.359000000000002</c:v>
                </c:pt>
                <c:pt idx="20">
                  <c:v>27.838000000000001</c:v>
                </c:pt>
                <c:pt idx="21">
                  <c:v>33.122</c:v>
                </c:pt>
                <c:pt idx="22">
                  <c:v>38.484000000000002</c:v>
                </c:pt>
                <c:pt idx="23">
                  <c:v>41.918999999999997</c:v>
                </c:pt>
                <c:pt idx="24">
                  <c:v>45.247999999999998</c:v>
                </c:pt>
                <c:pt idx="25">
                  <c:v>52.149000000000001</c:v>
                </c:pt>
                <c:pt idx="26">
                  <c:v>42.749000000000002</c:v>
                </c:pt>
                <c:pt idx="27">
                  <c:v>41.725999999999999</c:v>
                </c:pt>
                <c:pt idx="28">
                  <c:v>41.261000000000003</c:v>
                </c:pt>
                <c:pt idx="29">
                  <c:v>43.497999999999998</c:v>
                </c:pt>
                <c:pt idx="30">
                  <c:v>46.008000000000003</c:v>
                </c:pt>
                <c:pt idx="31">
                  <c:v>46.651000000000003</c:v>
                </c:pt>
                <c:pt idx="32">
                  <c:v>44.973999999999997</c:v>
                </c:pt>
                <c:pt idx="33">
                  <c:v>47.581000000000003</c:v>
                </c:pt>
                <c:pt idx="34">
                  <c:v>50.389000000000003</c:v>
                </c:pt>
                <c:pt idx="35">
                  <c:v>50.433999999999997</c:v>
                </c:pt>
                <c:pt idx="36">
                  <c:v>56.048000000000002</c:v>
                </c:pt>
                <c:pt idx="37">
                  <c:v>58.198</c:v>
                </c:pt>
                <c:pt idx="38">
                  <c:v>55.347999999999999</c:v>
                </c:pt>
                <c:pt idx="39">
                  <c:v>58.786999999999999</c:v>
                </c:pt>
                <c:pt idx="40">
                  <c:v>72.778000000000006</c:v>
                </c:pt>
                <c:pt idx="41">
                  <c:v>68.677000000000007</c:v>
                </c:pt>
                <c:pt idx="42">
                  <c:v>66.308000000000007</c:v>
                </c:pt>
                <c:pt idx="43">
                  <c:v>68.704999999999998</c:v>
                </c:pt>
                <c:pt idx="44">
                  <c:v>76.429000000000002</c:v>
                </c:pt>
                <c:pt idx="45">
                  <c:v>88.959000000000003</c:v>
                </c:pt>
                <c:pt idx="46">
                  <c:v>93.694000000000003</c:v>
                </c:pt>
                <c:pt idx="47">
                  <c:v>94.707999999999998</c:v>
                </c:pt>
                <c:pt idx="48">
                  <c:v>110.904</c:v>
                </c:pt>
                <c:pt idx="49">
                  <c:v>87.281000000000006</c:v>
                </c:pt>
                <c:pt idx="50" formatCode="General">
                  <c:v>100</c:v>
                </c:pt>
                <c:pt idx="51" formatCode="General">
                  <c:v>116.623</c:v>
                </c:pt>
              </c:numCache>
            </c:numRef>
          </c:val>
          <c:smooth val="0"/>
        </c:ser>
        <c:ser>
          <c:idx val="3"/>
          <c:order val="3"/>
          <c:tx>
            <c:v>Lubrifiants</c:v>
          </c:tx>
          <c:spPr>
            <a:ln w="12700">
              <a:solidFill>
                <a:srgbClr val="0000FF"/>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ZIA_quantites_physiques!$W$3:$W$54</c:f>
              <c:numCache>
                <c:formatCode>0.0</c:formatCode>
                <c:ptCount val="52"/>
                <c:pt idx="0">
                  <c:v>7.9960000000000004</c:v>
                </c:pt>
                <c:pt idx="1">
                  <c:v>8.2460000000000004</c:v>
                </c:pt>
                <c:pt idx="2">
                  <c:v>8.1780000000000008</c:v>
                </c:pt>
                <c:pt idx="3">
                  <c:v>8.2989999999999995</c:v>
                </c:pt>
                <c:pt idx="4">
                  <c:v>8.6029999999999998</c:v>
                </c:pt>
                <c:pt idx="5">
                  <c:v>8.6329999999999991</c:v>
                </c:pt>
                <c:pt idx="6">
                  <c:v>8.7469999999999999</c:v>
                </c:pt>
                <c:pt idx="7">
                  <c:v>8.9049999999999994</c:v>
                </c:pt>
                <c:pt idx="8">
                  <c:v>9.5229999999999997</c:v>
                </c:pt>
                <c:pt idx="9">
                  <c:v>10.315</c:v>
                </c:pt>
                <c:pt idx="10">
                  <c:v>10.462999999999999</c:v>
                </c:pt>
                <c:pt idx="11">
                  <c:v>11.226000000000001</c:v>
                </c:pt>
                <c:pt idx="12">
                  <c:v>11.597</c:v>
                </c:pt>
                <c:pt idx="13">
                  <c:v>12.061</c:v>
                </c:pt>
                <c:pt idx="14">
                  <c:v>13.218</c:v>
                </c:pt>
                <c:pt idx="15">
                  <c:v>14.606999999999999</c:v>
                </c:pt>
                <c:pt idx="16">
                  <c:v>15.776</c:v>
                </c:pt>
                <c:pt idx="17">
                  <c:v>18.221</c:v>
                </c:pt>
                <c:pt idx="18">
                  <c:v>20.236999999999998</c:v>
                </c:pt>
                <c:pt idx="19">
                  <c:v>23.803999999999998</c:v>
                </c:pt>
                <c:pt idx="20">
                  <c:v>29.495999999999999</c:v>
                </c:pt>
                <c:pt idx="21">
                  <c:v>34.917999999999999</c:v>
                </c:pt>
                <c:pt idx="22">
                  <c:v>39.247</c:v>
                </c:pt>
                <c:pt idx="23">
                  <c:v>44.354999999999997</c:v>
                </c:pt>
                <c:pt idx="24">
                  <c:v>47.655000000000001</c:v>
                </c:pt>
                <c:pt idx="25">
                  <c:v>51.093000000000004</c:v>
                </c:pt>
                <c:pt idx="26">
                  <c:v>53.768999999999998</c:v>
                </c:pt>
                <c:pt idx="27">
                  <c:v>55.71</c:v>
                </c:pt>
                <c:pt idx="28">
                  <c:v>58.804000000000002</c:v>
                </c:pt>
                <c:pt idx="29">
                  <c:v>60.822000000000003</c:v>
                </c:pt>
                <c:pt idx="30">
                  <c:v>64.938000000000002</c:v>
                </c:pt>
                <c:pt idx="31">
                  <c:v>70.671000000000006</c:v>
                </c:pt>
                <c:pt idx="32">
                  <c:v>74.069999999999993</c:v>
                </c:pt>
                <c:pt idx="33">
                  <c:v>76.807000000000002</c:v>
                </c:pt>
                <c:pt idx="34">
                  <c:v>78.724999999999994</c:v>
                </c:pt>
                <c:pt idx="35">
                  <c:v>80.349999999999994</c:v>
                </c:pt>
                <c:pt idx="36">
                  <c:v>81.915000000000006</c:v>
                </c:pt>
                <c:pt idx="37">
                  <c:v>81.668000000000006</c:v>
                </c:pt>
                <c:pt idx="38">
                  <c:v>80.930000000000007</c:v>
                </c:pt>
                <c:pt idx="39">
                  <c:v>80.66</c:v>
                </c:pt>
                <c:pt idx="40">
                  <c:v>81.245000000000005</c:v>
                </c:pt>
                <c:pt idx="41">
                  <c:v>82.397000000000006</c:v>
                </c:pt>
                <c:pt idx="42">
                  <c:v>82.869</c:v>
                </c:pt>
                <c:pt idx="43">
                  <c:v>82.545000000000002</c:v>
                </c:pt>
                <c:pt idx="44">
                  <c:v>82.435000000000002</c:v>
                </c:pt>
                <c:pt idx="45">
                  <c:v>83.994</c:v>
                </c:pt>
                <c:pt idx="46">
                  <c:v>87.088999999999999</c:v>
                </c:pt>
                <c:pt idx="47">
                  <c:v>90.197999999999993</c:v>
                </c:pt>
                <c:pt idx="48">
                  <c:v>93.968000000000004</c:v>
                </c:pt>
                <c:pt idx="49">
                  <c:v>98.093000000000004</c:v>
                </c:pt>
                <c:pt idx="50" formatCode="General">
                  <c:v>100</c:v>
                </c:pt>
                <c:pt idx="51" formatCode="General">
                  <c:v>104.158</c:v>
                </c:pt>
              </c:numCache>
            </c:numRef>
          </c:val>
          <c:smooth val="0"/>
        </c:ser>
        <c:ser>
          <c:idx val="4"/>
          <c:order val="4"/>
          <c:tx>
            <c:v>Ensemble carburants et lubrifiants</c:v>
          </c:tx>
          <c:spPr>
            <a:ln w="12700">
              <a:solidFill>
                <a:srgbClr val="808080"/>
              </a:solidFill>
              <a:prstDash val="lgDash"/>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ZIA_quantites_physiques!$X$3:$X$54</c:f>
              <c:numCache>
                <c:formatCode>#,##0.0</c:formatCode>
                <c:ptCount val="52"/>
                <c:pt idx="0">
                  <c:v>9.609</c:v>
                </c:pt>
                <c:pt idx="1">
                  <c:v>9.641</c:v>
                </c:pt>
                <c:pt idx="2">
                  <c:v>9.6310000000000002</c:v>
                </c:pt>
                <c:pt idx="3">
                  <c:v>9.6449999999999996</c:v>
                </c:pt>
                <c:pt idx="4">
                  <c:v>9.65</c:v>
                </c:pt>
                <c:pt idx="5">
                  <c:v>9.5869999999999997</c:v>
                </c:pt>
                <c:pt idx="6">
                  <c:v>9.5990000000000002</c:v>
                </c:pt>
                <c:pt idx="7">
                  <c:v>9.7309999999999999</c:v>
                </c:pt>
                <c:pt idx="8">
                  <c:v>9.827</c:v>
                </c:pt>
                <c:pt idx="9">
                  <c:v>10.561</c:v>
                </c:pt>
                <c:pt idx="10">
                  <c:v>10.667</c:v>
                </c:pt>
                <c:pt idx="11">
                  <c:v>11.138999999999999</c:v>
                </c:pt>
                <c:pt idx="12">
                  <c:v>11.162000000000001</c:v>
                </c:pt>
                <c:pt idx="13">
                  <c:v>11.586</c:v>
                </c:pt>
                <c:pt idx="14">
                  <c:v>16.135999999999999</c:v>
                </c:pt>
                <c:pt idx="15">
                  <c:v>16.846</c:v>
                </c:pt>
                <c:pt idx="16">
                  <c:v>18.247</c:v>
                </c:pt>
                <c:pt idx="17">
                  <c:v>21.364999999999998</c:v>
                </c:pt>
                <c:pt idx="18">
                  <c:v>23.564</c:v>
                </c:pt>
                <c:pt idx="19">
                  <c:v>27.155000000000001</c:v>
                </c:pt>
                <c:pt idx="20">
                  <c:v>31.716999999999999</c:v>
                </c:pt>
                <c:pt idx="21">
                  <c:v>36.255000000000003</c:v>
                </c:pt>
                <c:pt idx="22">
                  <c:v>41.213000000000001</c:v>
                </c:pt>
                <c:pt idx="23">
                  <c:v>44.255000000000003</c:v>
                </c:pt>
                <c:pt idx="24">
                  <c:v>47.918999999999997</c:v>
                </c:pt>
                <c:pt idx="25">
                  <c:v>53.146000000000001</c:v>
                </c:pt>
                <c:pt idx="26">
                  <c:v>46.545999999999999</c:v>
                </c:pt>
                <c:pt idx="27">
                  <c:v>46.984999999999999</c:v>
                </c:pt>
                <c:pt idx="28">
                  <c:v>47.433</c:v>
                </c:pt>
                <c:pt idx="29">
                  <c:v>50.515000000000001</c:v>
                </c:pt>
                <c:pt idx="30">
                  <c:v>52.411000000000001</c:v>
                </c:pt>
                <c:pt idx="31">
                  <c:v>52.756999999999998</c:v>
                </c:pt>
                <c:pt idx="32">
                  <c:v>51.774000000000001</c:v>
                </c:pt>
                <c:pt idx="33">
                  <c:v>53.75</c:v>
                </c:pt>
                <c:pt idx="34">
                  <c:v>55.924999999999997</c:v>
                </c:pt>
                <c:pt idx="35">
                  <c:v>58.045000000000002</c:v>
                </c:pt>
                <c:pt idx="36">
                  <c:v>62.162999999999997</c:v>
                </c:pt>
                <c:pt idx="37">
                  <c:v>64.381</c:v>
                </c:pt>
                <c:pt idx="38">
                  <c:v>62.453000000000003</c:v>
                </c:pt>
                <c:pt idx="39">
                  <c:v>65.004999999999995</c:v>
                </c:pt>
                <c:pt idx="40">
                  <c:v>76.385999999999996</c:v>
                </c:pt>
                <c:pt idx="41">
                  <c:v>72.778999999999996</c:v>
                </c:pt>
                <c:pt idx="42">
                  <c:v>70.879000000000005</c:v>
                </c:pt>
                <c:pt idx="43">
                  <c:v>72.512</c:v>
                </c:pt>
                <c:pt idx="44">
                  <c:v>78.007000000000005</c:v>
                </c:pt>
                <c:pt idx="45">
                  <c:v>87.78</c:v>
                </c:pt>
                <c:pt idx="46">
                  <c:v>92.799000000000007</c:v>
                </c:pt>
                <c:pt idx="47">
                  <c:v>94.584999999999994</c:v>
                </c:pt>
                <c:pt idx="48">
                  <c:v>106.319</c:v>
                </c:pt>
                <c:pt idx="49">
                  <c:v>88.757000000000005</c:v>
                </c:pt>
                <c:pt idx="50">
                  <c:v>100</c:v>
                </c:pt>
                <c:pt idx="51">
                  <c:v>113.961</c:v>
                </c:pt>
              </c:numCache>
            </c:numRef>
          </c:val>
          <c:smooth val="0"/>
        </c:ser>
        <c:ser>
          <c:idx val="5"/>
          <c:order val="5"/>
          <c:tx>
            <c:v>Ensemble des prix à la consommation</c:v>
          </c:tx>
          <c:spPr>
            <a:ln w="38100">
              <a:solidFill>
                <a:srgbClr val="333333"/>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ZIA_quantites_physiques!$Y$3:$Y$54</c:f>
              <c:numCache>
                <c:formatCode>0.0</c:formatCode>
                <c:ptCount val="52"/>
                <c:pt idx="0">
                  <c:v>10.896000000000001</c:v>
                </c:pt>
                <c:pt idx="1">
                  <c:v>11.221</c:v>
                </c:pt>
                <c:pt idx="2">
                  <c:v>11.7</c:v>
                </c:pt>
                <c:pt idx="3">
                  <c:v>12.266</c:v>
                </c:pt>
                <c:pt idx="4">
                  <c:v>12.67</c:v>
                </c:pt>
                <c:pt idx="5">
                  <c:v>13.005000000000001</c:v>
                </c:pt>
                <c:pt idx="6">
                  <c:v>13.397</c:v>
                </c:pt>
                <c:pt idx="7">
                  <c:v>13.818</c:v>
                </c:pt>
                <c:pt idx="8">
                  <c:v>14.513999999999999</c:v>
                </c:pt>
                <c:pt idx="9">
                  <c:v>15.544</c:v>
                </c:pt>
                <c:pt idx="10">
                  <c:v>16.324000000000002</c:v>
                </c:pt>
                <c:pt idx="11">
                  <c:v>17.247</c:v>
                </c:pt>
                <c:pt idx="12">
                  <c:v>18.257999999999999</c:v>
                </c:pt>
                <c:pt idx="13">
                  <c:v>19.585999999999999</c:v>
                </c:pt>
                <c:pt idx="14">
                  <c:v>22.402999999999999</c:v>
                </c:pt>
                <c:pt idx="15">
                  <c:v>25.015000000000001</c:v>
                </c:pt>
                <c:pt idx="16">
                  <c:v>27.425999999999998</c:v>
                </c:pt>
                <c:pt idx="17">
                  <c:v>29.984999999999999</c:v>
                </c:pt>
                <c:pt idx="18">
                  <c:v>32.594999999999999</c:v>
                </c:pt>
                <c:pt idx="19">
                  <c:v>36.158000000000001</c:v>
                </c:pt>
                <c:pt idx="20">
                  <c:v>40.881999999999998</c:v>
                </c:pt>
                <c:pt idx="21">
                  <c:v>46.457000000000001</c:v>
                </c:pt>
                <c:pt idx="22">
                  <c:v>51.936999999999998</c:v>
                </c:pt>
                <c:pt idx="23">
                  <c:v>56.901000000000003</c:v>
                </c:pt>
                <c:pt idx="24">
                  <c:v>61.4</c:v>
                </c:pt>
                <c:pt idx="25">
                  <c:v>65.204999999999998</c:v>
                </c:pt>
                <c:pt idx="26">
                  <c:v>66.965000000000003</c:v>
                </c:pt>
                <c:pt idx="27">
                  <c:v>68.972999999999999</c:v>
                </c:pt>
                <c:pt idx="28">
                  <c:v>70.828999999999994</c:v>
                </c:pt>
                <c:pt idx="29">
                  <c:v>73.545000000000002</c:v>
                </c:pt>
                <c:pt idx="30">
                  <c:v>75.656999999999996</c:v>
                </c:pt>
                <c:pt idx="31">
                  <c:v>77.724000000000004</c:v>
                </c:pt>
                <c:pt idx="32">
                  <c:v>79.724000000000004</c:v>
                </c:pt>
                <c:pt idx="33">
                  <c:v>80.921000000000006</c:v>
                </c:pt>
                <c:pt idx="34">
                  <c:v>81.671999999999997</c:v>
                </c:pt>
                <c:pt idx="35">
                  <c:v>82.421999999999997</c:v>
                </c:pt>
                <c:pt idx="36">
                  <c:v>83.700999999999993</c:v>
                </c:pt>
                <c:pt idx="37">
                  <c:v>84.346999999999994</c:v>
                </c:pt>
                <c:pt idx="38">
                  <c:v>84.512</c:v>
                </c:pt>
                <c:pt idx="39">
                  <c:v>84.08</c:v>
                </c:pt>
                <c:pt idx="40">
                  <c:v>85.995999999999995</c:v>
                </c:pt>
                <c:pt idx="41">
                  <c:v>87.646000000000001</c:v>
                </c:pt>
                <c:pt idx="42">
                  <c:v>88.563000000000002</c:v>
                </c:pt>
                <c:pt idx="43">
                  <c:v>90.028000000000006</c:v>
                </c:pt>
                <c:pt idx="44">
                  <c:v>91.915999999999997</c:v>
                </c:pt>
                <c:pt idx="45">
                  <c:v>93.584000000000003</c:v>
                </c:pt>
                <c:pt idx="46">
                  <c:v>95.564999999999998</c:v>
                </c:pt>
                <c:pt idx="47">
                  <c:v>97.594999999999999</c:v>
                </c:pt>
                <c:pt idx="48">
                  <c:v>100.32599999999999</c:v>
                </c:pt>
                <c:pt idx="49">
                  <c:v>98.83</c:v>
                </c:pt>
                <c:pt idx="50" formatCode="General">
                  <c:v>100</c:v>
                </c:pt>
                <c:pt idx="51" formatCode="General">
                  <c:v>101.81699999999999</c:v>
                </c:pt>
              </c:numCache>
            </c:numRef>
          </c:val>
          <c:smooth val="0"/>
        </c:ser>
        <c:dLbls>
          <c:showLegendKey val="0"/>
          <c:showVal val="0"/>
          <c:showCatName val="0"/>
          <c:showSerName val="0"/>
          <c:showPercent val="0"/>
          <c:showBubbleSize val="0"/>
        </c:dLbls>
        <c:marker val="1"/>
        <c:smooth val="0"/>
        <c:axId val="212968576"/>
        <c:axId val="212970112"/>
      </c:lineChart>
      <c:catAx>
        <c:axId val="212968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675" b="0" i="0" u="none" strike="noStrike" baseline="0">
                <a:solidFill>
                  <a:srgbClr val="000000"/>
                </a:solidFill>
                <a:latin typeface="Arial"/>
                <a:ea typeface="Arial"/>
                <a:cs typeface="Arial"/>
              </a:defRPr>
            </a:pPr>
            <a:endParaRPr lang="fr-FR"/>
          </a:p>
        </c:txPr>
        <c:crossAx val="212970112"/>
        <c:crosses val="autoZero"/>
        <c:auto val="1"/>
        <c:lblAlgn val="ctr"/>
        <c:lblOffset val="100"/>
        <c:tickLblSkip val="1"/>
        <c:tickMarkSkip val="1"/>
        <c:noMultiLvlLbl val="0"/>
      </c:catAx>
      <c:valAx>
        <c:axId val="212970112"/>
        <c:scaling>
          <c:orientation val="minMax"/>
          <c:max val="140"/>
        </c:scaling>
        <c:delete val="0"/>
        <c:axPos val="l"/>
        <c:majorGridlines>
          <c:spPr>
            <a:ln w="3175">
              <a:solidFill>
                <a:srgbClr val="808080"/>
              </a:solidFill>
              <a:prstDash val="sysDash"/>
            </a:ln>
          </c:spPr>
        </c:majorGridlines>
        <c:title>
          <c:tx>
            <c:rich>
              <a:bodyPr rot="0" vert="horz"/>
              <a:lstStyle/>
              <a:p>
                <a:pPr algn="ctr">
                  <a:defRPr sz="900" b="0" i="0" u="none" strike="noStrike" baseline="0">
                    <a:solidFill>
                      <a:srgbClr val="000000"/>
                    </a:solidFill>
                    <a:latin typeface="Arial"/>
                    <a:ea typeface="Arial"/>
                    <a:cs typeface="Arial"/>
                  </a:defRPr>
                </a:pPr>
                <a:r>
                  <a:rPr lang="fr-FR"/>
                  <a:t>Base 100
en 2010</a:t>
                </a:r>
              </a:p>
            </c:rich>
          </c:tx>
          <c:layout>
            <c:manualLayout>
              <c:xMode val="edge"/>
              <c:yMode val="edge"/>
              <c:x val="7.5062335958005254E-3"/>
              <c:y val="1.4864937835553019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212968576"/>
        <c:crosses val="autoZero"/>
        <c:crossBetween val="between"/>
        <c:majorUnit val="10"/>
      </c:valAx>
      <c:spPr>
        <a:noFill/>
        <a:ln w="12700">
          <a:solidFill>
            <a:srgbClr val="808080"/>
          </a:solidFill>
          <a:prstDash val="solid"/>
        </a:ln>
      </c:spPr>
    </c:plotArea>
    <c:legend>
      <c:legendPos val="r"/>
      <c:layout>
        <c:manualLayout>
          <c:xMode val="edge"/>
          <c:yMode val="edge"/>
          <c:x val="0.51458333333333328"/>
          <c:y val="0"/>
          <c:w val="0.48333333333333328"/>
          <c:h val="8.0944350758853284E-2"/>
        </c:manualLayout>
      </c:layout>
      <c:overlay val="0"/>
      <c:spPr>
        <a:no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Evolutions des prix réels de la consommation </a:t>
            </a:r>
          </a:p>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de carburant des ménages entre 1960 et 2011</a:t>
            </a:r>
          </a:p>
          <a:p>
            <a:pPr>
              <a:defRPr sz="1000" b="0" i="0" u="none" strike="noStrike" baseline="0">
                <a:solidFill>
                  <a:srgbClr val="000000"/>
                </a:solidFill>
                <a:latin typeface="Arial"/>
                <a:ea typeface="Arial"/>
                <a:cs typeface="Arial"/>
              </a:defRPr>
            </a:pPr>
            <a:r>
              <a:rPr lang="fr-FR" sz="800" b="0" i="0" u="none" strike="noStrike" baseline="0">
                <a:solidFill>
                  <a:srgbClr val="000000"/>
                </a:solidFill>
                <a:latin typeface="Arial"/>
                <a:cs typeface="Arial"/>
              </a:rPr>
              <a:t>Source: INSEE</a:t>
            </a:r>
          </a:p>
        </c:rich>
      </c:tx>
      <c:layout>
        <c:manualLayout>
          <c:xMode val="edge"/>
          <c:yMode val="edge"/>
          <c:x val="0.1284403980752406"/>
          <c:y val="0"/>
        </c:manualLayout>
      </c:layout>
      <c:overlay val="0"/>
      <c:spPr>
        <a:noFill/>
        <a:ln w="25400">
          <a:noFill/>
        </a:ln>
      </c:spPr>
    </c:title>
    <c:autoTitleDeleted val="0"/>
    <c:plotArea>
      <c:layout>
        <c:manualLayout>
          <c:layoutTarget val="inner"/>
          <c:xMode val="edge"/>
          <c:yMode val="edge"/>
          <c:x val="5.6713928273561288E-2"/>
          <c:y val="0.14054054054054055"/>
          <c:w val="0.94328607172643864"/>
          <c:h val="0.81351351351351353"/>
        </c:manualLayout>
      </c:layout>
      <c:lineChart>
        <c:grouping val="standard"/>
        <c:varyColors val="0"/>
        <c:ser>
          <c:idx val="0"/>
          <c:order val="0"/>
          <c:tx>
            <c:v>Carburants plombés</c:v>
          </c:tx>
          <c:spPr>
            <a:ln w="25400">
              <a:solidFill>
                <a:srgbClr val="FF6600"/>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ZIA_quantites_physiques!$Z$3:$Z$50</c:f>
              <c:numCache>
                <c:formatCode>0.00</c:formatCode>
                <c:ptCount val="48"/>
                <c:pt idx="0">
                  <c:v>0.8855543318649044</c:v>
                </c:pt>
                <c:pt idx="1">
                  <c:v>0.86044024596738256</c:v>
                </c:pt>
                <c:pt idx="2">
                  <c:v>0.82504273504273518</c:v>
                </c:pt>
                <c:pt idx="3">
                  <c:v>0.7872166965595957</c:v>
                </c:pt>
                <c:pt idx="4">
                  <c:v>0.76014206787687455</c:v>
                </c:pt>
                <c:pt idx="5">
                  <c:v>0.73525567089580923</c:v>
                </c:pt>
                <c:pt idx="6">
                  <c:v>0.71389116966485033</c:v>
                </c:pt>
                <c:pt idx="7">
                  <c:v>0.70147633521493702</c:v>
                </c:pt>
                <c:pt idx="8">
                  <c:v>0.67176519222819353</c:v>
                </c:pt>
                <c:pt idx="9">
                  <c:v>0.67408646423057128</c:v>
                </c:pt>
                <c:pt idx="10">
                  <c:v>0.6480641999509924</c:v>
                </c:pt>
                <c:pt idx="11">
                  <c:v>0.63918362613787905</c:v>
                </c:pt>
                <c:pt idx="12">
                  <c:v>0.60379011939971516</c:v>
                </c:pt>
                <c:pt idx="13">
                  <c:v>0.58424384764627801</c:v>
                </c:pt>
                <c:pt idx="14">
                  <c:v>0.72066241128420305</c:v>
                </c:pt>
                <c:pt idx="15">
                  <c:v>0.67187687387567452</c:v>
                </c:pt>
                <c:pt idx="16">
                  <c:v>0.66367680303361787</c:v>
                </c:pt>
                <c:pt idx="17">
                  <c:v>0.71205602801400703</c:v>
                </c:pt>
                <c:pt idx="18">
                  <c:v>0.72225801503298059</c:v>
                </c:pt>
                <c:pt idx="19">
                  <c:v>0.74818850600143816</c:v>
                </c:pt>
                <c:pt idx="20">
                  <c:v>0.76901814979697669</c:v>
                </c:pt>
                <c:pt idx="21">
                  <c:v>0.77088490432012402</c:v>
                </c:pt>
                <c:pt idx="22">
                  <c:v>0.78329514604232053</c:v>
                </c:pt>
                <c:pt idx="23">
                  <c:v>0.76522380977487214</c:v>
                </c:pt>
                <c:pt idx="24">
                  <c:v>0.7683061889250814</c:v>
                </c:pt>
                <c:pt idx="25">
                  <c:v>0.80110420979986197</c:v>
                </c:pt>
                <c:pt idx="26">
                  <c:v>0.68101246920032843</c:v>
                </c:pt>
                <c:pt idx="27">
                  <c:v>0.66852246531251358</c:v>
                </c:pt>
                <c:pt idx="28">
                  <c:v>0.65690606954778419</c:v>
                </c:pt>
                <c:pt idx="29">
                  <c:v>0.67574954109728735</c:v>
                </c:pt>
                <c:pt idx="30">
                  <c:v>0.67840384894986583</c:v>
                </c:pt>
                <c:pt idx="31">
                  <c:v>0.66458236838042306</c:v>
                </c:pt>
                <c:pt idx="32">
                  <c:v>0.63599417992072649</c:v>
                </c:pt>
                <c:pt idx="33">
                  <c:v>0.64916399945625969</c:v>
                </c:pt>
                <c:pt idx="34">
                  <c:v>0.66568713879909891</c:v>
                </c:pt>
                <c:pt idx="35">
                  <c:v>0.68780180049016038</c:v>
                </c:pt>
                <c:pt idx="36">
                  <c:v>0.71876082723026014</c:v>
                </c:pt>
                <c:pt idx="37">
                  <c:v>0.74014487770756521</c:v>
                </c:pt>
                <c:pt idx="38">
                  <c:v>0.72318723968193865</c:v>
                </c:pt>
                <c:pt idx="39">
                  <c:v>0.75638677450047576</c:v>
                </c:pt>
                <c:pt idx="40">
                  <c:v>0.86480766547281274</c:v>
                </c:pt>
                <c:pt idx="41">
                  <c:v>0.81385345594779002</c:v>
                </c:pt>
                <c:pt idx="42">
                  <c:v>0.78658130370470747</c:v>
                </c:pt>
                <c:pt idx="43">
                  <c:v>0.78462256186964052</c:v>
                </c:pt>
                <c:pt idx="44">
                  <c:v>0.80573567170024807</c:v>
                </c:pt>
                <c:pt idx="45">
                  <c:v>0.86875961702855198</c:v>
                </c:pt>
                <c:pt idx="46">
                  <c:v>0.93397164233767593</c:v>
                </c:pt>
                <c:pt idx="47">
                  <c:v>0.97074645217480404</c:v>
                </c:pt>
              </c:numCache>
            </c:numRef>
          </c:val>
          <c:smooth val="0"/>
        </c:ser>
        <c:ser>
          <c:idx val="2"/>
          <c:order val="1"/>
          <c:tx>
            <c:v>Gazole</c:v>
          </c:tx>
          <c:spPr>
            <a:ln w="25400">
              <a:solidFill>
                <a:srgbClr val="808080"/>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ZIA_quantites_physiques!$AB$3:$AB$54</c:f>
              <c:numCache>
                <c:formatCode>0.00</c:formatCode>
                <c:ptCount val="52"/>
                <c:pt idx="0">
                  <c:v>0.76514317180616731</c:v>
                </c:pt>
                <c:pt idx="1">
                  <c:v>0.74164512966758744</c:v>
                </c:pt>
                <c:pt idx="2">
                  <c:v>0.70752136752136763</c:v>
                </c:pt>
                <c:pt idx="3">
                  <c:v>0.67259090167943913</c:v>
                </c:pt>
                <c:pt idx="4">
                  <c:v>0.64380426203630625</c:v>
                </c:pt>
                <c:pt idx="5">
                  <c:v>0.6169934640522875</c:v>
                </c:pt>
                <c:pt idx="6">
                  <c:v>0.5992386355154139</c:v>
                </c:pt>
                <c:pt idx="7">
                  <c:v>0.58546822984512958</c:v>
                </c:pt>
                <c:pt idx="8">
                  <c:v>0.56256028661981528</c:v>
                </c:pt>
                <c:pt idx="9">
                  <c:v>0.5375707668553783</c:v>
                </c:pt>
                <c:pt idx="10">
                  <c:v>0.52223719676549862</c:v>
                </c:pt>
                <c:pt idx="11">
                  <c:v>0.53041108598596853</c:v>
                </c:pt>
                <c:pt idx="12">
                  <c:v>0.50498411655164865</c:v>
                </c:pt>
                <c:pt idx="13">
                  <c:v>0.48493822117839275</c:v>
                </c:pt>
                <c:pt idx="14">
                  <c:v>0.56599562558585903</c:v>
                </c:pt>
                <c:pt idx="15">
                  <c:v>0.54131521087347589</c:v>
                </c:pt>
                <c:pt idx="16">
                  <c:v>0.54360825494056741</c:v>
                </c:pt>
                <c:pt idx="17">
                  <c:v>0.54740703685175929</c:v>
                </c:pt>
                <c:pt idx="18">
                  <c:v>0.55474766068415404</c:v>
                </c:pt>
                <c:pt idx="19">
                  <c:v>0.61836937883732512</c:v>
                </c:pt>
                <c:pt idx="20">
                  <c:v>0.68093537498165457</c:v>
                </c:pt>
                <c:pt idx="21">
                  <c:v>0.71296037195686335</c:v>
                </c:pt>
                <c:pt idx="22">
                  <c:v>0.74097464235516108</c:v>
                </c:pt>
                <c:pt idx="23">
                  <c:v>0.73670058522697301</c:v>
                </c:pt>
                <c:pt idx="24">
                  <c:v>0.73693811074918569</c:v>
                </c:pt>
                <c:pt idx="25">
                  <c:v>0.79976995629169545</c:v>
                </c:pt>
                <c:pt idx="26">
                  <c:v>0.63837825729858877</c:v>
                </c:pt>
                <c:pt idx="27">
                  <c:v>0.60496136169225634</c:v>
                </c:pt>
                <c:pt idx="28">
                  <c:v>0.58254387327224733</c:v>
                </c:pt>
                <c:pt idx="29">
                  <c:v>0.59144741314841254</c:v>
                </c:pt>
                <c:pt idx="30">
                  <c:v>0.60811293072683303</c:v>
                </c:pt>
                <c:pt idx="31">
                  <c:v>0.60021357624414595</c:v>
                </c:pt>
                <c:pt idx="32">
                  <c:v>0.56412121820279959</c:v>
                </c:pt>
                <c:pt idx="33">
                  <c:v>0.58799322796307507</c:v>
                </c:pt>
                <c:pt idx="34">
                  <c:v>0.61696787148594379</c:v>
                </c:pt>
                <c:pt idx="35">
                  <c:v>0.61189973550751009</c:v>
                </c:pt>
                <c:pt idx="36">
                  <c:v>0.66962162937121428</c:v>
                </c:pt>
                <c:pt idx="37">
                  <c:v>0.68998304622571049</c:v>
                </c:pt>
                <c:pt idx="38">
                  <c:v>0.65491291177584243</c:v>
                </c:pt>
                <c:pt idx="39">
                  <c:v>0.69917935299714562</c:v>
                </c:pt>
                <c:pt idx="40">
                  <c:v>0.84629517651983821</c:v>
                </c:pt>
                <c:pt idx="41">
                  <c:v>0.78357255322547525</c:v>
                </c:pt>
                <c:pt idx="42">
                  <c:v>0.74870995788308892</c:v>
                </c:pt>
                <c:pt idx="43">
                  <c:v>0.76315146398898115</c:v>
                </c:pt>
                <c:pt idx="44">
                  <c:v>0.83150920405587714</c:v>
                </c:pt>
                <c:pt idx="45">
                  <c:v>0.95057915883056932</c:v>
                </c:pt>
                <c:pt idx="46">
                  <c:v>0.98042170250614769</c:v>
                </c:pt>
                <c:pt idx="47">
                  <c:v>0.97041856652492442</c:v>
                </c:pt>
                <c:pt idx="48">
                  <c:v>1.1054362777345852</c:v>
                </c:pt>
                <c:pt idx="49">
                  <c:v>0.88314277041384204</c:v>
                </c:pt>
                <c:pt idx="50">
                  <c:v>1</c:v>
                </c:pt>
                <c:pt idx="51">
                  <c:v>1.1454177593132779</c:v>
                </c:pt>
              </c:numCache>
            </c:numRef>
          </c:val>
          <c:smooth val="0"/>
        </c:ser>
        <c:ser>
          <c:idx val="3"/>
          <c:order val="2"/>
          <c:tx>
            <c:v>Lubrifiants</c:v>
          </c:tx>
          <c:spPr>
            <a:ln w="12700">
              <a:solidFill>
                <a:srgbClr val="0000FF"/>
              </a:solidFill>
              <a:prstDash val="solid"/>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ZIA_quantites_physiques!$AC$3:$AC$54</c:f>
              <c:numCache>
                <c:formatCode>0.00</c:formatCode>
                <c:ptCount val="52"/>
                <c:pt idx="0">
                  <c:v>0.73384728340675476</c:v>
                </c:pt>
                <c:pt idx="1">
                  <c:v>0.73487211478477854</c:v>
                </c:pt>
                <c:pt idx="2">
                  <c:v>0.69897435897435911</c:v>
                </c:pt>
                <c:pt idx="3">
                  <c:v>0.67658568400456542</c:v>
                </c:pt>
                <c:pt idx="4">
                  <c:v>0.67900552486187848</c:v>
                </c:pt>
                <c:pt idx="5">
                  <c:v>0.66382160707420212</c:v>
                </c:pt>
                <c:pt idx="6">
                  <c:v>0.65290736732104204</c:v>
                </c:pt>
                <c:pt idx="7">
                  <c:v>0.64444926906932987</c:v>
                </c:pt>
                <c:pt idx="8">
                  <c:v>0.65612512057323968</c:v>
                </c:pt>
                <c:pt idx="9">
                  <c:v>0.66360010293360772</c:v>
                </c:pt>
                <c:pt idx="10">
                  <c:v>0.64095809850526819</c:v>
                </c:pt>
                <c:pt idx="11">
                  <c:v>0.65089580796660296</c:v>
                </c:pt>
                <c:pt idx="12">
                  <c:v>0.63517362252163434</c:v>
                </c:pt>
                <c:pt idx="13">
                  <c:v>0.61579699785561115</c:v>
                </c:pt>
                <c:pt idx="14">
                  <c:v>0.59001026648216759</c:v>
                </c:pt>
                <c:pt idx="15">
                  <c:v>0.58392964221467114</c:v>
                </c:pt>
                <c:pt idx="16">
                  <c:v>0.57522059359731648</c:v>
                </c:pt>
                <c:pt idx="17">
                  <c:v>0.60767050191762551</c:v>
                </c:pt>
                <c:pt idx="18">
                  <c:v>0.62086209541340698</c:v>
                </c:pt>
                <c:pt idx="19">
                  <c:v>0.65833287239338456</c:v>
                </c:pt>
                <c:pt idx="20">
                  <c:v>0.72149112078665423</c:v>
                </c:pt>
                <c:pt idx="21">
                  <c:v>0.75161977742858987</c:v>
                </c:pt>
                <c:pt idx="22">
                  <c:v>0.75566551783892022</c:v>
                </c:pt>
                <c:pt idx="23">
                  <c:v>0.77951178362418927</c:v>
                </c:pt>
                <c:pt idx="24">
                  <c:v>0.77614006514657985</c:v>
                </c:pt>
                <c:pt idx="25">
                  <c:v>0.78357487922705327</c:v>
                </c:pt>
                <c:pt idx="26">
                  <c:v>0.80294183528709018</c:v>
                </c:pt>
                <c:pt idx="27">
                  <c:v>0.80770736375103303</c:v>
                </c:pt>
                <c:pt idx="28">
                  <c:v>0.83022490787671732</c:v>
                </c:pt>
                <c:pt idx="29">
                  <c:v>0.82700387517846219</c:v>
                </c:pt>
                <c:pt idx="30">
                  <c:v>0.85832110710178844</c:v>
                </c:pt>
                <c:pt idx="31">
                  <c:v>0.90925582831557827</c:v>
                </c:pt>
                <c:pt idx="32">
                  <c:v>0.92908032712859356</c:v>
                </c:pt>
                <c:pt idx="33">
                  <c:v>0.94916029213677533</c:v>
                </c:pt>
                <c:pt idx="34">
                  <c:v>0.96391664217846995</c:v>
                </c:pt>
                <c:pt idx="35">
                  <c:v>0.97486108077940348</c:v>
                </c:pt>
                <c:pt idx="36">
                  <c:v>0.97866214262673101</c:v>
                </c:pt>
                <c:pt idx="37">
                  <c:v>0.96823834872609593</c:v>
                </c:pt>
                <c:pt idx="38">
                  <c:v>0.95761548655812201</c:v>
                </c:pt>
                <c:pt idx="39">
                  <c:v>0.95932445290199808</c:v>
                </c:pt>
                <c:pt idx="40">
                  <c:v>0.94475324433694596</c:v>
                </c:pt>
                <c:pt idx="41">
                  <c:v>0.94011135704995097</c:v>
                </c:pt>
                <c:pt idx="42">
                  <c:v>0.93570678500050808</c:v>
                </c:pt>
                <c:pt idx="43">
                  <c:v>0.91688141467099116</c:v>
                </c:pt>
                <c:pt idx="44">
                  <c:v>0.89685147308412039</c:v>
                </c:pt>
                <c:pt idx="45">
                  <c:v>0.89752521798598051</c:v>
                </c:pt>
                <c:pt idx="46">
                  <c:v>0.91130644064249466</c:v>
                </c:pt>
                <c:pt idx="47">
                  <c:v>0.92420718274501756</c:v>
                </c:pt>
                <c:pt idx="48">
                  <c:v>0.93662659729282549</c:v>
                </c:pt>
                <c:pt idx="49">
                  <c:v>0.99254275017707183</c:v>
                </c:pt>
                <c:pt idx="50">
                  <c:v>1</c:v>
                </c:pt>
                <c:pt idx="51">
                  <c:v>1.0229922311598261</c:v>
                </c:pt>
              </c:numCache>
            </c:numRef>
          </c:val>
          <c:smooth val="0"/>
        </c:ser>
        <c:ser>
          <c:idx val="4"/>
          <c:order val="3"/>
          <c:tx>
            <c:v>Ensemble carburants et lubrifiants</c:v>
          </c:tx>
          <c:spPr>
            <a:ln w="25400">
              <a:solidFill>
                <a:srgbClr val="333333"/>
              </a:solidFill>
              <a:prstDash val="lgDash"/>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ZIA_quantites_physiques!$AD$3:$AD$54</c:f>
              <c:numCache>
                <c:formatCode>0.00</c:formatCode>
                <c:ptCount val="52"/>
                <c:pt idx="0">
                  <c:v>0.8818832599118942</c:v>
                </c:pt>
                <c:pt idx="1">
                  <c:v>0.85919258533107568</c:v>
                </c:pt>
                <c:pt idx="2">
                  <c:v>0.82316239316239326</c:v>
                </c:pt>
                <c:pt idx="3">
                  <c:v>0.78631990869068968</c:v>
                </c:pt>
                <c:pt idx="4">
                  <c:v>0.76164167324388321</c:v>
                </c:pt>
                <c:pt idx="5">
                  <c:v>0.73717800845828518</c:v>
                </c:pt>
                <c:pt idx="6">
                  <c:v>0.71650369485705756</c:v>
                </c:pt>
                <c:pt idx="7">
                  <c:v>0.70422637139962374</c:v>
                </c:pt>
                <c:pt idx="8">
                  <c:v>0.67707041477194441</c:v>
                </c:pt>
                <c:pt idx="9">
                  <c:v>0.67942614513638699</c:v>
                </c:pt>
                <c:pt idx="10">
                  <c:v>0.6534550355305071</c:v>
                </c:pt>
                <c:pt idx="11">
                  <c:v>0.64585145242650888</c:v>
                </c:pt>
                <c:pt idx="12">
                  <c:v>0.61134844999452298</c:v>
                </c:pt>
                <c:pt idx="13">
                  <c:v>0.59154498110895548</c:v>
                </c:pt>
                <c:pt idx="14">
                  <c:v>0.72026067937329818</c:v>
                </c:pt>
                <c:pt idx="15">
                  <c:v>0.67343593843693783</c:v>
                </c:pt>
                <c:pt idx="16">
                  <c:v>0.66531758185663248</c:v>
                </c:pt>
                <c:pt idx="17">
                  <c:v>0.71252292813073204</c:v>
                </c:pt>
                <c:pt idx="18">
                  <c:v>0.72293296517870842</c:v>
                </c:pt>
                <c:pt idx="19">
                  <c:v>0.75100945848774825</c:v>
                </c:pt>
                <c:pt idx="20">
                  <c:v>0.77581820850251948</c:v>
                </c:pt>
                <c:pt idx="21">
                  <c:v>0.78039907871795433</c:v>
                </c:pt>
                <c:pt idx="22">
                  <c:v>0.79351907118239406</c:v>
                </c:pt>
                <c:pt idx="23">
                  <c:v>0.7777543452663398</c:v>
                </c:pt>
                <c:pt idx="24">
                  <c:v>0.78043973941368072</c:v>
                </c:pt>
                <c:pt idx="25">
                  <c:v>0.81506019477033975</c:v>
                </c:pt>
                <c:pt idx="26">
                  <c:v>0.69507951915179567</c:v>
                </c:pt>
                <c:pt idx="27">
                  <c:v>0.68120858886810787</c:v>
                </c:pt>
                <c:pt idx="28">
                  <c:v>0.66968332180321621</c:v>
                </c:pt>
                <c:pt idx="29">
                  <c:v>0.68685838602216331</c:v>
                </c:pt>
                <c:pt idx="30">
                  <c:v>0.69274488811345947</c:v>
                </c:pt>
                <c:pt idx="31">
                  <c:v>0.67877360918120522</c:v>
                </c:pt>
                <c:pt idx="32">
                  <c:v>0.64941548341779132</c:v>
                </c:pt>
                <c:pt idx="33">
                  <c:v>0.66422807429468245</c:v>
                </c:pt>
                <c:pt idx="34">
                  <c:v>0.6847511999216378</c:v>
                </c:pt>
                <c:pt idx="35">
                  <c:v>0.70424158598432463</c:v>
                </c:pt>
                <c:pt idx="36">
                  <c:v>0.74267929893310713</c:v>
                </c:pt>
                <c:pt idx="37">
                  <c:v>0.76328737240210087</c:v>
                </c:pt>
                <c:pt idx="38">
                  <c:v>0.73898381294964033</c:v>
                </c:pt>
                <c:pt idx="39">
                  <c:v>0.77313273073263555</c:v>
                </c:pt>
                <c:pt idx="40">
                  <c:v>0.88825061630773527</c:v>
                </c:pt>
                <c:pt idx="41">
                  <c:v>0.8303744608995276</c:v>
                </c:pt>
                <c:pt idx="42">
                  <c:v>0.80032293395661847</c:v>
                </c:pt>
                <c:pt idx="43">
                  <c:v>0.80543830808193007</c:v>
                </c:pt>
                <c:pt idx="44">
                  <c:v>0.84867705296139961</c:v>
                </c:pt>
                <c:pt idx="45">
                  <c:v>0.93798085142759446</c:v>
                </c:pt>
                <c:pt idx="46">
                  <c:v>0.97105634908177685</c:v>
                </c:pt>
                <c:pt idx="47">
                  <c:v>0.96915825605819961</c:v>
                </c:pt>
                <c:pt idx="48">
                  <c:v>1.0597352630424817</c:v>
                </c:pt>
                <c:pt idx="49">
                  <c:v>0.89807750682991005</c:v>
                </c:pt>
                <c:pt idx="50">
                  <c:v>1</c:v>
                </c:pt>
                <c:pt idx="51">
                  <c:v>1.1192728129880078</c:v>
                </c:pt>
              </c:numCache>
            </c:numRef>
          </c:val>
          <c:smooth val="0"/>
        </c:ser>
        <c:ser>
          <c:idx val="1"/>
          <c:order val="4"/>
          <c:tx>
            <c:v>Carburants sans plomb</c:v>
          </c:tx>
          <c:spPr>
            <a:ln w="12700">
              <a:solidFill>
                <a:srgbClr val="333333"/>
              </a:solidFill>
              <a:prstDash val="sysDash"/>
            </a:ln>
          </c:spPr>
          <c:marker>
            <c:symbol val="none"/>
          </c:marker>
          <c:cat>
            <c:numRef>
              <c:f>ZIA_quantites_physiques!$A$3:$A$54</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cat>
          <c:val>
            <c:numRef>
              <c:f>ZIA_quantites_physiques!$AA$3:$AA$54</c:f>
              <c:numCache>
                <c:formatCode>0.00</c:formatCode>
                <c:ptCount val="52"/>
                <c:pt idx="29">
                  <c:v>0.74648174586987559</c:v>
                </c:pt>
                <c:pt idx="30">
                  <c:v>0.74940851474417436</c:v>
                </c:pt>
                <c:pt idx="31">
                  <c:v>0.71648396891565025</c:v>
                </c:pt>
                <c:pt idx="32">
                  <c:v>0.68308163162912039</c:v>
                </c:pt>
                <c:pt idx="33">
                  <c:v>0.6931698817365084</c:v>
                </c:pt>
                <c:pt idx="34">
                  <c:v>0.71356156332647669</c:v>
                </c:pt>
                <c:pt idx="35">
                  <c:v>0.74956928975273596</c:v>
                </c:pt>
                <c:pt idx="36">
                  <c:v>0.78371823514653349</c:v>
                </c:pt>
                <c:pt idx="37">
                  <c:v>0.80716563718923018</c:v>
                </c:pt>
                <c:pt idx="38">
                  <c:v>0.78543875425975018</c:v>
                </c:pt>
                <c:pt idx="39">
                  <c:v>0.81529495718363465</c:v>
                </c:pt>
                <c:pt idx="40">
                  <c:v>0.9205195590492582</c:v>
                </c:pt>
                <c:pt idx="41">
                  <c:v>0.86024462040481031</c:v>
                </c:pt>
                <c:pt idx="42">
                  <c:v>0.83141944152750014</c:v>
                </c:pt>
                <c:pt idx="43">
                  <c:v>0.83116363797929527</c:v>
                </c:pt>
                <c:pt idx="44">
                  <c:v>0.85818573480134042</c:v>
                </c:pt>
                <c:pt idx="45">
                  <c:v>0.92709223798939977</c:v>
                </c:pt>
                <c:pt idx="46">
                  <c:v>0.9648616125150421</c:v>
                </c:pt>
                <c:pt idx="47">
                  <c:v>0.97074645217480404</c:v>
                </c:pt>
                <c:pt idx="48">
                  <c:v>1.0126986025556686</c:v>
                </c:pt>
                <c:pt idx="49">
                  <c:v>0.91035110796316909</c:v>
                </c:pt>
                <c:pt idx="50">
                  <c:v>1</c:v>
                </c:pt>
                <c:pt idx="51">
                  <c:v>1.0897688991032932</c:v>
                </c:pt>
              </c:numCache>
            </c:numRef>
          </c:val>
          <c:smooth val="0"/>
        </c:ser>
        <c:dLbls>
          <c:showLegendKey val="0"/>
          <c:showVal val="0"/>
          <c:showCatName val="0"/>
          <c:showSerName val="0"/>
          <c:showPercent val="0"/>
          <c:showBubbleSize val="0"/>
        </c:dLbls>
        <c:marker val="1"/>
        <c:smooth val="0"/>
        <c:axId val="213478784"/>
        <c:axId val="213484672"/>
      </c:lineChart>
      <c:catAx>
        <c:axId val="21347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213484672"/>
        <c:crosses val="autoZero"/>
        <c:auto val="1"/>
        <c:lblAlgn val="ctr"/>
        <c:lblOffset val="100"/>
        <c:tickLblSkip val="1"/>
        <c:tickMarkSkip val="1"/>
        <c:noMultiLvlLbl val="0"/>
      </c:catAx>
      <c:valAx>
        <c:axId val="213484672"/>
        <c:scaling>
          <c:orientation val="minMax"/>
          <c:max val="1.2"/>
          <c:min val="0"/>
        </c:scaling>
        <c:delete val="0"/>
        <c:axPos val="l"/>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fr-FR"/>
                  <a:t>Prix réel en €2005 / litre </a:t>
                </a:r>
              </a:p>
            </c:rich>
          </c:tx>
          <c:layout>
            <c:manualLayout>
              <c:xMode val="edge"/>
              <c:yMode val="edge"/>
              <c:x val="0"/>
              <c:y val="0.4540540779788698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3478784"/>
        <c:crosses val="autoZero"/>
        <c:crossBetween val="between"/>
        <c:majorUnit val="0.1"/>
      </c:valAx>
      <c:spPr>
        <a:noFill/>
        <a:ln w="12700">
          <a:solidFill>
            <a:srgbClr val="808080"/>
          </a:solidFill>
          <a:prstDash val="solid"/>
        </a:ln>
      </c:spPr>
    </c:plotArea>
    <c:legend>
      <c:legendPos val="r"/>
      <c:layout>
        <c:manualLayout>
          <c:xMode val="edge"/>
          <c:yMode val="edge"/>
          <c:x val="0.59583333333333333"/>
          <c:y val="0"/>
          <c:w val="0.40312499999999996"/>
          <c:h val="0.11467116357504216"/>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Relations entre taux de croissances de la consommation, du prix et du revenu nominal</a:t>
            </a:r>
          </a:p>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des ménages de 1961 à 2014 </a:t>
            </a:r>
            <a:r>
              <a:rPr lang="fr-FR" sz="800" b="0" i="0" u="none" strike="noStrike" baseline="0">
                <a:solidFill>
                  <a:srgbClr val="000000"/>
                </a:solidFill>
                <a:latin typeface="Arial"/>
                <a:cs typeface="Arial"/>
              </a:rPr>
              <a:t>Source: INSEE</a:t>
            </a:r>
          </a:p>
        </c:rich>
      </c:tx>
      <c:layout>
        <c:manualLayout>
          <c:xMode val="edge"/>
          <c:yMode val="edge"/>
          <c:x val="9.341119860017498E-2"/>
          <c:y val="1.3513740799263498E-3"/>
        </c:manualLayout>
      </c:layout>
      <c:overlay val="0"/>
      <c:spPr>
        <a:noFill/>
        <a:ln w="25400">
          <a:noFill/>
        </a:ln>
      </c:spPr>
    </c:title>
    <c:autoTitleDeleted val="0"/>
    <c:plotArea>
      <c:layout>
        <c:manualLayout>
          <c:layoutTarget val="inner"/>
          <c:xMode val="edge"/>
          <c:yMode val="edge"/>
          <c:x val="6.4220183486238522E-2"/>
          <c:y val="7.567567567567568E-2"/>
          <c:w val="0.93411175979983307"/>
          <c:h val="0.87972972972972963"/>
        </c:manualLayout>
      </c:layout>
      <c:lineChart>
        <c:grouping val="standard"/>
        <c:varyColors val="0"/>
        <c:ser>
          <c:idx val="0"/>
          <c:order val="0"/>
          <c:tx>
            <c:v>Consommation de carburant</c:v>
          </c:tx>
          <c:spPr>
            <a:ln w="254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croissance'!$B$2:$B$56</c:f>
              <c:numCache>
                <c:formatCode>0.0</c:formatCode>
                <c:ptCount val="55"/>
                <c:pt idx="0">
                  <c:v>14.426702453085483</c:v>
                </c:pt>
                <c:pt idx="1">
                  <c:v>10.899028370840647</c:v>
                </c:pt>
                <c:pt idx="2">
                  <c:v>10.807422152942259</c:v>
                </c:pt>
                <c:pt idx="3">
                  <c:v>14.645564360545649</c:v>
                </c:pt>
                <c:pt idx="4">
                  <c:v>10.648348040245104</c:v>
                </c:pt>
                <c:pt idx="5">
                  <c:v>10.080469912196577</c:v>
                </c:pt>
                <c:pt idx="6">
                  <c:v>9.5725203674152937</c:v>
                </c:pt>
                <c:pt idx="7">
                  <c:v>10.525677583720316</c:v>
                </c:pt>
                <c:pt idx="8">
                  <c:v>7.290677080808905</c:v>
                </c:pt>
                <c:pt idx="9">
                  <c:v>8.3562148196413943</c:v>
                </c:pt>
                <c:pt idx="10">
                  <c:v>11.212455688475664</c:v>
                </c:pt>
                <c:pt idx="11">
                  <c:v>10.833254021046734</c:v>
                </c:pt>
                <c:pt idx="12">
                  <c:v>9.7038014362105685</c:v>
                </c:pt>
                <c:pt idx="13">
                  <c:v>-3.8574560643461098</c:v>
                </c:pt>
                <c:pt idx="14">
                  <c:v>4.9902851942455584</c:v>
                </c:pt>
                <c:pt idx="15">
                  <c:v>6.0867999905495296</c:v>
                </c:pt>
                <c:pt idx="16">
                  <c:v>3.1721659229580368</c:v>
                </c:pt>
                <c:pt idx="17">
                  <c:v>5.6276144341126155</c:v>
                </c:pt>
                <c:pt idx="18">
                  <c:v>1.4405716317657635</c:v>
                </c:pt>
                <c:pt idx="19">
                  <c:v>1.5018934507125437</c:v>
                </c:pt>
                <c:pt idx="20">
                  <c:v>3.7145307255364912</c:v>
                </c:pt>
                <c:pt idx="21">
                  <c:v>1.8954650868733935</c:v>
                </c:pt>
                <c:pt idx="22">
                  <c:v>2.4430889966062352</c:v>
                </c:pt>
                <c:pt idx="23">
                  <c:v>1.2564917869402947</c:v>
                </c:pt>
                <c:pt idx="24">
                  <c:v>-0.58880563819005971</c:v>
                </c:pt>
                <c:pt idx="25">
                  <c:v>5.3582330030694791</c:v>
                </c:pt>
                <c:pt idx="26">
                  <c:v>2.9226200358872134</c:v>
                </c:pt>
                <c:pt idx="27">
                  <c:v>3.1152678945328915</c:v>
                </c:pt>
                <c:pt idx="28">
                  <c:v>7.022425354123385</c:v>
                </c:pt>
                <c:pt idx="29">
                  <c:v>-3.951694470880085</c:v>
                </c:pt>
                <c:pt idx="30">
                  <c:v>0.70301062844304596</c:v>
                </c:pt>
                <c:pt idx="31">
                  <c:v>2.0130756834568331</c:v>
                </c:pt>
                <c:pt idx="32">
                  <c:v>0.86100711128462848</c:v>
                </c:pt>
                <c:pt idx="33">
                  <c:v>1.3812475232644061</c:v>
                </c:pt>
                <c:pt idx="34">
                  <c:v>0.4309180863749873</c:v>
                </c:pt>
                <c:pt idx="35">
                  <c:v>-2.1682567300906896E-2</c:v>
                </c:pt>
                <c:pt idx="36">
                  <c:v>0.73458254055935868</c:v>
                </c:pt>
                <c:pt idx="37">
                  <c:v>2.1964867788822673</c:v>
                </c:pt>
                <c:pt idx="38">
                  <c:v>0.98141012978167907</c:v>
                </c:pt>
                <c:pt idx="39">
                  <c:v>-1.4669333718483557</c:v>
                </c:pt>
                <c:pt idx="40">
                  <c:v>2.6485391593642049</c:v>
                </c:pt>
                <c:pt idx="41">
                  <c:v>-0.30615252409109672</c:v>
                </c:pt>
                <c:pt idx="42">
                  <c:v>-0.91369085839829722</c:v>
                </c:pt>
                <c:pt idx="43">
                  <c:v>-1.8067814201058852</c:v>
                </c:pt>
                <c:pt idx="44">
                  <c:v>-2.2954116861743756</c:v>
                </c:pt>
                <c:pt idx="45">
                  <c:v>-1.7835426361267892</c:v>
                </c:pt>
                <c:pt idx="46">
                  <c:v>9.9515331729627121E-2</c:v>
                </c:pt>
                <c:pt idx="47">
                  <c:v>-1.0368543176630496</c:v>
                </c:pt>
                <c:pt idx="48">
                  <c:v>3.7222460036900884E-3</c:v>
                </c:pt>
                <c:pt idx="49">
                  <c:v>2.6048018498745051</c:v>
                </c:pt>
                <c:pt idx="50">
                  <c:v>-1.8742083796954745</c:v>
                </c:pt>
                <c:pt idx="51">
                  <c:v>-1.0829985077798199</c:v>
                </c:pt>
                <c:pt idx="52">
                  <c:v>-2.0575019211715784</c:v>
                </c:pt>
                <c:pt idx="53">
                  <c:v>0.19613362720800609</c:v>
                </c:pt>
              </c:numCache>
            </c:numRef>
          </c:val>
          <c:smooth val="0"/>
        </c:ser>
        <c:ser>
          <c:idx val="1"/>
          <c:order val="1"/>
          <c:tx>
            <c:v>Prix nominal</c:v>
          </c:tx>
          <c:spPr>
            <a:ln w="254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croissance'!$E$2:$E$56</c:f>
              <c:numCache>
                <c:formatCode>0.0</c:formatCode>
                <c:ptCount val="55"/>
                <c:pt idx="0">
                  <c:v>-0.32970970067247585</c:v>
                </c:pt>
                <c:pt idx="1">
                  <c:v>3.4199484991837004E-2</c:v>
                </c:pt>
                <c:pt idx="2">
                  <c:v>-0.20112022562932541</c:v>
                </c:pt>
                <c:pt idx="3">
                  <c:v>-1.1339975842624694</c:v>
                </c:pt>
                <c:pt idx="4">
                  <c:v>-0.71883304980471241</c:v>
                </c:pt>
                <c:pt idx="5">
                  <c:v>0.48398320555387286</c:v>
                </c:pt>
                <c:pt idx="6">
                  <c:v>1.4655593105243447</c:v>
                </c:pt>
                <c:pt idx="7">
                  <c:v>2.5219189344237503</c:v>
                </c:pt>
                <c:pt idx="8">
                  <c:v>6.9712593987893534</c:v>
                </c:pt>
                <c:pt idx="9">
                  <c:v>2.3422739420660088</c:v>
                </c:pt>
                <c:pt idx="10">
                  <c:v>2.6792368527609023</c:v>
                </c:pt>
                <c:pt idx="11">
                  <c:v>1.0603403588798965</c:v>
                </c:pt>
                <c:pt idx="12">
                  <c:v>4.2981057218806074</c:v>
                </c:pt>
                <c:pt idx="13">
                  <c:v>34.190458625155394</c:v>
                </c:pt>
                <c:pt idx="14">
                  <c:v>3.5392502205832344</c:v>
                </c:pt>
                <c:pt idx="15">
                  <c:v>8.0963854496247656</c:v>
                </c:pt>
                <c:pt idx="16">
                  <c:v>15.640436085200182</c:v>
                </c:pt>
                <c:pt idx="17">
                  <c:v>8.0595186217768404</c:v>
                </c:pt>
                <c:pt idx="18">
                  <c:v>13.492212889423671</c:v>
                </c:pt>
                <c:pt idx="19">
                  <c:v>16.548939352396197</c:v>
                </c:pt>
                <c:pt idx="20">
                  <c:v>7.98445412727723</c:v>
                </c:pt>
                <c:pt idx="21">
                  <c:v>14.787685378513293</c:v>
                </c:pt>
                <c:pt idx="22">
                  <c:v>7.8775493594122894</c:v>
                </c:pt>
                <c:pt idx="23">
                  <c:v>7.2234755273541058</c:v>
                </c:pt>
                <c:pt idx="24">
                  <c:v>9.3884335126564356</c:v>
                </c:pt>
                <c:pt idx="25">
                  <c:v>-5.6225764498126161</c:v>
                </c:pt>
                <c:pt idx="26">
                  <c:v>-12.883289982531283</c:v>
                </c:pt>
                <c:pt idx="27">
                  <c:v>0.17057297017804562</c:v>
                </c:pt>
                <c:pt idx="28">
                  <c:v>4.5674501420320812</c:v>
                </c:pt>
                <c:pt idx="29">
                  <c:v>1.2669548259730878</c:v>
                </c:pt>
                <c:pt idx="30">
                  <c:v>3.7974968784585119</c:v>
                </c:pt>
                <c:pt idx="31">
                  <c:v>-2.4727023640964574</c:v>
                </c:pt>
                <c:pt idx="32">
                  <c:v>2.4092609539125123</c:v>
                </c:pt>
                <c:pt idx="33">
                  <c:v>2.349554691090411</c:v>
                </c:pt>
                <c:pt idx="34">
                  <c:v>2.3114880320938891</c:v>
                </c:pt>
                <c:pt idx="35">
                  <c:v>6.1128804714569132</c:v>
                </c:pt>
                <c:pt idx="36">
                  <c:v>2.6996273215238675</c:v>
                </c:pt>
                <c:pt idx="37">
                  <c:v>-3.9453922449504351</c:v>
                </c:pt>
                <c:pt idx="38">
                  <c:v>5.1160011122168196</c:v>
                </c:pt>
                <c:pt idx="39">
                  <c:v>15.24315352411813</c:v>
                </c:pt>
                <c:pt idx="40">
                  <c:v>-6.528442046079963</c:v>
                </c:pt>
                <c:pt idx="41">
                  <c:v>-3.1062706130352851</c:v>
                </c:pt>
                <c:pt idx="42">
                  <c:v>0.42069830764395189</c:v>
                </c:pt>
                <c:pt idx="43">
                  <c:v>6.5205330519308573</c:v>
                </c:pt>
                <c:pt idx="44">
                  <c:v>11.691764401383958</c:v>
                </c:pt>
                <c:pt idx="45">
                  <c:v>9.1077266757550355</c:v>
                </c:pt>
                <c:pt idx="46">
                  <c:v>-1.6416505510641084</c:v>
                </c:pt>
                <c:pt idx="47">
                  <c:v>10.793987065634703</c:v>
                </c:pt>
                <c:pt idx="48">
                  <c:v>-18.893184722160431</c:v>
                </c:pt>
                <c:pt idx="49">
                  <c:v>11.838764750399688</c:v>
                </c:pt>
                <c:pt idx="50">
                  <c:v>13.338952658559425</c:v>
                </c:pt>
                <c:pt idx="51">
                  <c:v>4.2472914190721962</c:v>
                </c:pt>
                <c:pt idx="52">
                  <c:v>-2.8970530960603815</c:v>
                </c:pt>
                <c:pt idx="53">
                  <c:v>-4.4375042882961901</c:v>
                </c:pt>
              </c:numCache>
            </c:numRef>
          </c:val>
          <c:smooth val="0"/>
        </c:ser>
        <c:ser>
          <c:idx val="2"/>
          <c:order val="2"/>
          <c:tx>
            <c:v>Revenu nominal</c:v>
          </c:tx>
          <c:spPr>
            <a:ln w="12700">
              <a:solidFill>
                <a:srgbClr val="333333"/>
              </a:solidFill>
              <a:prstDash val="sysDash"/>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croissance'!$G$2:$G$56</c:f>
              <c:numCache>
                <c:formatCode>0.0</c:formatCode>
                <c:ptCount val="55"/>
                <c:pt idx="0">
                  <c:v>7.6115295295025476</c:v>
                </c:pt>
                <c:pt idx="1">
                  <c:v>13.918034599989859</c:v>
                </c:pt>
                <c:pt idx="2">
                  <c:v>10.798505695202643</c:v>
                </c:pt>
                <c:pt idx="3">
                  <c:v>8.2488327423565266</c:v>
                </c:pt>
                <c:pt idx="4">
                  <c:v>7.1785143122619743</c:v>
                </c:pt>
                <c:pt idx="5">
                  <c:v>7.7201179225319549</c:v>
                </c:pt>
                <c:pt idx="6">
                  <c:v>8.5789301429407772</c:v>
                </c:pt>
                <c:pt idx="7">
                  <c:v>9.3407854491829312</c:v>
                </c:pt>
                <c:pt idx="8">
                  <c:v>11.491765814424504</c:v>
                </c:pt>
                <c:pt idx="9">
                  <c:v>11.884534335821684</c:v>
                </c:pt>
                <c:pt idx="10">
                  <c:v>10.86530134521233</c:v>
                </c:pt>
                <c:pt idx="11">
                  <c:v>11.388074979217855</c:v>
                </c:pt>
                <c:pt idx="12">
                  <c:v>12.525760597733893</c:v>
                </c:pt>
                <c:pt idx="13">
                  <c:v>16.919034651994203</c:v>
                </c:pt>
                <c:pt idx="14">
                  <c:v>14.014551213780102</c:v>
                </c:pt>
                <c:pt idx="15">
                  <c:v>11.58538204917452</c:v>
                </c:pt>
                <c:pt idx="16">
                  <c:v>11.667032002626954</c:v>
                </c:pt>
                <c:pt idx="17">
                  <c:v>14.178652632692668</c:v>
                </c:pt>
                <c:pt idx="18">
                  <c:v>11.229454907615199</c:v>
                </c:pt>
                <c:pt idx="19">
                  <c:v>12.852679651215659</c:v>
                </c:pt>
                <c:pt idx="20">
                  <c:v>14.497316509175029</c:v>
                </c:pt>
                <c:pt idx="21">
                  <c:v>13.321501254965717</c:v>
                </c:pt>
                <c:pt idx="22">
                  <c:v>9.0376386898146421</c:v>
                </c:pt>
                <c:pt idx="23">
                  <c:v>6.4410811669024071</c:v>
                </c:pt>
                <c:pt idx="24">
                  <c:v>6.7532299025984344</c:v>
                </c:pt>
                <c:pt idx="25">
                  <c:v>5.2009453651550075</c:v>
                </c:pt>
                <c:pt idx="26">
                  <c:v>4.2828009137924283</c:v>
                </c:pt>
                <c:pt idx="27">
                  <c:v>6.0432814463537099</c:v>
                </c:pt>
                <c:pt idx="28">
                  <c:v>7.307190588516832</c:v>
                </c:pt>
                <c:pt idx="29">
                  <c:v>6.475577744832961</c:v>
                </c:pt>
                <c:pt idx="30">
                  <c:v>4.1953954826524864</c:v>
                </c:pt>
                <c:pt idx="31">
                  <c:v>4.5638415478908456</c:v>
                </c:pt>
                <c:pt idx="32">
                  <c:v>2.1308735434843129</c:v>
                </c:pt>
                <c:pt idx="33">
                  <c:v>1.6930731409127375</c:v>
                </c:pt>
                <c:pt idx="34">
                  <c:v>3.3103550625547484</c:v>
                </c:pt>
                <c:pt idx="35">
                  <c:v>2.4087210048735486</c:v>
                </c:pt>
                <c:pt idx="36">
                  <c:v>2.6255305003903828</c:v>
                </c:pt>
                <c:pt idx="37">
                  <c:v>3.4296677232921624</c:v>
                </c:pt>
                <c:pt idx="38">
                  <c:v>2.5074725222763661</c:v>
                </c:pt>
                <c:pt idx="39">
                  <c:v>5.5891331138340661</c:v>
                </c:pt>
                <c:pt idx="40">
                  <c:v>5.0467887970969016</c:v>
                </c:pt>
                <c:pt idx="41">
                  <c:v>3.9565269037705519</c:v>
                </c:pt>
                <c:pt idx="42">
                  <c:v>2.5246458897678181</c:v>
                </c:pt>
                <c:pt idx="43">
                  <c:v>4.3679150816132051</c:v>
                </c:pt>
                <c:pt idx="44">
                  <c:v>2.8141694978282672</c:v>
                </c:pt>
                <c:pt idx="45">
                  <c:v>4.4434723555776046</c:v>
                </c:pt>
                <c:pt idx="46">
                  <c:v>5.0913680456439181</c:v>
                </c:pt>
                <c:pt idx="47">
                  <c:v>3.062759613085575</c:v>
                </c:pt>
                <c:pt idx="48">
                  <c:v>9.5824652467868532E-2</c:v>
                </c:pt>
                <c:pt idx="49">
                  <c:v>2.368921698404769</c:v>
                </c:pt>
                <c:pt idx="50">
                  <c:v>2.0023660899594731</c:v>
                </c:pt>
                <c:pt idx="51">
                  <c:v>0.52675607005543412</c:v>
                </c:pt>
                <c:pt idx="52">
                  <c:v>0.27357581683702392</c:v>
                </c:pt>
                <c:pt idx="53">
                  <c:v>1.2453597050917864</c:v>
                </c:pt>
              </c:numCache>
            </c:numRef>
          </c:val>
          <c:smooth val="0"/>
        </c:ser>
        <c:dLbls>
          <c:showLegendKey val="0"/>
          <c:showVal val="0"/>
          <c:showCatName val="0"/>
          <c:showSerName val="0"/>
          <c:showPercent val="0"/>
          <c:showBubbleSize val="0"/>
        </c:dLbls>
        <c:marker val="1"/>
        <c:smooth val="0"/>
        <c:axId val="213610880"/>
        <c:axId val="213612416"/>
      </c:lineChart>
      <c:catAx>
        <c:axId val="21361088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3612416"/>
        <c:crosses val="autoZero"/>
        <c:auto val="1"/>
        <c:lblAlgn val="ctr"/>
        <c:lblOffset val="100"/>
        <c:tickLblSkip val="1"/>
        <c:tickMarkSkip val="1"/>
        <c:noMultiLvlLbl val="0"/>
      </c:catAx>
      <c:valAx>
        <c:axId val="213612416"/>
        <c:scaling>
          <c:orientation val="minMax"/>
          <c:max val="35"/>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Taux de croissance</a:t>
                </a:r>
              </a:p>
            </c:rich>
          </c:tx>
          <c:layout>
            <c:manualLayout>
              <c:xMode val="edge"/>
              <c:yMode val="edge"/>
              <c:x val="5.8381452318460193E-3"/>
              <c:y val="0.41486493783555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3610880"/>
        <c:crosses val="autoZero"/>
        <c:crossBetween val="between"/>
        <c:majorUnit val="5"/>
      </c:valAx>
      <c:spPr>
        <a:noFill/>
        <a:ln w="12700">
          <a:solidFill>
            <a:srgbClr val="808080"/>
          </a:solidFill>
          <a:prstDash val="solid"/>
        </a:ln>
      </c:spPr>
    </c:plotArea>
    <c:legend>
      <c:legendPos val="r"/>
      <c:layout>
        <c:manualLayout>
          <c:xMode val="edge"/>
          <c:yMode val="edge"/>
          <c:x val="0.6802083333333333"/>
          <c:y val="1.6863406408094434E-3"/>
          <c:w val="0.26666666666666672"/>
          <c:h val="6.070826306913997E-2"/>
        </c:manualLayout>
      </c:layout>
      <c:overlay val="0"/>
      <c:spPr>
        <a:no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Relations entre taux de croissance de la consommation, du prix et du revenu réels</a:t>
            </a:r>
          </a:p>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des ménages entre 1961 et 2014. </a:t>
            </a:r>
            <a:r>
              <a:rPr lang="fr-FR" sz="800" b="0" i="0" u="none" strike="noStrike" baseline="0">
                <a:solidFill>
                  <a:srgbClr val="000000"/>
                </a:solidFill>
                <a:latin typeface="Arial"/>
                <a:cs typeface="Arial"/>
              </a:rPr>
              <a:t>Source: INSEE</a:t>
            </a:r>
          </a:p>
        </c:rich>
      </c:tx>
      <c:layout>
        <c:manualLayout>
          <c:xMode val="edge"/>
          <c:yMode val="edge"/>
          <c:x val="0.14678904199475065"/>
          <c:y val="5.4053192760685695E-3"/>
        </c:manualLayout>
      </c:layout>
      <c:overlay val="0"/>
      <c:spPr>
        <a:noFill/>
        <a:ln w="25400">
          <a:noFill/>
        </a:ln>
      </c:spPr>
    </c:title>
    <c:autoTitleDeleted val="0"/>
    <c:plotArea>
      <c:layout>
        <c:manualLayout>
          <c:layoutTarget val="inner"/>
          <c:xMode val="edge"/>
          <c:yMode val="edge"/>
          <c:x val="5.0041701417848201E-2"/>
          <c:y val="0.10540540540540541"/>
          <c:w val="0.94912427022518753"/>
          <c:h val="0.84864864864864864"/>
        </c:manualLayout>
      </c:layout>
      <c:lineChart>
        <c:grouping val="standard"/>
        <c:varyColors val="0"/>
        <c:ser>
          <c:idx val="0"/>
          <c:order val="0"/>
          <c:tx>
            <c:v>carburant</c:v>
          </c:tx>
          <c:spPr>
            <a:ln w="254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croissance'!$B$2:$B$56</c:f>
              <c:numCache>
                <c:formatCode>0.0</c:formatCode>
                <c:ptCount val="55"/>
                <c:pt idx="0">
                  <c:v>14.426702453085483</c:v>
                </c:pt>
                <c:pt idx="1">
                  <c:v>10.899028370840647</c:v>
                </c:pt>
                <c:pt idx="2">
                  <c:v>10.807422152942259</c:v>
                </c:pt>
                <c:pt idx="3">
                  <c:v>14.645564360545649</c:v>
                </c:pt>
                <c:pt idx="4">
                  <c:v>10.648348040245104</c:v>
                </c:pt>
                <c:pt idx="5">
                  <c:v>10.080469912196577</c:v>
                </c:pt>
                <c:pt idx="6">
                  <c:v>9.5725203674152937</c:v>
                </c:pt>
                <c:pt idx="7">
                  <c:v>10.525677583720316</c:v>
                </c:pt>
                <c:pt idx="8">
                  <c:v>7.290677080808905</c:v>
                </c:pt>
                <c:pt idx="9">
                  <c:v>8.3562148196413943</c:v>
                </c:pt>
                <c:pt idx="10">
                  <c:v>11.212455688475664</c:v>
                </c:pt>
                <c:pt idx="11">
                  <c:v>10.833254021046734</c:v>
                </c:pt>
                <c:pt idx="12">
                  <c:v>9.7038014362105685</c:v>
                </c:pt>
                <c:pt idx="13">
                  <c:v>-3.8574560643461098</c:v>
                </c:pt>
                <c:pt idx="14">
                  <c:v>4.9902851942455584</c:v>
                </c:pt>
                <c:pt idx="15">
                  <c:v>6.0867999905495296</c:v>
                </c:pt>
                <c:pt idx="16">
                  <c:v>3.1721659229580368</c:v>
                </c:pt>
                <c:pt idx="17">
                  <c:v>5.6276144341126155</c:v>
                </c:pt>
                <c:pt idx="18">
                  <c:v>1.4405716317657635</c:v>
                </c:pt>
                <c:pt idx="19">
                  <c:v>1.5018934507125437</c:v>
                </c:pt>
                <c:pt idx="20">
                  <c:v>3.7145307255364912</c:v>
                </c:pt>
                <c:pt idx="21">
                  <c:v>1.8954650868733935</c:v>
                </c:pt>
                <c:pt idx="22">
                  <c:v>2.4430889966062352</c:v>
                </c:pt>
                <c:pt idx="23">
                  <c:v>1.2564917869402947</c:v>
                </c:pt>
                <c:pt idx="24">
                  <c:v>-0.58880563819005971</c:v>
                </c:pt>
                <c:pt idx="25">
                  <c:v>5.3582330030694791</c:v>
                </c:pt>
                <c:pt idx="26">
                  <c:v>2.9226200358872134</c:v>
                </c:pt>
                <c:pt idx="27">
                  <c:v>3.1152678945328915</c:v>
                </c:pt>
                <c:pt idx="28">
                  <c:v>7.022425354123385</c:v>
                </c:pt>
                <c:pt idx="29">
                  <c:v>-3.951694470880085</c:v>
                </c:pt>
                <c:pt idx="30">
                  <c:v>0.70301062844304596</c:v>
                </c:pt>
                <c:pt idx="31">
                  <c:v>2.0130756834568331</c:v>
                </c:pt>
                <c:pt idx="32">
                  <c:v>0.86100711128462848</c:v>
                </c:pt>
                <c:pt idx="33">
                  <c:v>1.3812475232644061</c:v>
                </c:pt>
                <c:pt idx="34">
                  <c:v>0.4309180863749873</c:v>
                </c:pt>
                <c:pt idx="35">
                  <c:v>-2.1682567300906896E-2</c:v>
                </c:pt>
                <c:pt idx="36">
                  <c:v>0.73458254055935868</c:v>
                </c:pt>
                <c:pt idx="37">
                  <c:v>2.1964867788822673</c:v>
                </c:pt>
                <c:pt idx="38">
                  <c:v>0.98141012978167907</c:v>
                </c:pt>
                <c:pt idx="39">
                  <c:v>-1.4669333718483557</c:v>
                </c:pt>
                <c:pt idx="40">
                  <c:v>2.6485391593642049</c:v>
                </c:pt>
                <c:pt idx="41">
                  <c:v>-0.30615252409109672</c:v>
                </c:pt>
                <c:pt idx="42">
                  <c:v>-0.91369085839829722</c:v>
                </c:pt>
                <c:pt idx="43">
                  <c:v>-1.8067814201058852</c:v>
                </c:pt>
                <c:pt idx="44">
                  <c:v>-2.2954116861743756</c:v>
                </c:pt>
                <c:pt idx="45">
                  <c:v>-1.7835426361267892</c:v>
                </c:pt>
                <c:pt idx="46">
                  <c:v>9.9515331729627121E-2</c:v>
                </c:pt>
                <c:pt idx="47">
                  <c:v>-1.0368543176630496</c:v>
                </c:pt>
                <c:pt idx="48">
                  <c:v>3.7222460036900884E-3</c:v>
                </c:pt>
                <c:pt idx="49">
                  <c:v>2.6048018498745051</c:v>
                </c:pt>
                <c:pt idx="50">
                  <c:v>-1.8742083796954745</c:v>
                </c:pt>
                <c:pt idx="51">
                  <c:v>-1.0829985077798199</c:v>
                </c:pt>
                <c:pt idx="52">
                  <c:v>-2.0575019211715784</c:v>
                </c:pt>
                <c:pt idx="53">
                  <c:v>0.19613362720800609</c:v>
                </c:pt>
              </c:numCache>
            </c:numRef>
          </c:val>
          <c:smooth val="0"/>
        </c:ser>
        <c:ser>
          <c:idx val="1"/>
          <c:order val="1"/>
          <c:tx>
            <c:v>prix réel</c:v>
          </c:tx>
          <c:spPr>
            <a:ln w="254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croissance'!$F$2:$F$56</c:f>
              <c:numCache>
                <c:formatCode>0.0</c:formatCode>
                <c:ptCount val="55"/>
                <c:pt idx="0">
                  <c:v>-3.2688370282297652</c:v>
                </c:pt>
                <c:pt idx="1">
                  <c:v>-4.1459824271062757</c:v>
                </c:pt>
                <c:pt idx="2">
                  <c:v>-4.9253567656374733</c:v>
                </c:pt>
                <c:pt idx="3">
                  <c:v>-4.3745762971880433</c:v>
                </c:pt>
                <c:pt idx="4">
                  <c:v>-3.3285235065614147</c:v>
                </c:pt>
                <c:pt idx="5">
                  <c:v>-2.4857070338695193</c:v>
                </c:pt>
                <c:pt idx="6">
                  <c:v>-1.6285695666510989</c:v>
                </c:pt>
                <c:pt idx="7">
                  <c:v>-2.392242144510448</c:v>
                </c:pt>
                <c:pt idx="8">
                  <c:v>0.11515827686994773</c:v>
                </c:pt>
                <c:pt idx="9">
                  <c:v>-2.5538966047760043</c:v>
                </c:pt>
                <c:pt idx="10">
                  <c:v>-2.8209429238095409</c:v>
                </c:pt>
                <c:pt idx="11">
                  <c:v>-4.6361721244826484</c:v>
                </c:pt>
                <c:pt idx="12">
                  <c:v>-2.7230627936907532</c:v>
                </c:pt>
                <c:pt idx="13">
                  <c:v>20.75247330853648</c:v>
                </c:pt>
                <c:pt idx="14">
                  <c:v>-7.4888264269544145</c:v>
                </c:pt>
                <c:pt idx="15">
                  <c:v>-1.1051969141246092</c:v>
                </c:pt>
                <c:pt idx="16">
                  <c:v>6.7198572809190891</c:v>
                </c:pt>
                <c:pt idx="17">
                  <c:v>-0.28664595382609792</c:v>
                </c:pt>
                <c:pt idx="18">
                  <c:v>3.1182807010916385</c:v>
                </c:pt>
                <c:pt idx="19">
                  <c:v>4.2697749405999383</c:v>
                </c:pt>
                <c:pt idx="20">
                  <c:v>-4.799274393230629</c:v>
                </c:pt>
                <c:pt idx="21">
                  <c:v>3.6372561754144881</c:v>
                </c:pt>
                <c:pt idx="22">
                  <c:v>-1.2505976462320101</c:v>
                </c:pt>
                <c:pt idx="23">
                  <c:v>-0.38621642092606656</c:v>
                </c:pt>
                <c:pt idx="24">
                  <c:v>3.375801717079602</c:v>
                </c:pt>
                <c:pt idx="25">
                  <c:v>-8.2859706228346486</c:v>
                </c:pt>
                <c:pt idx="26">
                  <c:v>-15.83779286561364</c:v>
                </c:pt>
                <c:pt idx="27">
                  <c:v>-2.4847667982727284</c:v>
                </c:pt>
                <c:pt idx="28">
                  <c:v>0.80455590034313462</c:v>
                </c:pt>
                <c:pt idx="29">
                  <c:v>-1.5642955317142686</c:v>
                </c:pt>
                <c:pt idx="30">
                  <c:v>1.1020846143984484</c:v>
                </c:pt>
                <c:pt idx="31">
                  <c:v>-5.0133603352675236</c:v>
                </c:pt>
                <c:pt idx="32">
                  <c:v>0.91899091320992587</c:v>
                </c:pt>
                <c:pt idx="33">
                  <c:v>1.4257691151706899</c:v>
                </c:pt>
                <c:pt idx="34">
                  <c:v>1.3973714616530049</c:v>
                </c:pt>
                <c:pt idx="35">
                  <c:v>4.5730271430330216</c:v>
                </c:pt>
                <c:pt idx="36">
                  <c:v>1.930795580476917</c:v>
                </c:pt>
                <c:pt idx="37">
                  <c:v>-4.1408216298394649</c:v>
                </c:pt>
                <c:pt idx="38">
                  <c:v>5.6284820668194131</c:v>
                </c:pt>
                <c:pt idx="39">
                  <c:v>12.989947826597561</c:v>
                </c:pt>
                <c:pt idx="40">
                  <c:v>-8.4289611190303919</c:v>
                </c:pt>
                <c:pt idx="41">
                  <c:v>-4.1470895022325482</c:v>
                </c:pt>
                <c:pt idx="42">
                  <c:v>-1.2199586814531795</c:v>
                </c:pt>
                <c:pt idx="43">
                  <c:v>4.4450947082968328</c:v>
                </c:pt>
                <c:pt idx="44">
                  <c:v>9.8933331805859481</c:v>
                </c:pt>
                <c:pt idx="45">
                  <c:v>7.0130051221659082</c:v>
                </c:pt>
                <c:pt idx="46">
                  <c:v>-3.7436123872653768</c:v>
                </c:pt>
                <c:pt idx="47">
                  <c:v>8.0341249546334002</c:v>
                </c:pt>
                <c:pt idx="48">
                  <c:v>-17.390816590110987</c:v>
                </c:pt>
                <c:pt idx="49">
                  <c:v>10.661866390399814</c:v>
                </c:pt>
                <c:pt idx="50">
                  <c:v>11.538262829313636</c:v>
                </c:pt>
                <c:pt idx="51">
                  <c:v>2.8496766630129233</c:v>
                </c:pt>
                <c:pt idx="52">
                  <c:v>-3.5429048648747519</c:v>
                </c:pt>
                <c:pt idx="53">
                  <c:v>-4.5519510373730867</c:v>
                </c:pt>
              </c:numCache>
            </c:numRef>
          </c:val>
          <c:smooth val="0"/>
        </c:ser>
        <c:ser>
          <c:idx val="2"/>
          <c:order val="2"/>
          <c:tx>
            <c:v>revenu réel</c:v>
          </c:tx>
          <c:spPr>
            <a:ln w="12700">
              <a:solidFill>
                <a:srgbClr val="333333"/>
              </a:solidFill>
              <a:prstDash val="sysDash"/>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croissance'!$H$2:$H$56</c:f>
              <c:numCache>
                <c:formatCode>0.0</c:formatCode>
                <c:ptCount val="55"/>
                <c:pt idx="0">
                  <c:v>4.6724022019454026</c:v>
                </c:pt>
                <c:pt idx="1">
                  <c:v>9.737852687891646</c:v>
                </c:pt>
                <c:pt idx="2">
                  <c:v>6.0742691551945782</c:v>
                </c:pt>
                <c:pt idx="3">
                  <c:v>5.0082540294308586</c:v>
                </c:pt>
                <c:pt idx="4">
                  <c:v>4.5688238555053218</c:v>
                </c:pt>
                <c:pt idx="5">
                  <c:v>4.7504276831086045</c:v>
                </c:pt>
                <c:pt idx="6">
                  <c:v>5.484801265765249</c:v>
                </c:pt>
                <c:pt idx="7">
                  <c:v>4.4266243702487884</c:v>
                </c:pt>
                <c:pt idx="8">
                  <c:v>4.6356646925051592</c:v>
                </c:pt>
                <c:pt idx="9">
                  <c:v>6.9883637889796901</c:v>
                </c:pt>
                <c:pt idx="10">
                  <c:v>5.3651215686418396</c:v>
                </c:pt>
                <c:pt idx="11">
                  <c:v>5.6915624958552513</c:v>
                </c:pt>
                <c:pt idx="12">
                  <c:v>5.5045920821624961</c:v>
                </c:pt>
                <c:pt idx="13">
                  <c:v>3.4810493353754524</c:v>
                </c:pt>
                <c:pt idx="14">
                  <c:v>2.9864745662422365</c:v>
                </c:pt>
                <c:pt idx="15">
                  <c:v>2.3837996854252808</c:v>
                </c:pt>
                <c:pt idx="16">
                  <c:v>2.7464531983458329</c:v>
                </c:pt>
                <c:pt idx="17">
                  <c:v>5.8324880570896909</c:v>
                </c:pt>
                <c:pt idx="18">
                  <c:v>0.8555227192831083</c:v>
                </c:pt>
                <c:pt idx="19">
                  <c:v>0.57351523941964189</c:v>
                </c:pt>
                <c:pt idx="20">
                  <c:v>1.7135879886669869</c:v>
                </c:pt>
                <c:pt idx="21">
                  <c:v>2.1710720518669291</c:v>
                </c:pt>
                <c:pt idx="22">
                  <c:v>-9.0508315829751496E-2</c:v>
                </c:pt>
                <c:pt idx="23">
                  <c:v>-1.1686107813776658</c:v>
                </c:pt>
                <c:pt idx="24">
                  <c:v>0.7405981070215617</c:v>
                </c:pt>
                <c:pt idx="25">
                  <c:v>2.5375511921330585</c:v>
                </c:pt>
                <c:pt idx="26">
                  <c:v>1.3282980307099734</c:v>
                </c:pt>
                <c:pt idx="27">
                  <c:v>3.3879416779029725</c:v>
                </c:pt>
                <c:pt idx="28">
                  <c:v>3.5442963468279132</c:v>
                </c:pt>
                <c:pt idx="29">
                  <c:v>3.6443273871455517</c:v>
                </c:pt>
                <c:pt idx="30">
                  <c:v>1.4999832185923268</c:v>
                </c:pt>
                <c:pt idx="31">
                  <c:v>2.0231835767200224</c:v>
                </c:pt>
                <c:pt idx="32">
                  <c:v>0.64060350278154488</c:v>
                </c:pt>
                <c:pt idx="33">
                  <c:v>0.76928756499317075</c:v>
                </c:pt>
                <c:pt idx="34">
                  <c:v>2.3962384921137669</c:v>
                </c:pt>
                <c:pt idx="35">
                  <c:v>0.86886767644962504</c:v>
                </c:pt>
                <c:pt idx="36">
                  <c:v>1.8566987593434447</c:v>
                </c:pt>
                <c:pt idx="37">
                  <c:v>3.2342383384031947</c:v>
                </c:pt>
                <c:pt idx="38">
                  <c:v>3.019953476879067</c:v>
                </c:pt>
                <c:pt idx="39">
                  <c:v>3.3359274163132113</c:v>
                </c:pt>
                <c:pt idx="40">
                  <c:v>3.1462697241465776</c:v>
                </c:pt>
                <c:pt idx="41">
                  <c:v>2.9157080145733261</c:v>
                </c:pt>
                <c:pt idx="42">
                  <c:v>0.88398890067065139</c:v>
                </c:pt>
                <c:pt idx="43">
                  <c:v>2.2924767379791433</c:v>
                </c:pt>
                <c:pt idx="44">
                  <c:v>1.0157382770303869</c:v>
                </c:pt>
                <c:pt idx="45">
                  <c:v>2.3487508019885084</c:v>
                </c:pt>
                <c:pt idx="46">
                  <c:v>2.9894062094426133</c:v>
                </c:pt>
                <c:pt idx="47">
                  <c:v>0.3028975020841429</c:v>
                </c:pt>
                <c:pt idx="48">
                  <c:v>1.5981927845174937</c:v>
                </c:pt>
                <c:pt idx="49">
                  <c:v>1.1920233384048018</c:v>
                </c:pt>
                <c:pt idx="50">
                  <c:v>0.20167626071359024</c:v>
                </c:pt>
                <c:pt idx="51">
                  <c:v>-0.8708586860038281</c:v>
                </c:pt>
                <c:pt idx="52">
                  <c:v>-0.37227595197730778</c:v>
                </c:pt>
                <c:pt idx="53">
                  <c:v>1.1309129560149955</c:v>
                </c:pt>
              </c:numCache>
            </c:numRef>
          </c:val>
          <c:smooth val="0"/>
        </c:ser>
        <c:dLbls>
          <c:showLegendKey val="0"/>
          <c:showVal val="0"/>
          <c:showCatName val="0"/>
          <c:showSerName val="0"/>
          <c:showPercent val="0"/>
          <c:showBubbleSize val="0"/>
        </c:dLbls>
        <c:marker val="1"/>
        <c:smooth val="0"/>
        <c:axId val="214086784"/>
        <c:axId val="214088320"/>
      </c:lineChart>
      <c:catAx>
        <c:axId val="21408678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4088320"/>
        <c:crosses val="autoZero"/>
        <c:auto val="1"/>
        <c:lblAlgn val="ctr"/>
        <c:lblOffset val="100"/>
        <c:tickLblSkip val="1"/>
        <c:tickMarkSkip val="1"/>
        <c:noMultiLvlLbl val="0"/>
      </c:catAx>
      <c:valAx>
        <c:axId val="214088320"/>
        <c:scaling>
          <c:orientation val="minMax"/>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Taux de croissance</a:t>
                </a:r>
              </a:p>
            </c:rich>
          </c:tx>
          <c:layout>
            <c:manualLayout>
              <c:xMode val="edge"/>
              <c:yMode val="edge"/>
              <c:x val="0"/>
              <c:y val="0.433783820867248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4086784"/>
        <c:crosses val="autoZero"/>
        <c:crossBetween val="between"/>
        <c:majorUnit val="5"/>
      </c:valAx>
      <c:spPr>
        <a:noFill/>
        <a:ln w="12700">
          <a:solidFill>
            <a:srgbClr val="808080"/>
          </a:solidFill>
          <a:prstDash val="solid"/>
        </a:ln>
      </c:spPr>
    </c:plotArea>
    <c:legend>
      <c:legendPos val="r"/>
      <c:layout>
        <c:manualLayout>
          <c:xMode val="edge"/>
          <c:yMode val="edge"/>
          <c:x val="0.796875"/>
          <c:y val="0"/>
          <c:w val="0.19895833333333335"/>
          <c:h val="7.4198988195615517E-2"/>
        </c:manualLayout>
      </c:layout>
      <c:overlay val="0"/>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Relations entre taux de croissance du prix, </a:t>
            </a:r>
          </a:p>
          <a:p>
            <a:pPr>
              <a:defRPr sz="8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de la consommation et revenu réels par habitant entre 1961 et 2014</a:t>
            </a:r>
          </a:p>
          <a:p>
            <a:pPr>
              <a:defRPr sz="800" b="0" i="0" u="none" strike="noStrike" baseline="0">
                <a:solidFill>
                  <a:srgbClr val="000000"/>
                </a:solidFill>
                <a:latin typeface="Arial"/>
                <a:ea typeface="Arial"/>
                <a:cs typeface="Arial"/>
              </a:defRPr>
            </a:pPr>
            <a:r>
              <a:rPr lang="fr-FR" sz="800" b="0" i="0" u="none" strike="noStrike" baseline="0">
                <a:solidFill>
                  <a:srgbClr val="000000"/>
                </a:solidFill>
                <a:latin typeface="Arial"/>
                <a:cs typeface="Arial"/>
              </a:rPr>
              <a:t>Source: INSEE</a:t>
            </a:r>
          </a:p>
        </c:rich>
      </c:tx>
      <c:layout>
        <c:manualLayout>
          <c:xMode val="edge"/>
          <c:yMode val="edge"/>
          <c:x val="0.11426192038495188"/>
          <c:y val="0"/>
        </c:manualLayout>
      </c:layout>
      <c:overlay val="0"/>
      <c:spPr>
        <a:noFill/>
        <a:ln w="25400">
          <a:noFill/>
        </a:ln>
      </c:spPr>
    </c:title>
    <c:autoTitleDeleted val="0"/>
    <c:plotArea>
      <c:layout>
        <c:manualLayout>
          <c:layoutTarget val="inner"/>
          <c:xMode val="edge"/>
          <c:yMode val="edge"/>
          <c:x val="5.4211843202668884E-2"/>
          <c:y val="0.10405405405405406"/>
          <c:w val="0.94578815679733097"/>
          <c:h val="0.85"/>
        </c:manualLayout>
      </c:layout>
      <c:lineChart>
        <c:grouping val="standard"/>
        <c:varyColors val="0"/>
        <c:ser>
          <c:idx val="0"/>
          <c:order val="0"/>
          <c:tx>
            <c:v>carburant par habitant</c:v>
          </c:tx>
          <c:spPr>
            <a:ln w="254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croissance'!$C$2:$C$56</c:f>
              <c:numCache>
                <c:formatCode>0.0</c:formatCode>
                <c:ptCount val="55"/>
                <c:pt idx="0">
                  <c:v>13.303830504609904</c:v>
                </c:pt>
                <c:pt idx="1">
                  <c:v>8.4489860874986888</c:v>
                </c:pt>
                <c:pt idx="2">
                  <c:v>9.7918102965769194</c:v>
                </c:pt>
                <c:pt idx="3">
                  <c:v>13.604845618833883</c:v>
                </c:pt>
                <c:pt idx="4">
                  <c:v>9.8443861233031615</c:v>
                </c:pt>
                <c:pt idx="5">
                  <c:v>9.2266939498396603</c:v>
                </c:pt>
                <c:pt idx="6">
                  <c:v>8.8670745341261856</c:v>
                </c:pt>
                <c:pt idx="7">
                  <c:v>9.7550439181359536</c:v>
                </c:pt>
                <c:pt idx="8">
                  <c:v>6.4550185905009938</c:v>
                </c:pt>
                <c:pt idx="9">
                  <c:v>7.3950224692028055</c:v>
                </c:pt>
                <c:pt idx="10">
                  <c:v>10.295943950040254</c:v>
                </c:pt>
                <c:pt idx="11">
                  <c:v>10.001697183039337</c:v>
                </c:pt>
                <c:pt idx="12">
                  <c:v>8.9270031838710739</c:v>
                </c:pt>
                <c:pt idx="13">
                  <c:v>-4.3898116300551182</c:v>
                </c:pt>
                <c:pt idx="14">
                  <c:v>4.613925874205016</c:v>
                </c:pt>
                <c:pt idx="15">
                  <c:v>5.6697278667984463</c:v>
                </c:pt>
                <c:pt idx="16">
                  <c:v>2.6969375504925175</c:v>
                </c:pt>
                <c:pt idx="17">
                  <c:v>5.2351046639721899</c:v>
                </c:pt>
                <c:pt idx="18">
                  <c:v>0.9736213261281379</c:v>
                </c:pt>
                <c:pt idx="19">
                  <c:v>0.95021619201898222</c:v>
                </c:pt>
                <c:pt idx="20">
                  <c:v>3.1490811991501277</c:v>
                </c:pt>
                <c:pt idx="21">
                  <c:v>1.3174315533231784</c:v>
                </c:pt>
                <c:pt idx="22">
                  <c:v>1.9960201756137663</c:v>
                </c:pt>
                <c:pt idx="23">
                  <c:v>0.77953703260783547</c:v>
                </c:pt>
                <c:pt idx="24">
                  <c:v>-1.0481323945448984</c:v>
                </c:pt>
                <c:pt idx="25">
                  <c:v>4.8711771291819144</c:v>
                </c:pt>
                <c:pt idx="26">
                  <c:v>2.4132283521173914</c:v>
                </c:pt>
                <c:pt idx="27">
                  <c:v>2.5741422826747962</c:v>
                </c:pt>
                <c:pt idx="28">
                  <c:v>6.4779868205165343</c:v>
                </c:pt>
                <c:pt idx="29">
                  <c:v>-4.4166334806157508</c:v>
                </c:pt>
                <c:pt idx="30">
                  <c:v>0.22934730805068693</c:v>
                </c:pt>
                <c:pt idx="31">
                  <c:v>1.5612428195481143</c:v>
                </c:pt>
                <c:pt idx="32">
                  <c:v>0.52020821525988747</c:v>
                </c:pt>
                <c:pt idx="33">
                  <c:v>1.0560113789203074</c:v>
                </c:pt>
                <c:pt idx="34">
                  <c:v>0.11381800605466674</c:v>
                </c:pt>
                <c:pt idx="35">
                  <c:v>-0.33199032618325131</c:v>
                </c:pt>
                <c:pt idx="36">
                  <c:v>0.42028596017608111</c:v>
                </c:pt>
                <c:pt idx="37">
                  <c:v>1.8580301401284305</c:v>
                </c:pt>
                <c:pt idx="38">
                  <c:v>0.3651829105619453</c:v>
                </c:pt>
                <c:pt idx="39">
                  <c:v>-2.1583643510576289</c:v>
                </c:pt>
                <c:pt idx="40">
                  <c:v>1.9435033859169115</c:v>
                </c:pt>
                <c:pt idx="41">
                  <c:v>-1.0006203747893849</c:v>
                </c:pt>
                <c:pt idx="42">
                  <c:v>-1.5829399560890356</c:v>
                </c:pt>
                <c:pt idx="43">
                  <c:v>-2.5606303124700136</c:v>
                </c:pt>
                <c:pt idx="44">
                  <c:v>-3.008815021909661</c:v>
                </c:pt>
                <c:pt idx="45">
                  <c:v>-2.4256246230402789</c:v>
                </c:pt>
                <c:pt idx="46">
                  <c:v>-0.44858208652499565</c:v>
                </c:pt>
                <c:pt idx="47">
                  <c:v>-1.5679012691086402</c:v>
                </c:pt>
                <c:pt idx="48">
                  <c:v>-0.47463647524590424</c:v>
                </c:pt>
                <c:pt idx="49">
                  <c:v>2.1198680968957717</c:v>
                </c:pt>
                <c:pt idx="50">
                  <c:v>-2.3576192172082844</c:v>
                </c:pt>
                <c:pt idx="51">
                  <c:v>-1.5896247317722545</c:v>
                </c:pt>
                <c:pt idx="52">
                  <c:v>-2.5743805400022857</c:v>
                </c:pt>
                <c:pt idx="53">
                  <c:v>-0.22912314424782254</c:v>
                </c:pt>
              </c:numCache>
            </c:numRef>
          </c:val>
          <c:smooth val="0"/>
        </c:ser>
        <c:ser>
          <c:idx val="1"/>
          <c:order val="1"/>
          <c:tx>
            <c:v>prix réel</c:v>
          </c:tx>
          <c:spPr>
            <a:ln w="254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croissance'!$F$2:$F$56</c:f>
              <c:numCache>
                <c:formatCode>0.0</c:formatCode>
                <c:ptCount val="55"/>
                <c:pt idx="0">
                  <c:v>-3.2688370282297652</c:v>
                </c:pt>
                <c:pt idx="1">
                  <c:v>-4.1459824271062757</c:v>
                </c:pt>
                <c:pt idx="2">
                  <c:v>-4.9253567656374733</c:v>
                </c:pt>
                <c:pt idx="3">
                  <c:v>-4.3745762971880433</c:v>
                </c:pt>
                <c:pt idx="4">
                  <c:v>-3.3285235065614147</c:v>
                </c:pt>
                <c:pt idx="5">
                  <c:v>-2.4857070338695193</c:v>
                </c:pt>
                <c:pt idx="6">
                  <c:v>-1.6285695666510989</c:v>
                </c:pt>
                <c:pt idx="7">
                  <c:v>-2.392242144510448</c:v>
                </c:pt>
                <c:pt idx="8">
                  <c:v>0.11515827686994773</c:v>
                </c:pt>
                <c:pt idx="9">
                  <c:v>-2.5538966047760043</c:v>
                </c:pt>
                <c:pt idx="10">
                  <c:v>-2.8209429238095409</c:v>
                </c:pt>
                <c:pt idx="11">
                  <c:v>-4.6361721244826484</c:v>
                </c:pt>
                <c:pt idx="12">
                  <c:v>-2.7230627936907532</c:v>
                </c:pt>
                <c:pt idx="13">
                  <c:v>20.75247330853648</c:v>
                </c:pt>
                <c:pt idx="14">
                  <c:v>-7.4888264269544145</c:v>
                </c:pt>
                <c:pt idx="15">
                  <c:v>-1.1051969141246092</c:v>
                </c:pt>
                <c:pt idx="16">
                  <c:v>6.7198572809190891</c:v>
                </c:pt>
                <c:pt idx="17">
                  <c:v>-0.28664595382609792</c:v>
                </c:pt>
                <c:pt idx="18">
                  <c:v>3.1182807010916385</c:v>
                </c:pt>
                <c:pt idx="19">
                  <c:v>4.2697749405999383</c:v>
                </c:pt>
                <c:pt idx="20">
                  <c:v>-4.799274393230629</c:v>
                </c:pt>
                <c:pt idx="21">
                  <c:v>3.6372561754144881</c:v>
                </c:pt>
                <c:pt idx="22">
                  <c:v>-1.2505976462320101</c:v>
                </c:pt>
                <c:pt idx="23">
                  <c:v>-0.38621642092606656</c:v>
                </c:pt>
                <c:pt idx="24">
                  <c:v>3.375801717079602</c:v>
                </c:pt>
                <c:pt idx="25">
                  <c:v>-8.2859706228346486</c:v>
                </c:pt>
                <c:pt idx="26">
                  <c:v>-15.83779286561364</c:v>
                </c:pt>
                <c:pt idx="27">
                  <c:v>-2.4847667982727284</c:v>
                </c:pt>
                <c:pt idx="28">
                  <c:v>0.80455590034313462</c:v>
                </c:pt>
                <c:pt idx="29">
                  <c:v>-1.5642955317142686</c:v>
                </c:pt>
                <c:pt idx="30">
                  <c:v>1.1020846143984484</c:v>
                </c:pt>
                <c:pt idx="31">
                  <c:v>-5.0133603352675236</c:v>
                </c:pt>
                <c:pt idx="32">
                  <c:v>0.91899091320992587</c:v>
                </c:pt>
                <c:pt idx="33">
                  <c:v>1.4257691151706899</c:v>
                </c:pt>
                <c:pt idx="34">
                  <c:v>1.3973714616530049</c:v>
                </c:pt>
                <c:pt idx="35">
                  <c:v>4.5730271430330216</c:v>
                </c:pt>
                <c:pt idx="36">
                  <c:v>1.930795580476917</c:v>
                </c:pt>
                <c:pt idx="37">
                  <c:v>-4.1408216298394649</c:v>
                </c:pt>
                <c:pt idx="38">
                  <c:v>5.6284820668194131</c:v>
                </c:pt>
                <c:pt idx="39">
                  <c:v>12.989947826597561</c:v>
                </c:pt>
                <c:pt idx="40">
                  <c:v>-8.4289611190303919</c:v>
                </c:pt>
                <c:pt idx="41">
                  <c:v>-4.1470895022325482</c:v>
                </c:pt>
                <c:pt idx="42">
                  <c:v>-1.2199586814531795</c:v>
                </c:pt>
                <c:pt idx="43">
                  <c:v>4.4450947082968328</c:v>
                </c:pt>
                <c:pt idx="44">
                  <c:v>9.8933331805859481</c:v>
                </c:pt>
                <c:pt idx="45">
                  <c:v>7.0130051221659082</c:v>
                </c:pt>
                <c:pt idx="46">
                  <c:v>-3.7436123872653768</c:v>
                </c:pt>
                <c:pt idx="47">
                  <c:v>8.0341249546334002</c:v>
                </c:pt>
                <c:pt idx="48">
                  <c:v>-17.390816590110987</c:v>
                </c:pt>
                <c:pt idx="49">
                  <c:v>10.661866390399814</c:v>
                </c:pt>
                <c:pt idx="50">
                  <c:v>11.538262829313636</c:v>
                </c:pt>
                <c:pt idx="51">
                  <c:v>2.8496766630129233</c:v>
                </c:pt>
                <c:pt idx="52">
                  <c:v>-3.5429048648747519</c:v>
                </c:pt>
                <c:pt idx="53">
                  <c:v>-4.5519510373730867</c:v>
                </c:pt>
              </c:numCache>
            </c:numRef>
          </c:val>
          <c:smooth val="0"/>
        </c:ser>
        <c:ser>
          <c:idx val="2"/>
          <c:order val="2"/>
          <c:tx>
            <c:v>revenu réel par habitant</c:v>
          </c:tx>
          <c:spPr>
            <a:ln w="12700">
              <a:solidFill>
                <a:srgbClr val="333333"/>
              </a:solidFill>
              <a:prstDash val="sysDash"/>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croissance'!$I$2:$I$56</c:f>
              <c:numCache>
                <c:formatCode>0.0</c:formatCode>
                <c:ptCount val="55"/>
                <c:pt idx="0">
                  <c:v>3.5495302534696904</c:v>
                </c:pt>
                <c:pt idx="1">
                  <c:v>7.287810404549866</c:v>
                </c:pt>
                <c:pt idx="2">
                  <c:v>5.0586572988292389</c:v>
                </c:pt>
                <c:pt idx="3">
                  <c:v>3.9675352877189596</c:v>
                </c:pt>
                <c:pt idx="4">
                  <c:v>3.7648619385633353</c:v>
                </c:pt>
                <c:pt idx="5">
                  <c:v>3.8966517207517981</c:v>
                </c:pt>
                <c:pt idx="6">
                  <c:v>4.7793554324758958</c:v>
                </c:pt>
                <c:pt idx="7">
                  <c:v>3.6559907046646245</c:v>
                </c:pt>
                <c:pt idx="8">
                  <c:v>3.8000062021971814</c:v>
                </c:pt>
                <c:pt idx="9">
                  <c:v>6.0271714385411457</c:v>
                </c:pt>
                <c:pt idx="10">
                  <c:v>4.4486098302064292</c:v>
                </c:pt>
                <c:pt idx="11">
                  <c:v>4.8600056578479212</c:v>
                </c:pt>
                <c:pt idx="12">
                  <c:v>4.7277938298229572</c:v>
                </c:pt>
                <c:pt idx="13">
                  <c:v>2.9486937696663773</c:v>
                </c:pt>
                <c:pt idx="14">
                  <c:v>2.6101152462018717</c:v>
                </c:pt>
                <c:pt idx="15">
                  <c:v>1.9667275616740199</c:v>
                </c:pt>
                <c:pt idx="16">
                  <c:v>2.2712248258804024</c:v>
                </c:pt>
                <c:pt idx="17">
                  <c:v>5.4399782869491986</c:v>
                </c:pt>
                <c:pt idx="18">
                  <c:v>0.3885724136456048</c:v>
                </c:pt>
                <c:pt idx="19">
                  <c:v>2.1837980725791795E-2</c:v>
                </c:pt>
                <c:pt idx="20">
                  <c:v>1.1481384622808122</c:v>
                </c:pt>
                <c:pt idx="21">
                  <c:v>1.5930385183166251</c:v>
                </c:pt>
                <c:pt idx="22">
                  <c:v>-0.5375771368221649</c:v>
                </c:pt>
                <c:pt idx="23">
                  <c:v>-1.6455655357100696</c:v>
                </c:pt>
                <c:pt idx="24">
                  <c:v>0.28127135066657871</c:v>
                </c:pt>
                <c:pt idx="25">
                  <c:v>2.0504953182454599</c:v>
                </c:pt>
                <c:pt idx="26">
                  <c:v>0.81890634694037345</c:v>
                </c:pt>
                <c:pt idx="27">
                  <c:v>2.8468160660446884</c:v>
                </c:pt>
                <c:pt idx="28">
                  <c:v>2.9998578132211406</c:v>
                </c:pt>
                <c:pt idx="29">
                  <c:v>3.1793883774099641</c:v>
                </c:pt>
                <c:pt idx="30">
                  <c:v>1.0263198981999011</c:v>
                </c:pt>
                <c:pt idx="31">
                  <c:v>1.5713507128111814</c:v>
                </c:pt>
                <c:pt idx="32">
                  <c:v>0.29980460675709253</c:v>
                </c:pt>
                <c:pt idx="33">
                  <c:v>0.44405142064896097</c:v>
                </c:pt>
                <c:pt idx="34">
                  <c:v>2.0791384117934797</c:v>
                </c:pt>
                <c:pt idx="35">
                  <c:v>0.55855991756725842</c:v>
                </c:pt>
                <c:pt idx="36">
                  <c:v>1.5424021789600673</c:v>
                </c:pt>
                <c:pt idx="37">
                  <c:v>2.895781699649369</c:v>
                </c:pt>
                <c:pt idx="38">
                  <c:v>2.4037262576593221</c:v>
                </c:pt>
                <c:pt idx="39">
                  <c:v>2.644496437104138</c:v>
                </c:pt>
                <c:pt idx="40">
                  <c:v>2.4412339506991287</c:v>
                </c:pt>
                <c:pt idx="41">
                  <c:v>2.2212401638750379</c:v>
                </c:pt>
                <c:pt idx="42">
                  <c:v>0.21473980298001294</c:v>
                </c:pt>
                <c:pt idx="43">
                  <c:v>1.5386278456150038</c:v>
                </c:pt>
                <c:pt idx="44">
                  <c:v>0.30233494129490168</c:v>
                </c:pt>
                <c:pt idx="45">
                  <c:v>1.7066688150752185</c:v>
                </c:pt>
                <c:pt idx="46">
                  <c:v>2.4413087911877795</c:v>
                </c:pt>
                <c:pt idx="47">
                  <c:v>-0.22814944936140336</c:v>
                </c:pt>
                <c:pt idx="48">
                  <c:v>1.119834063267966</c:v>
                </c:pt>
                <c:pt idx="49">
                  <c:v>0.70708958542606837</c:v>
                </c:pt>
                <c:pt idx="50">
                  <c:v>-0.28173457679923075</c:v>
                </c:pt>
                <c:pt idx="51">
                  <c:v>-1.3774849099961628</c:v>
                </c:pt>
                <c:pt idx="52">
                  <c:v>-0.88915457080815941</c:v>
                </c:pt>
                <c:pt idx="53">
                  <c:v>0.70565618455926682</c:v>
                </c:pt>
              </c:numCache>
            </c:numRef>
          </c:val>
          <c:smooth val="0"/>
        </c:ser>
        <c:dLbls>
          <c:showLegendKey val="0"/>
          <c:showVal val="0"/>
          <c:showCatName val="0"/>
          <c:showSerName val="0"/>
          <c:showPercent val="0"/>
          <c:showBubbleSize val="0"/>
        </c:dLbls>
        <c:marker val="1"/>
        <c:smooth val="0"/>
        <c:axId val="214205952"/>
        <c:axId val="214207488"/>
      </c:lineChart>
      <c:catAx>
        <c:axId val="21420595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4207488"/>
        <c:crosses val="autoZero"/>
        <c:auto val="1"/>
        <c:lblAlgn val="ctr"/>
        <c:lblOffset val="100"/>
        <c:tickLblSkip val="1"/>
        <c:tickMarkSkip val="1"/>
        <c:noMultiLvlLbl val="0"/>
      </c:catAx>
      <c:valAx>
        <c:axId val="214207488"/>
        <c:scaling>
          <c:orientation val="minMax"/>
        </c:scaling>
        <c:delete val="0"/>
        <c:axPos val="l"/>
        <c:majorGridlines>
          <c:spPr>
            <a:ln w="3175">
              <a:solidFill>
                <a:srgbClr val="808080"/>
              </a:solidFill>
              <a:prstDash val="sysDash"/>
            </a:ln>
          </c:spPr>
        </c:majorGridlines>
        <c:title>
          <c:tx>
            <c:rich>
              <a:bodyPr/>
              <a:lstStyle/>
              <a:p>
                <a:pPr>
                  <a:defRPr sz="800" b="0" i="0" u="none" strike="noStrike" baseline="0">
                    <a:solidFill>
                      <a:srgbClr val="000000"/>
                    </a:solidFill>
                    <a:latin typeface="Arial"/>
                    <a:ea typeface="Arial"/>
                    <a:cs typeface="Arial"/>
                  </a:defRPr>
                </a:pPr>
                <a:r>
                  <a:rPr lang="fr-FR"/>
                  <a:t>Taux de croissance</a:t>
                </a:r>
              </a:p>
            </c:rich>
          </c:tx>
          <c:layout>
            <c:manualLayout>
              <c:xMode val="edge"/>
              <c:yMode val="edge"/>
              <c:x val="1.6680883639545057E-3"/>
              <c:y val="0.44999995573909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4205952"/>
        <c:crosses val="autoZero"/>
        <c:crossBetween val="between"/>
        <c:majorUnit val="5"/>
      </c:valAx>
      <c:spPr>
        <a:noFill/>
        <a:ln w="12700">
          <a:solidFill>
            <a:srgbClr val="808080"/>
          </a:solidFill>
          <a:prstDash val="solid"/>
        </a:ln>
      </c:spPr>
    </c:plotArea>
    <c:legend>
      <c:legendPos val="r"/>
      <c:layout>
        <c:manualLayout>
          <c:xMode val="edge"/>
          <c:yMode val="edge"/>
          <c:x val="0.7270833333333333"/>
          <c:y val="0"/>
          <c:w val="0.27083333333333337"/>
          <c:h val="7.7571669477234401E-2"/>
        </c:manualLayout>
      </c:layout>
      <c:overlay val="0"/>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fr-FR"/>
    </a:p>
  </c:txPr>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Relation entre prix, consommation et revenu réels par ménage</a:t>
            </a:r>
          </a:p>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entre 1961 et 2014. </a:t>
            </a:r>
            <a:r>
              <a:rPr lang="fr-FR" sz="800" b="0" i="0" u="none" strike="noStrike" baseline="0">
                <a:solidFill>
                  <a:srgbClr val="000000"/>
                </a:solidFill>
                <a:latin typeface="Arial"/>
                <a:cs typeface="Arial"/>
              </a:rPr>
              <a:t>Source: INSEE</a:t>
            </a:r>
          </a:p>
        </c:rich>
      </c:tx>
      <c:layout>
        <c:manualLayout>
          <c:xMode val="edge"/>
          <c:yMode val="edge"/>
          <c:x val="0.1217681539807524"/>
          <c:y val="0"/>
        </c:manualLayout>
      </c:layout>
      <c:overlay val="0"/>
      <c:spPr>
        <a:noFill/>
        <a:ln w="25400">
          <a:noFill/>
        </a:ln>
      </c:spPr>
    </c:title>
    <c:autoTitleDeleted val="0"/>
    <c:plotArea>
      <c:layout>
        <c:manualLayout>
          <c:layoutTarget val="inner"/>
          <c:xMode val="edge"/>
          <c:yMode val="edge"/>
          <c:x val="6.672226855713094E-2"/>
          <c:y val="0.10945945945945947"/>
          <c:w val="0.93327773144286896"/>
          <c:h val="0.84459459459459463"/>
        </c:manualLayout>
      </c:layout>
      <c:lineChart>
        <c:grouping val="standard"/>
        <c:varyColors val="0"/>
        <c:ser>
          <c:idx val="0"/>
          <c:order val="0"/>
          <c:tx>
            <c:v>carburant par ménage</c:v>
          </c:tx>
          <c:spPr>
            <a:ln w="254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croissance'!$D$2:$D$56</c:f>
              <c:numCache>
                <c:formatCode>0.0</c:formatCode>
                <c:ptCount val="55"/>
                <c:pt idx="0">
                  <c:v>13.325021429306915</c:v>
                </c:pt>
                <c:pt idx="1">
                  <c:v>8.9752338447869775</c:v>
                </c:pt>
                <c:pt idx="2">
                  <c:v>9.0631039510663314</c:v>
                </c:pt>
                <c:pt idx="3">
                  <c:v>13.598226137876601</c:v>
                </c:pt>
                <c:pt idx="4">
                  <c:v>9.660823406019869</c:v>
                </c:pt>
                <c:pt idx="5">
                  <c:v>9.0864388582559634</c:v>
                </c:pt>
                <c:pt idx="6">
                  <c:v>8.447540644911566</c:v>
                </c:pt>
                <c:pt idx="7">
                  <c:v>9.2489834135254085</c:v>
                </c:pt>
                <c:pt idx="8">
                  <c:v>5.6847825894475843</c:v>
                </c:pt>
                <c:pt idx="9">
                  <c:v>6.5223172697906895</c:v>
                </c:pt>
                <c:pt idx="10">
                  <c:v>9.3756570238254433</c:v>
                </c:pt>
                <c:pt idx="11">
                  <c:v>9.0501678999984065</c:v>
                </c:pt>
                <c:pt idx="12">
                  <c:v>7.9548426400280068</c:v>
                </c:pt>
                <c:pt idx="13">
                  <c:v>-5.4797329723017585</c:v>
                </c:pt>
                <c:pt idx="14">
                  <c:v>3.4526831362768866</c:v>
                </c:pt>
                <c:pt idx="15">
                  <c:v>4.547666953963037</c:v>
                </c:pt>
                <c:pt idx="16">
                  <c:v>1.6536481190771206</c:v>
                </c:pt>
                <c:pt idx="17">
                  <c:v>4.1398366749483673</c:v>
                </c:pt>
                <c:pt idx="18">
                  <c:v>-2.0122528458807465E-2</c:v>
                </c:pt>
                <c:pt idx="19">
                  <c:v>9.6685079654330874E-2</c:v>
                </c:pt>
                <c:pt idx="20">
                  <c:v>2.3585118593046408</c:v>
                </c:pt>
                <c:pt idx="21">
                  <c:v>0.54979192172704283</c:v>
                </c:pt>
                <c:pt idx="22">
                  <c:v>1.0910459908961487</c:v>
                </c:pt>
                <c:pt idx="23">
                  <c:v>-6.4341797048152183E-2</c:v>
                </c:pt>
                <c:pt idx="24">
                  <c:v>-1.8103988176959378</c:v>
                </c:pt>
                <c:pt idx="25">
                  <c:v>4.1958638385669484</c:v>
                </c:pt>
                <c:pt idx="26">
                  <c:v>1.7913414791299043</c:v>
                </c:pt>
                <c:pt idx="27">
                  <c:v>2.0159731555457001</c:v>
                </c:pt>
                <c:pt idx="28">
                  <c:v>5.9634368606808934</c:v>
                </c:pt>
                <c:pt idx="29">
                  <c:v>-5.1082403005869939</c:v>
                </c:pt>
                <c:pt idx="30">
                  <c:v>-0.5132167952729777</c:v>
                </c:pt>
                <c:pt idx="31">
                  <c:v>0.87056896726865063</c:v>
                </c:pt>
                <c:pt idx="32">
                  <c:v>-0.25292309390665679</c:v>
                </c:pt>
                <c:pt idx="33">
                  <c:v>0.25795128310183157</c:v>
                </c:pt>
                <c:pt idx="34">
                  <c:v>-0.70388344758295918</c:v>
                </c:pt>
                <c:pt idx="35">
                  <c:v>-1.1166448420868447</c:v>
                </c:pt>
                <c:pt idx="36">
                  <c:v>-0.32935938283698007</c:v>
                </c:pt>
                <c:pt idx="37">
                  <c:v>1.1571798652494554</c:v>
                </c:pt>
                <c:pt idx="38">
                  <c:v>-0.19520970224543022</c:v>
                </c:pt>
                <c:pt idx="39">
                  <c:v>-2.8124412106148493</c:v>
                </c:pt>
                <c:pt idx="40">
                  <c:v>1.2791219039708563</c:v>
                </c:pt>
                <c:pt idx="41">
                  <c:v>-1.668416783086077</c:v>
                </c:pt>
                <c:pt idx="42">
                  <c:v>-2.2290885440660797</c:v>
                </c:pt>
                <c:pt idx="43">
                  <c:v>-3.0802982034968966</c:v>
                </c:pt>
                <c:pt idx="44">
                  <c:v>-3.5121957167409317</c:v>
                </c:pt>
                <c:pt idx="45">
                  <c:v>-2.9536318551854555</c:v>
                </c:pt>
                <c:pt idx="46">
                  <c:v>-0.98005469866915584</c:v>
                </c:pt>
                <c:pt idx="47">
                  <c:v>-2.0015646542689449</c:v>
                </c:pt>
                <c:pt idx="48">
                  <c:v>-0.91106071776597863</c:v>
                </c:pt>
                <c:pt idx="49">
                  <c:v>1.7169332833274098</c:v>
                </c:pt>
                <c:pt idx="50">
                  <c:v>-2.7159487190258793</c:v>
                </c:pt>
                <c:pt idx="51">
                  <c:v>-1.9131869255236169</c:v>
                </c:pt>
                <c:pt idx="52">
                  <c:v>-2.9158384111786679</c:v>
                </c:pt>
                <c:pt idx="53">
                  <c:v>-0.61488733594571576</c:v>
                </c:pt>
              </c:numCache>
            </c:numRef>
          </c:val>
          <c:smooth val="0"/>
        </c:ser>
        <c:ser>
          <c:idx val="1"/>
          <c:order val="1"/>
          <c:tx>
            <c:v>prix réel</c:v>
          </c:tx>
          <c:spPr>
            <a:ln w="254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croissance'!$F$2:$F$56</c:f>
              <c:numCache>
                <c:formatCode>0.0</c:formatCode>
                <c:ptCount val="55"/>
                <c:pt idx="0">
                  <c:v>-3.2688370282297652</c:v>
                </c:pt>
                <c:pt idx="1">
                  <c:v>-4.1459824271062757</c:v>
                </c:pt>
                <c:pt idx="2">
                  <c:v>-4.9253567656374733</c:v>
                </c:pt>
                <c:pt idx="3">
                  <c:v>-4.3745762971880433</c:v>
                </c:pt>
                <c:pt idx="4">
                  <c:v>-3.3285235065614147</c:v>
                </c:pt>
                <c:pt idx="5">
                  <c:v>-2.4857070338695193</c:v>
                </c:pt>
                <c:pt idx="6">
                  <c:v>-1.6285695666510989</c:v>
                </c:pt>
                <c:pt idx="7">
                  <c:v>-2.392242144510448</c:v>
                </c:pt>
                <c:pt idx="8">
                  <c:v>0.11515827686994773</c:v>
                </c:pt>
                <c:pt idx="9">
                  <c:v>-2.5538966047760043</c:v>
                </c:pt>
                <c:pt idx="10">
                  <c:v>-2.8209429238095409</c:v>
                </c:pt>
                <c:pt idx="11">
                  <c:v>-4.6361721244826484</c:v>
                </c:pt>
                <c:pt idx="12">
                  <c:v>-2.7230627936907532</c:v>
                </c:pt>
                <c:pt idx="13">
                  <c:v>20.75247330853648</c:v>
                </c:pt>
                <c:pt idx="14">
                  <c:v>-7.4888264269544145</c:v>
                </c:pt>
                <c:pt idx="15">
                  <c:v>-1.1051969141246092</c:v>
                </c:pt>
                <c:pt idx="16">
                  <c:v>6.7198572809190891</c:v>
                </c:pt>
                <c:pt idx="17">
                  <c:v>-0.28664595382609792</c:v>
                </c:pt>
                <c:pt idx="18">
                  <c:v>3.1182807010916385</c:v>
                </c:pt>
                <c:pt idx="19">
                  <c:v>4.2697749405999383</c:v>
                </c:pt>
                <c:pt idx="20">
                  <c:v>-4.799274393230629</c:v>
                </c:pt>
                <c:pt idx="21">
                  <c:v>3.6372561754144881</c:v>
                </c:pt>
                <c:pt idx="22">
                  <c:v>-1.2505976462320101</c:v>
                </c:pt>
                <c:pt idx="23">
                  <c:v>-0.38621642092606656</c:v>
                </c:pt>
                <c:pt idx="24">
                  <c:v>3.375801717079602</c:v>
                </c:pt>
                <c:pt idx="25">
                  <c:v>-8.2859706228346486</c:v>
                </c:pt>
                <c:pt idx="26">
                  <c:v>-15.83779286561364</c:v>
                </c:pt>
                <c:pt idx="27">
                  <c:v>-2.4847667982727284</c:v>
                </c:pt>
                <c:pt idx="28">
                  <c:v>0.80455590034313462</c:v>
                </c:pt>
                <c:pt idx="29">
                  <c:v>-1.5642955317142686</c:v>
                </c:pt>
                <c:pt idx="30">
                  <c:v>1.1020846143984484</c:v>
                </c:pt>
                <c:pt idx="31">
                  <c:v>-5.0133603352675236</c:v>
                </c:pt>
                <c:pt idx="32">
                  <c:v>0.91899091320992587</c:v>
                </c:pt>
                <c:pt idx="33">
                  <c:v>1.4257691151706899</c:v>
                </c:pt>
                <c:pt idx="34">
                  <c:v>1.3973714616530049</c:v>
                </c:pt>
                <c:pt idx="35">
                  <c:v>4.5730271430330216</c:v>
                </c:pt>
                <c:pt idx="36">
                  <c:v>1.930795580476917</c:v>
                </c:pt>
                <c:pt idx="37">
                  <c:v>-4.1408216298394649</c:v>
                </c:pt>
                <c:pt idx="38">
                  <c:v>5.6284820668194131</c:v>
                </c:pt>
                <c:pt idx="39">
                  <c:v>12.989947826597561</c:v>
                </c:pt>
                <c:pt idx="40">
                  <c:v>-8.4289611190303919</c:v>
                </c:pt>
                <c:pt idx="41">
                  <c:v>-4.1470895022325482</c:v>
                </c:pt>
                <c:pt idx="42">
                  <c:v>-1.2199586814531795</c:v>
                </c:pt>
                <c:pt idx="43">
                  <c:v>4.4450947082968328</c:v>
                </c:pt>
                <c:pt idx="44">
                  <c:v>9.8933331805859481</c:v>
                </c:pt>
                <c:pt idx="45">
                  <c:v>7.0130051221659082</c:v>
                </c:pt>
                <c:pt idx="46">
                  <c:v>-3.7436123872653768</c:v>
                </c:pt>
                <c:pt idx="47">
                  <c:v>8.0341249546334002</c:v>
                </c:pt>
                <c:pt idx="48">
                  <c:v>-17.390816590110987</c:v>
                </c:pt>
                <c:pt idx="49">
                  <c:v>10.661866390399814</c:v>
                </c:pt>
                <c:pt idx="50">
                  <c:v>11.538262829313636</c:v>
                </c:pt>
                <c:pt idx="51">
                  <c:v>2.8496766630129233</c:v>
                </c:pt>
                <c:pt idx="52">
                  <c:v>-3.5429048648747519</c:v>
                </c:pt>
                <c:pt idx="53">
                  <c:v>-4.5519510373730867</c:v>
                </c:pt>
              </c:numCache>
            </c:numRef>
          </c:val>
          <c:smooth val="0"/>
        </c:ser>
        <c:ser>
          <c:idx val="2"/>
          <c:order val="2"/>
          <c:tx>
            <c:v>revenu réel par ménage</c:v>
          </c:tx>
          <c:spPr>
            <a:ln w="12700">
              <a:solidFill>
                <a:srgbClr val="333333"/>
              </a:solidFill>
              <a:prstDash val="sysDash"/>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croissance'!$J$2:$J$56</c:f>
              <c:numCache>
                <c:formatCode>0.0</c:formatCode>
                <c:ptCount val="55"/>
                <c:pt idx="0">
                  <c:v>3.5707211781666359</c:v>
                </c:pt>
                <c:pt idx="1">
                  <c:v>7.8140581618383109</c:v>
                </c:pt>
                <c:pt idx="2">
                  <c:v>4.3299509533184732</c:v>
                </c:pt>
                <c:pt idx="3">
                  <c:v>3.9609158067618111</c:v>
                </c:pt>
                <c:pt idx="4">
                  <c:v>3.5812992212798989</c:v>
                </c:pt>
                <c:pt idx="5">
                  <c:v>3.7563966291681794</c:v>
                </c:pt>
                <c:pt idx="6">
                  <c:v>4.359821543261333</c:v>
                </c:pt>
                <c:pt idx="7">
                  <c:v>3.1499302000540297</c:v>
                </c:pt>
                <c:pt idx="8">
                  <c:v>3.0297702011438332</c:v>
                </c:pt>
                <c:pt idx="9">
                  <c:v>5.1544662391290075</c:v>
                </c:pt>
                <c:pt idx="10">
                  <c:v>3.5283229039915653</c:v>
                </c:pt>
                <c:pt idx="11">
                  <c:v>3.9084763748070017</c:v>
                </c:pt>
                <c:pt idx="12">
                  <c:v>3.7556332859798758</c:v>
                </c:pt>
                <c:pt idx="13">
                  <c:v>1.8587724274196304</c:v>
                </c:pt>
                <c:pt idx="14">
                  <c:v>1.4488725082738796</c:v>
                </c:pt>
                <c:pt idx="15">
                  <c:v>0.84466664883855458</c:v>
                </c:pt>
                <c:pt idx="16">
                  <c:v>1.2279353944649074</c:v>
                </c:pt>
                <c:pt idx="17">
                  <c:v>4.3447102979255803</c:v>
                </c:pt>
                <c:pt idx="18">
                  <c:v>-0.60517144094145436</c:v>
                </c:pt>
                <c:pt idx="19">
                  <c:v>-0.83169313163882208</c:v>
                </c:pt>
                <c:pt idx="20">
                  <c:v>0.35756912243538608</c:v>
                </c:pt>
                <c:pt idx="21">
                  <c:v>0.82539888672048534</c:v>
                </c:pt>
                <c:pt idx="22">
                  <c:v>-1.4425513215396535</c:v>
                </c:pt>
                <c:pt idx="23">
                  <c:v>-2.4894443653661114</c:v>
                </c:pt>
                <c:pt idx="24">
                  <c:v>-0.48099507248462459</c:v>
                </c:pt>
                <c:pt idx="25">
                  <c:v>1.3751820276306503</c:v>
                </c:pt>
                <c:pt idx="26">
                  <c:v>0.1970194739527642</c:v>
                </c:pt>
                <c:pt idx="27">
                  <c:v>2.2886469389156616</c:v>
                </c:pt>
                <c:pt idx="28">
                  <c:v>2.4853078533855211</c:v>
                </c:pt>
                <c:pt idx="29">
                  <c:v>2.487781557438673</c:v>
                </c:pt>
                <c:pt idx="30">
                  <c:v>0.28375579487622815</c:v>
                </c:pt>
                <c:pt idx="31">
                  <c:v>0.88067686053179273</c:v>
                </c:pt>
                <c:pt idx="32">
                  <c:v>-0.47332670240969321</c:v>
                </c:pt>
                <c:pt idx="33">
                  <c:v>-0.3540086751693039</c:v>
                </c:pt>
                <c:pt idx="34">
                  <c:v>1.2614369581557483</c:v>
                </c:pt>
                <c:pt idx="35">
                  <c:v>-0.22609459833642376</c:v>
                </c:pt>
                <c:pt idx="36">
                  <c:v>0.79275683594719482</c:v>
                </c:pt>
                <c:pt idx="37">
                  <c:v>2.1949314247702745</c:v>
                </c:pt>
                <c:pt idx="38">
                  <c:v>1.8433336448520521</c:v>
                </c:pt>
                <c:pt idx="39">
                  <c:v>1.9904195775469091</c:v>
                </c:pt>
                <c:pt idx="40">
                  <c:v>1.7768524687529208</c:v>
                </c:pt>
                <c:pt idx="41">
                  <c:v>1.5534437555785985</c:v>
                </c:pt>
                <c:pt idx="42">
                  <c:v>-0.43140878499716706</c:v>
                </c:pt>
                <c:pt idx="43">
                  <c:v>1.0189599545881833</c:v>
                </c:pt>
                <c:pt idx="44">
                  <c:v>-0.20104575353645515</c:v>
                </c:pt>
                <c:pt idx="45">
                  <c:v>1.1786615829301184</c:v>
                </c:pt>
                <c:pt idx="46">
                  <c:v>1.9098361790437224</c:v>
                </c:pt>
                <c:pt idx="47">
                  <c:v>-0.66181283452184658</c:v>
                </c:pt>
                <c:pt idx="48">
                  <c:v>0.68340982074790446</c:v>
                </c:pt>
                <c:pt idx="49">
                  <c:v>0.30415477185758988</c:v>
                </c:pt>
                <c:pt idx="50">
                  <c:v>-0.64006407861665338</c:v>
                </c:pt>
                <c:pt idx="51">
                  <c:v>-1.7010471037474773</c:v>
                </c:pt>
                <c:pt idx="52">
                  <c:v>-1.2306124419847464</c:v>
                </c:pt>
                <c:pt idx="53">
                  <c:v>0.31989199286144299</c:v>
                </c:pt>
              </c:numCache>
            </c:numRef>
          </c:val>
          <c:smooth val="0"/>
        </c:ser>
        <c:dLbls>
          <c:showLegendKey val="0"/>
          <c:showVal val="0"/>
          <c:showCatName val="0"/>
          <c:showSerName val="0"/>
          <c:showPercent val="0"/>
          <c:showBubbleSize val="0"/>
        </c:dLbls>
        <c:marker val="1"/>
        <c:smooth val="0"/>
        <c:axId val="214443904"/>
        <c:axId val="214445440"/>
      </c:lineChart>
      <c:catAx>
        <c:axId val="21444390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4445440"/>
        <c:crosses val="autoZero"/>
        <c:auto val="1"/>
        <c:lblAlgn val="ctr"/>
        <c:lblOffset val="100"/>
        <c:tickLblSkip val="1"/>
        <c:tickMarkSkip val="1"/>
        <c:noMultiLvlLbl val="0"/>
      </c:catAx>
      <c:valAx>
        <c:axId val="214445440"/>
        <c:scaling>
          <c:orientation val="minMax"/>
          <c:max val="25"/>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Taux de croissance</a:t>
                </a:r>
              </a:p>
            </c:rich>
          </c:tx>
          <c:layout>
            <c:manualLayout>
              <c:xMode val="edge"/>
              <c:yMode val="edge"/>
              <c:x val="8.3403324584426942E-3"/>
              <c:y val="0.431081072707395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4443904"/>
        <c:crosses val="autoZero"/>
        <c:crossBetween val="between"/>
        <c:majorUnit val="5"/>
      </c:valAx>
      <c:spPr>
        <a:noFill/>
        <a:ln w="12700">
          <a:solidFill>
            <a:srgbClr val="808080"/>
          </a:solidFill>
          <a:prstDash val="solid"/>
        </a:ln>
      </c:spPr>
    </c:plotArea>
    <c:legend>
      <c:legendPos val="r"/>
      <c:layout>
        <c:manualLayout>
          <c:xMode val="edge"/>
          <c:yMode val="edge"/>
          <c:x val="0.70729166666666665"/>
          <c:y val="0"/>
          <c:w val="0.29062500000000002"/>
          <c:h val="8.7689713322091065E-2"/>
        </c:manualLayout>
      </c:layout>
      <c:overlay val="0"/>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fr-FR"/>
              <a:t>Comparaison de l'écart de croissance 
revenu-prix et de la consommation</a:t>
            </a:r>
          </a:p>
        </c:rich>
      </c:tx>
      <c:layout>
        <c:manualLayout>
          <c:xMode val="edge"/>
          <c:yMode val="edge"/>
          <c:x val="0.14762303149606298"/>
          <c:y val="0"/>
        </c:manualLayout>
      </c:layout>
      <c:overlay val="0"/>
      <c:spPr>
        <a:noFill/>
        <a:ln w="25400">
          <a:noFill/>
        </a:ln>
      </c:spPr>
    </c:title>
    <c:autoTitleDeleted val="0"/>
    <c:plotArea>
      <c:layout>
        <c:manualLayout>
          <c:layoutTarget val="inner"/>
          <c:xMode val="edge"/>
          <c:yMode val="edge"/>
          <c:x val="5.0875729774812327E-2"/>
          <c:y val="8.2432432432432423E-2"/>
          <c:w val="0.94912427022518753"/>
          <c:h val="0.8716216216216216"/>
        </c:manualLayout>
      </c:layout>
      <c:lineChart>
        <c:grouping val="standard"/>
        <c:varyColors val="0"/>
        <c:ser>
          <c:idx val="0"/>
          <c:order val="0"/>
          <c:tx>
            <c:v>carburant</c:v>
          </c:tx>
          <c:spPr>
            <a:ln w="381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croissance'!$B$2:$B$56</c:f>
              <c:numCache>
                <c:formatCode>0.0</c:formatCode>
                <c:ptCount val="55"/>
                <c:pt idx="0">
                  <c:v>14.426702453085483</c:v>
                </c:pt>
                <c:pt idx="1">
                  <c:v>10.899028370840647</c:v>
                </c:pt>
                <c:pt idx="2">
                  <c:v>10.807422152942259</c:v>
                </c:pt>
                <c:pt idx="3">
                  <c:v>14.645564360545649</c:v>
                </c:pt>
                <c:pt idx="4">
                  <c:v>10.648348040245104</c:v>
                </c:pt>
                <c:pt idx="5">
                  <c:v>10.080469912196577</c:v>
                </c:pt>
                <c:pt idx="6">
                  <c:v>9.5725203674152937</c:v>
                </c:pt>
                <c:pt idx="7">
                  <c:v>10.525677583720316</c:v>
                </c:pt>
                <c:pt idx="8">
                  <c:v>7.290677080808905</c:v>
                </c:pt>
                <c:pt idx="9">
                  <c:v>8.3562148196413943</c:v>
                </c:pt>
                <c:pt idx="10">
                  <c:v>11.212455688475664</c:v>
                </c:pt>
                <c:pt idx="11">
                  <c:v>10.833254021046734</c:v>
                </c:pt>
                <c:pt idx="12">
                  <c:v>9.7038014362105685</c:v>
                </c:pt>
                <c:pt idx="13">
                  <c:v>-3.8574560643461098</c:v>
                </c:pt>
                <c:pt idx="14">
                  <c:v>4.9902851942455584</c:v>
                </c:pt>
                <c:pt idx="15">
                  <c:v>6.0867999905495296</c:v>
                </c:pt>
                <c:pt idx="16">
                  <c:v>3.1721659229580368</c:v>
                </c:pt>
                <c:pt idx="17">
                  <c:v>5.6276144341126155</c:v>
                </c:pt>
                <c:pt idx="18">
                  <c:v>1.4405716317657635</c:v>
                </c:pt>
                <c:pt idx="19">
                  <c:v>1.5018934507125437</c:v>
                </c:pt>
                <c:pt idx="20">
                  <c:v>3.7145307255364912</c:v>
                </c:pt>
                <c:pt idx="21">
                  <c:v>1.8954650868733935</c:v>
                </c:pt>
                <c:pt idx="22">
                  <c:v>2.4430889966062352</c:v>
                </c:pt>
                <c:pt idx="23">
                  <c:v>1.2564917869402947</c:v>
                </c:pt>
                <c:pt idx="24">
                  <c:v>-0.58880563819005971</c:v>
                </c:pt>
                <c:pt idx="25">
                  <c:v>5.3582330030694791</c:v>
                </c:pt>
                <c:pt idx="26">
                  <c:v>2.9226200358872134</c:v>
                </c:pt>
                <c:pt idx="27">
                  <c:v>3.1152678945328915</c:v>
                </c:pt>
                <c:pt idx="28">
                  <c:v>7.022425354123385</c:v>
                </c:pt>
                <c:pt idx="29">
                  <c:v>-3.951694470880085</c:v>
                </c:pt>
                <c:pt idx="30">
                  <c:v>0.70301062844304596</c:v>
                </c:pt>
                <c:pt idx="31">
                  <c:v>2.0130756834568331</c:v>
                </c:pt>
                <c:pt idx="32">
                  <c:v>0.86100711128462848</c:v>
                </c:pt>
                <c:pt idx="33">
                  <c:v>1.3812475232644061</c:v>
                </c:pt>
                <c:pt idx="34">
                  <c:v>0.4309180863749873</c:v>
                </c:pt>
                <c:pt idx="35">
                  <c:v>-2.1682567300906896E-2</c:v>
                </c:pt>
                <c:pt idx="36">
                  <c:v>0.73458254055935868</c:v>
                </c:pt>
                <c:pt idx="37">
                  <c:v>2.1964867788822673</c:v>
                </c:pt>
                <c:pt idx="38">
                  <c:v>0.98141012978167907</c:v>
                </c:pt>
                <c:pt idx="39">
                  <c:v>-1.4669333718483557</c:v>
                </c:pt>
                <c:pt idx="40">
                  <c:v>2.6485391593642049</c:v>
                </c:pt>
                <c:pt idx="41">
                  <c:v>-0.30615252409109672</c:v>
                </c:pt>
                <c:pt idx="42">
                  <c:v>-0.91369085839829722</c:v>
                </c:pt>
                <c:pt idx="43">
                  <c:v>-1.8067814201058852</c:v>
                </c:pt>
                <c:pt idx="44">
                  <c:v>-2.2954116861743756</c:v>
                </c:pt>
                <c:pt idx="45">
                  <c:v>-1.7835426361267892</c:v>
                </c:pt>
                <c:pt idx="46">
                  <c:v>9.9515331729627121E-2</c:v>
                </c:pt>
                <c:pt idx="47">
                  <c:v>-1.0368543176630496</c:v>
                </c:pt>
                <c:pt idx="48">
                  <c:v>3.7222460036900884E-3</c:v>
                </c:pt>
                <c:pt idx="49">
                  <c:v>2.6048018498745051</c:v>
                </c:pt>
                <c:pt idx="50">
                  <c:v>-1.8742083796954745</c:v>
                </c:pt>
                <c:pt idx="51">
                  <c:v>-1.0829985077798199</c:v>
                </c:pt>
                <c:pt idx="52">
                  <c:v>-2.0575019211715784</c:v>
                </c:pt>
                <c:pt idx="53">
                  <c:v>0.19613362720800609</c:v>
                </c:pt>
              </c:numCache>
            </c:numRef>
          </c:val>
          <c:smooth val="0"/>
        </c:ser>
        <c:ser>
          <c:idx val="1"/>
          <c:order val="1"/>
          <c:tx>
            <c:v>Revenu-prix</c:v>
          </c:tx>
          <c:spPr>
            <a:ln w="381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croissance'!$K$2:$K$56</c:f>
              <c:numCache>
                <c:formatCode>0.0</c:formatCode>
                <c:ptCount val="55"/>
                <c:pt idx="0">
                  <c:v>7.9412392301750234</c:v>
                </c:pt>
                <c:pt idx="1">
                  <c:v>13.883835114998021</c:v>
                </c:pt>
                <c:pt idx="2">
                  <c:v>10.999625920831967</c:v>
                </c:pt>
                <c:pt idx="3">
                  <c:v>9.382830326618997</c:v>
                </c:pt>
                <c:pt idx="4">
                  <c:v>7.8973473620666867</c:v>
                </c:pt>
                <c:pt idx="5">
                  <c:v>7.2361347169780821</c:v>
                </c:pt>
                <c:pt idx="6">
                  <c:v>7.1133708324164324</c:v>
                </c:pt>
                <c:pt idx="7">
                  <c:v>6.8188665147591809</c:v>
                </c:pt>
                <c:pt idx="8">
                  <c:v>4.5205064156351504</c:v>
                </c:pt>
                <c:pt idx="9">
                  <c:v>9.5422603937556758</c:v>
                </c:pt>
                <c:pt idx="10">
                  <c:v>8.186064492451429</c:v>
                </c:pt>
                <c:pt idx="11">
                  <c:v>10.327734620337958</c:v>
                </c:pt>
                <c:pt idx="12">
                  <c:v>8.2276548758532861</c:v>
                </c:pt>
                <c:pt idx="13">
                  <c:v>-17.271423973161191</c:v>
                </c:pt>
                <c:pt idx="14">
                  <c:v>10.475300993196868</c:v>
                </c:pt>
                <c:pt idx="15">
                  <c:v>3.4889965995497541</c:v>
                </c:pt>
                <c:pt idx="16">
                  <c:v>-3.9734040825732286</c:v>
                </c:pt>
                <c:pt idx="17">
                  <c:v>6.1191340109158272</c:v>
                </c:pt>
                <c:pt idx="18">
                  <c:v>-2.2627579818084715</c:v>
                </c:pt>
                <c:pt idx="19">
                  <c:v>-3.6962597011805371</c:v>
                </c:pt>
                <c:pt idx="20">
                  <c:v>6.5128623818977989</c:v>
                </c:pt>
                <c:pt idx="21">
                  <c:v>-1.4661841235475759</c:v>
                </c:pt>
                <c:pt idx="22">
                  <c:v>1.1600893304023527</c:v>
                </c:pt>
                <c:pt idx="23">
                  <c:v>-0.78239436045169874</c:v>
                </c:pt>
                <c:pt idx="24">
                  <c:v>-2.6352036100580012</c:v>
                </c:pt>
                <c:pt idx="25">
                  <c:v>10.823521814967624</c:v>
                </c:pt>
                <c:pt idx="26">
                  <c:v>17.166090896323709</c:v>
                </c:pt>
                <c:pt idx="27">
                  <c:v>5.8727084761756645</c:v>
                </c:pt>
                <c:pt idx="28">
                  <c:v>2.7397404464847508</c:v>
                </c:pt>
                <c:pt idx="29">
                  <c:v>5.2086229188598736</c:v>
                </c:pt>
                <c:pt idx="30">
                  <c:v>0.39789860419397449</c:v>
                </c:pt>
                <c:pt idx="31">
                  <c:v>7.0365439119873034</c:v>
                </c:pt>
                <c:pt idx="32">
                  <c:v>-0.27838741042819937</c:v>
                </c:pt>
                <c:pt idx="33">
                  <c:v>-0.65648155017767351</c:v>
                </c:pt>
                <c:pt idx="34">
                  <c:v>0.99886703046085934</c:v>
                </c:pt>
                <c:pt idx="35">
                  <c:v>-3.7041594665833646</c:v>
                </c:pt>
                <c:pt idx="36">
                  <c:v>-7.4096821133484703E-2</c:v>
                </c:pt>
                <c:pt idx="37">
                  <c:v>7.3750599682425975</c:v>
                </c:pt>
                <c:pt idx="38">
                  <c:v>-2.6085285899404536</c:v>
                </c:pt>
                <c:pt idx="39">
                  <c:v>-9.6540204102840637</c:v>
                </c:pt>
                <c:pt idx="40">
                  <c:v>11.575230843176865</c:v>
                </c:pt>
                <c:pt idx="41">
                  <c:v>7.062797516805837</c:v>
                </c:pt>
                <c:pt idx="42">
                  <c:v>2.1039475821238662</c:v>
                </c:pt>
                <c:pt idx="43">
                  <c:v>-2.1526179703176522</c:v>
                </c:pt>
                <c:pt idx="44">
                  <c:v>-8.8775949035556909</c:v>
                </c:pt>
                <c:pt idx="45">
                  <c:v>-4.6642543201774309</c:v>
                </c:pt>
                <c:pt idx="46">
                  <c:v>6.7330185967080265</c:v>
                </c:pt>
                <c:pt idx="47">
                  <c:v>-7.7312274525491276</c:v>
                </c:pt>
                <c:pt idx="48">
                  <c:v>18.989009374628299</c:v>
                </c:pt>
                <c:pt idx="49">
                  <c:v>-9.4698430519949195</c:v>
                </c:pt>
                <c:pt idx="50">
                  <c:v>-11.336586568599952</c:v>
                </c:pt>
                <c:pt idx="51">
                  <c:v>-3.7205353490167621</c:v>
                </c:pt>
                <c:pt idx="52">
                  <c:v>3.1706289128974054</c:v>
                </c:pt>
                <c:pt idx="53">
                  <c:v>5.6828639933879765</c:v>
                </c:pt>
              </c:numCache>
            </c:numRef>
          </c:val>
          <c:smooth val="0"/>
        </c:ser>
        <c:dLbls>
          <c:showLegendKey val="0"/>
          <c:showVal val="0"/>
          <c:showCatName val="0"/>
          <c:showSerName val="0"/>
          <c:showPercent val="0"/>
          <c:showBubbleSize val="0"/>
        </c:dLbls>
        <c:marker val="1"/>
        <c:smooth val="0"/>
        <c:axId val="215397888"/>
        <c:axId val="215399424"/>
      </c:lineChart>
      <c:catAx>
        <c:axId val="21539788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5399424"/>
        <c:crosses val="autoZero"/>
        <c:auto val="1"/>
        <c:lblAlgn val="ctr"/>
        <c:lblOffset val="100"/>
        <c:tickLblSkip val="1"/>
        <c:tickMarkSkip val="1"/>
        <c:noMultiLvlLbl val="0"/>
      </c:catAx>
      <c:valAx>
        <c:axId val="215399424"/>
        <c:scaling>
          <c:orientation val="minMax"/>
          <c:min val="-20"/>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Taux de croissance</a:t>
                </a:r>
              </a:p>
            </c:rich>
          </c:tx>
          <c:layout>
            <c:manualLayout>
              <c:xMode val="edge"/>
              <c:yMode val="edge"/>
              <c:x val="0"/>
              <c:y val="0.4175675089517689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5397888"/>
        <c:crosses val="autoZero"/>
        <c:crossBetween val="between"/>
      </c:valAx>
      <c:spPr>
        <a:noFill/>
        <a:ln w="12700">
          <a:solidFill>
            <a:srgbClr val="808080"/>
          </a:solidFill>
          <a:prstDash val="solid"/>
        </a:ln>
      </c:spPr>
    </c:plotArea>
    <c:legend>
      <c:legendPos val="r"/>
      <c:layout>
        <c:manualLayout>
          <c:xMode val="edge"/>
          <c:yMode val="edge"/>
          <c:x val="0.67812499999999998"/>
          <c:y val="0"/>
          <c:w val="0.32187500000000002"/>
          <c:h val="6.4080944350758853E-2"/>
        </c:manualLayout>
      </c:layout>
      <c:overlay val="0"/>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Nombre de km par heure de smic net</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000" b="1" i="0" baseline="0">
                <a:effectLst/>
              </a:rPr>
              <a:t>source: Cired, base CARBECO</a:t>
            </a:r>
            <a:endParaRPr lang="en-US"/>
          </a:p>
        </c:rich>
      </c:tx>
      <c:layout>
        <c:manualLayout>
          <c:xMode val="edge"/>
          <c:yMode val="edge"/>
          <c:x val="0.29941363889575295"/>
          <c:y val="0"/>
        </c:manualLayout>
      </c:layout>
      <c:overlay val="0"/>
    </c:title>
    <c:autoTitleDeleted val="0"/>
    <c:plotArea>
      <c:layout>
        <c:manualLayout>
          <c:layoutTarget val="inner"/>
          <c:xMode val="edge"/>
          <c:yMode val="edge"/>
          <c:x val="5.2733646851373682E-2"/>
          <c:y val="8.8174849827118651E-2"/>
          <c:w val="0.91629991743030004"/>
          <c:h val="0.85932862141253674"/>
        </c:manualLayout>
      </c:layout>
      <c:scatterChart>
        <c:scatterStyle val="lineMarker"/>
        <c:varyColors val="0"/>
        <c:ser>
          <c:idx val="0"/>
          <c:order val="0"/>
          <c:tx>
            <c:strRef>
              <c:f>data2018!$FD$1</c:f>
              <c:strCache>
                <c:ptCount val="1"/>
                <c:pt idx="0">
                  <c:v>Nb km par heure de smic net</c:v>
                </c:pt>
              </c:strCache>
            </c:strRef>
          </c:tx>
          <c:xVal>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xVal>
          <c:yVal>
            <c:numRef>
              <c:f>data2018!$FD$2:$FD$60</c:f>
              <c:numCache>
                <c:formatCode>0.00</c:formatCode>
                <c:ptCount val="59"/>
                <c:pt idx="0">
                  <c:v>23.376898277215847</c:v>
                </c:pt>
                <c:pt idx="1">
                  <c:v>23.392331992220857</c:v>
                </c:pt>
                <c:pt idx="2">
                  <c:v>24.92075771893176</c:v>
                </c:pt>
                <c:pt idx="3">
                  <c:v>27.716187502586717</c:v>
                </c:pt>
                <c:pt idx="4">
                  <c:v>28.787323912907869</c:v>
                </c:pt>
                <c:pt idx="5">
                  <c:v>30.931739563378063</c:v>
                </c:pt>
                <c:pt idx="6">
                  <c:v>32.310966468303761</c:v>
                </c:pt>
                <c:pt idx="7">
                  <c:v>33.941591708012162</c:v>
                </c:pt>
                <c:pt idx="8">
                  <c:v>41.216514795763104</c:v>
                </c:pt>
                <c:pt idx="9">
                  <c:v>46.060806607138488</c:v>
                </c:pt>
                <c:pt idx="10">
                  <c:v>47.703526070310971</c:v>
                </c:pt>
                <c:pt idx="11">
                  <c:v>48.04158140060018</c:v>
                </c:pt>
                <c:pt idx="12">
                  <c:v>48.858679345702562</c:v>
                </c:pt>
                <c:pt idx="13">
                  <c:v>50.943987533835688</c:v>
                </c:pt>
                <c:pt idx="14">
                  <c:v>44.670087675512441</c:v>
                </c:pt>
                <c:pt idx="15">
                  <c:v>48.414174843350793</c:v>
                </c:pt>
                <c:pt idx="16">
                  <c:v>46.767616690913037</c:v>
                </c:pt>
                <c:pt idx="17">
                  <c:v>44.067310803402826</c:v>
                </c:pt>
                <c:pt idx="18">
                  <c:v>43.783469727454118</c:v>
                </c:pt>
                <c:pt idx="19">
                  <c:v>42.604248613467043</c:v>
                </c:pt>
                <c:pt idx="20">
                  <c:v>43.009548160115706</c:v>
                </c:pt>
                <c:pt idx="21">
                  <c:v>46.725678485157346</c:v>
                </c:pt>
                <c:pt idx="22">
                  <c:v>46.059471154528893</c:v>
                </c:pt>
                <c:pt idx="23">
                  <c:v>47.424720094961401</c:v>
                </c:pt>
                <c:pt idx="24">
                  <c:v>48.57038538762685</c:v>
                </c:pt>
                <c:pt idx="25">
                  <c:v>48.186993442653822</c:v>
                </c:pt>
                <c:pt idx="26">
                  <c:v>52.403601754739952</c:v>
                </c:pt>
                <c:pt idx="27">
                  <c:v>61.435030558763039</c:v>
                </c:pt>
                <c:pt idx="28">
                  <c:v>63.272277727123395</c:v>
                </c:pt>
                <c:pt idx="29">
                  <c:v>58.72093150597798</c:v>
                </c:pt>
                <c:pt idx="30">
                  <c:v>67.155321765619064</c:v>
                </c:pt>
                <c:pt idx="31">
                  <c:v>68.987069197298524</c:v>
                </c:pt>
                <c:pt idx="32">
                  <c:v>73.826241424601761</c:v>
                </c:pt>
                <c:pt idx="33">
                  <c:v>73.945901385975304</c:v>
                </c:pt>
                <c:pt idx="34">
                  <c:v>75.714413898332594</c:v>
                </c:pt>
                <c:pt idx="35">
                  <c:v>76.197309273137691</c:v>
                </c:pt>
                <c:pt idx="36">
                  <c:v>74.908277859364873</c:v>
                </c:pt>
                <c:pt idx="37">
                  <c:v>76.255218965648737</c:v>
                </c:pt>
                <c:pt idx="38">
                  <c:v>85.761795747943822</c:v>
                </c:pt>
                <c:pt idx="39">
                  <c:v>83.579469343867871</c:v>
                </c:pt>
                <c:pt idx="40">
                  <c:v>74.461207711799219</c:v>
                </c:pt>
                <c:pt idx="41">
                  <c:v>83.281478249528732</c:v>
                </c:pt>
                <c:pt idx="42">
                  <c:v>89.282855395036179</c:v>
                </c:pt>
                <c:pt idx="43">
                  <c:v>93.366688276467158</c:v>
                </c:pt>
                <c:pt idx="44">
                  <c:v>93.590511113061254</c:v>
                </c:pt>
                <c:pt idx="45">
                  <c:v>88.397544052875446</c:v>
                </c:pt>
                <c:pt idx="46">
                  <c:v>77.881670540410639</c:v>
                </c:pt>
                <c:pt idx="47">
                  <c:v>80.922496865926433</c:v>
                </c:pt>
                <c:pt idx="48">
                  <c:v>74.912064932335582</c:v>
                </c:pt>
                <c:pt idx="49">
                  <c:v>92.022383462833858</c:v>
                </c:pt>
                <c:pt idx="50">
                  <c:v>82.443534659745296</c:v>
                </c:pt>
                <c:pt idx="51">
                  <c:v>76.573625944848089</c:v>
                </c:pt>
                <c:pt idx="52">
                  <c:v>75.773158863889549</c:v>
                </c:pt>
                <c:pt idx="53">
                  <c:v>80.06173726574383</c:v>
                </c:pt>
                <c:pt idx="54">
                  <c:v>84.952352454108762</c:v>
                </c:pt>
                <c:pt idx="55">
                  <c:v>94.73679721877393</c:v>
                </c:pt>
                <c:pt idx="56">
                  <c:v>101.22868266969336</c:v>
                </c:pt>
                <c:pt idx="57">
                  <c:v>84.917785147819046</c:v>
                </c:pt>
                <c:pt idx="58">
                  <c:v>82.849328247409119</c:v>
                </c:pt>
              </c:numCache>
            </c:numRef>
          </c:yVal>
          <c:smooth val="0"/>
        </c:ser>
        <c:dLbls>
          <c:showLegendKey val="0"/>
          <c:showVal val="0"/>
          <c:showCatName val="0"/>
          <c:showSerName val="0"/>
          <c:showPercent val="0"/>
          <c:showBubbleSize val="0"/>
        </c:dLbls>
        <c:axId val="221054464"/>
        <c:axId val="221114752"/>
      </c:scatterChart>
      <c:valAx>
        <c:axId val="221054464"/>
        <c:scaling>
          <c:orientation val="minMax"/>
          <c:max val="2020"/>
          <c:min val="1960"/>
        </c:scaling>
        <c:delete val="0"/>
        <c:axPos val="b"/>
        <c:majorGridlines/>
        <c:numFmt formatCode="General" sourceLinked="1"/>
        <c:majorTickMark val="out"/>
        <c:minorTickMark val="none"/>
        <c:tickLblPos val="nextTo"/>
        <c:crossAx val="221114752"/>
        <c:crosses val="autoZero"/>
        <c:crossBetween val="midCat"/>
      </c:valAx>
      <c:valAx>
        <c:axId val="221114752"/>
        <c:scaling>
          <c:orientation val="minMax"/>
          <c:max val="70"/>
        </c:scaling>
        <c:delete val="0"/>
        <c:axPos val="l"/>
        <c:majorGridlines/>
        <c:title>
          <c:tx>
            <c:rich>
              <a:bodyPr rot="0" vert="horz"/>
              <a:lstStyle/>
              <a:p>
                <a:pPr>
                  <a:defRPr/>
                </a:pPr>
                <a:r>
                  <a:rPr lang="fr-FR"/>
                  <a:t>km / heure smic</a:t>
                </a:r>
              </a:p>
            </c:rich>
          </c:tx>
          <c:layout>
            <c:manualLayout>
              <c:xMode val="edge"/>
              <c:yMode val="edge"/>
              <c:x val="0"/>
              <c:y val="2.8317725473825273E-2"/>
            </c:manualLayout>
          </c:layout>
          <c:overlay val="0"/>
        </c:title>
        <c:numFmt formatCode="0" sourceLinked="0"/>
        <c:majorTickMark val="out"/>
        <c:minorTickMark val="none"/>
        <c:tickLblPos val="nextTo"/>
        <c:crossAx val="221054464"/>
        <c:crosses val="autoZero"/>
        <c:crossBetween val="midCat"/>
      </c:valAx>
    </c:plotArea>
    <c:legend>
      <c:legendPos val="r"/>
      <c:layout>
        <c:manualLayout>
          <c:xMode val="edge"/>
          <c:yMode val="edge"/>
          <c:x val="0.72592843557540065"/>
          <c:y val="3.1535603822447432E-2"/>
          <c:w val="0.201629352452079"/>
          <c:h val="3.7893314347048061E-2"/>
        </c:manualLayout>
      </c:layout>
      <c:overlay val="0"/>
    </c:legend>
    <c:plotVisOnly val="1"/>
    <c:dispBlanksAs val="gap"/>
    <c:showDLblsOverMax val="0"/>
  </c:chart>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a:ea typeface="Arial"/>
                <a:cs typeface="Arial"/>
              </a:defRPr>
            </a:pPr>
            <a:r>
              <a:rPr lang="fr-FR"/>
              <a:t>Comparaison de la consommation par habitant 
et du taux de croissance de la du pouvir d'achat des ménages en carburant</a:t>
            </a:r>
          </a:p>
        </c:rich>
      </c:tx>
      <c:layout>
        <c:manualLayout>
          <c:xMode val="edge"/>
          <c:yMode val="edge"/>
          <c:x val="7.2560476815398067E-2"/>
          <c:y val="0"/>
        </c:manualLayout>
      </c:layout>
      <c:overlay val="0"/>
      <c:spPr>
        <a:noFill/>
        <a:ln w="25400">
          <a:noFill/>
        </a:ln>
      </c:spPr>
    </c:title>
    <c:autoTitleDeleted val="0"/>
    <c:plotArea>
      <c:layout>
        <c:manualLayout>
          <c:layoutTarget val="inner"/>
          <c:xMode val="edge"/>
          <c:yMode val="edge"/>
          <c:x val="5.0041701417848201E-2"/>
          <c:y val="0.10810810810810811"/>
          <c:w val="0.94995829858215175"/>
          <c:h val="0.84594594594594597"/>
        </c:manualLayout>
      </c:layout>
      <c:lineChart>
        <c:grouping val="standard"/>
        <c:varyColors val="0"/>
        <c:ser>
          <c:idx val="0"/>
          <c:order val="0"/>
          <c:tx>
            <c:v>carburant par habitant</c:v>
          </c:tx>
          <c:spPr>
            <a:ln w="381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croissance'!$C$2:$C$56</c:f>
              <c:numCache>
                <c:formatCode>0.0</c:formatCode>
                <c:ptCount val="55"/>
                <c:pt idx="0">
                  <c:v>13.303830504609904</c:v>
                </c:pt>
                <c:pt idx="1">
                  <c:v>8.4489860874986888</c:v>
                </c:pt>
                <c:pt idx="2">
                  <c:v>9.7918102965769194</c:v>
                </c:pt>
                <c:pt idx="3">
                  <c:v>13.604845618833883</c:v>
                </c:pt>
                <c:pt idx="4">
                  <c:v>9.8443861233031615</c:v>
                </c:pt>
                <c:pt idx="5">
                  <c:v>9.2266939498396603</c:v>
                </c:pt>
                <c:pt idx="6">
                  <c:v>8.8670745341261856</c:v>
                </c:pt>
                <c:pt idx="7">
                  <c:v>9.7550439181359536</c:v>
                </c:pt>
                <c:pt idx="8">
                  <c:v>6.4550185905009938</c:v>
                </c:pt>
                <c:pt idx="9">
                  <c:v>7.3950224692028055</c:v>
                </c:pt>
                <c:pt idx="10">
                  <c:v>10.295943950040254</c:v>
                </c:pt>
                <c:pt idx="11">
                  <c:v>10.001697183039337</c:v>
                </c:pt>
                <c:pt idx="12">
                  <c:v>8.9270031838710739</c:v>
                </c:pt>
                <c:pt idx="13">
                  <c:v>-4.3898116300551182</c:v>
                </c:pt>
                <c:pt idx="14">
                  <c:v>4.613925874205016</c:v>
                </c:pt>
                <c:pt idx="15">
                  <c:v>5.6697278667984463</c:v>
                </c:pt>
                <c:pt idx="16">
                  <c:v>2.6969375504925175</c:v>
                </c:pt>
                <c:pt idx="17">
                  <c:v>5.2351046639721899</c:v>
                </c:pt>
                <c:pt idx="18">
                  <c:v>0.9736213261281379</c:v>
                </c:pt>
                <c:pt idx="19">
                  <c:v>0.95021619201898222</c:v>
                </c:pt>
                <c:pt idx="20">
                  <c:v>3.1490811991501277</c:v>
                </c:pt>
                <c:pt idx="21">
                  <c:v>1.3174315533231784</c:v>
                </c:pt>
                <c:pt idx="22">
                  <c:v>1.9960201756137663</c:v>
                </c:pt>
                <c:pt idx="23">
                  <c:v>0.77953703260783547</c:v>
                </c:pt>
                <c:pt idx="24">
                  <c:v>-1.0481323945448984</c:v>
                </c:pt>
                <c:pt idx="25">
                  <c:v>4.8711771291819144</c:v>
                </c:pt>
                <c:pt idx="26">
                  <c:v>2.4132283521173914</c:v>
                </c:pt>
                <c:pt idx="27">
                  <c:v>2.5741422826747962</c:v>
                </c:pt>
                <c:pt idx="28">
                  <c:v>6.4779868205165343</c:v>
                </c:pt>
                <c:pt idx="29">
                  <c:v>-4.4166334806157508</c:v>
                </c:pt>
                <c:pt idx="30">
                  <c:v>0.22934730805068693</c:v>
                </c:pt>
                <c:pt idx="31">
                  <c:v>1.5612428195481143</c:v>
                </c:pt>
                <c:pt idx="32">
                  <c:v>0.52020821525988747</c:v>
                </c:pt>
                <c:pt idx="33">
                  <c:v>1.0560113789203074</c:v>
                </c:pt>
                <c:pt idx="34">
                  <c:v>0.11381800605466674</c:v>
                </c:pt>
                <c:pt idx="35">
                  <c:v>-0.33199032618325131</c:v>
                </c:pt>
                <c:pt idx="36">
                  <c:v>0.42028596017608111</c:v>
                </c:pt>
                <c:pt idx="37">
                  <c:v>1.8580301401284305</c:v>
                </c:pt>
                <c:pt idx="38">
                  <c:v>0.3651829105619453</c:v>
                </c:pt>
                <c:pt idx="39">
                  <c:v>-2.1583643510576289</c:v>
                </c:pt>
                <c:pt idx="40">
                  <c:v>1.9435033859169115</c:v>
                </c:pt>
                <c:pt idx="41">
                  <c:v>-1.0006203747893849</c:v>
                </c:pt>
                <c:pt idx="42">
                  <c:v>-1.5829399560890356</c:v>
                </c:pt>
                <c:pt idx="43">
                  <c:v>-2.5606303124700136</c:v>
                </c:pt>
                <c:pt idx="44">
                  <c:v>-3.008815021909661</c:v>
                </c:pt>
                <c:pt idx="45">
                  <c:v>-2.4256246230402789</c:v>
                </c:pt>
                <c:pt idx="46">
                  <c:v>-0.44858208652499565</c:v>
                </c:pt>
                <c:pt idx="47">
                  <c:v>-1.5679012691086402</c:v>
                </c:pt>
                <c:pt idx="48">
                  <c:v>-0.47463647524590424</c:v>
                </c:pt>
                <c:pt idx="49">
                  <c:v>2.1198680968957717</c:v>
                </c:pt>
                <c:pt idx="50">
                  <c:v>-2.3576192172082844</c:v>
                </c:pt>
                <c:pt idx="51">
                  <c:v>-1.5896247317722545</c:v>
                </c:pt>
                <c:pt idx="52">
                  <c:v>-2.5743805400022857</c:v>
                </c:pt>
                <c:pt idx="53">
                  <c:v>-0.22912314424782254</c:v>
                </c:pt>
              </c:numCache>
            </c:numRef>
          </c:val>
          <c:smooth val="0"/>
        </c:ser>
        <c:ser>
          <c:idx val="1"/>
          <c:order val="1"/>
          <c:tx>
            <c:v>écart revenu réel par habitant et prix réel du carburant</c:v>
          </c:tx>
          <c:spPr>
            <a:ln w="381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croissance'!$M$2:$M$56</c:f>
              <c:numCache>
                <c:formatCode>0.00</c:formatCode>
                <c:ptCount val="55"/>
                <c:pt idx="0">
                  <c:v>6.8183672816994552</c:v>
                </c:pt>
                <c:pt idx="1">
                  <c:v>11.433792831656142</c:v>
                </c:pt>
                <c:pt idx="2">
                  <c:v>9.984014064466713</c:v>
                </c:pt>
                <c:pt idx="3">
                  <c:v>8.342111584907002</c:v>
                </c:pt>
                <c:pt idx="4">
                  <c:v>7.09338544512475</c:v>
                </c:pt>
                <c:pt idx="5">
                  <c:v>6.3823587546213174</c:v>
                </c:pt>
                <c:pt idx="6">
                  <c:v>6.4079249991269949</c:v>
                </c:pt>
                <c:pt idx="7">
                  <c:v>6.0482328491750721</c:v>
                </c:pt>
                <c:pt idx="8">
                  <c:v>3.6848479253272339</c:v>
                </c:pt>
                <c:pt idx="9">
                  <c:v>8.5810680433171491</c:v>
                </c:pt>
                <c:pt idx="10">
                  <c:v>7.2695527540159706</c:v>
                </c:pt>
                <c:pt idx="11">
                  <c:v>9.4961777823305695</c:v>
                </c:pt>
                <c:pt idx="12">
                  <c:v>7.4508566235137099</c:v>
                </c:pt>
                <c:pt idx="13">
                  <c:v>-17.803779538870103</c:v>
                </c:pt>
                <c:pt idx="14">
                  <c:v>10.098941673156286</c:v>
                </c:pt>
                <c:pt idx="15">
                  <c:v>3.071924475798629</c:v>
                </c:pt>
                <c:pt idx="16">
                  <c:v>-4.4486324550386867</c:v>
                </c:pt>
                <c:pt idx="17">
                  <c:v>5.7266242407752967</c:v>
                </c:pt>
                <c:pt idx="18">
                  <c:v>-2.7297082874460337</c:v>
                </c:pt>
                <c:pt idx="19">
                  <c:v>-4.2479369598741465</c:v>
                </c:pt>
                <c:pt idx="20">
                  <c:v>5.9474128555114412</c:v>
                </c:pt>
                <c:pt idx="21">
                  <c:v>-2.044217657097863</c:v>
                </c:pt>
                <c:pt idx="22">
                  <c:v>0.71302050940984518</c:v>
                </c:pt>
                <c:pt idx="23">
                  <c:v>-1.259349114784003</c:v>
                </c:pt>
                <c:pt idx="24">
                  <c:v>-3.0945303664130233</c:v>
                </c:pt>
                <c:pt idx="25">
                  <c:v>10.336465941080109</c:v>
                </c:pt>
                <c:pt idx="26">
                  <c:v>16.656699212554013</c:v>
                </c:pt>
                <c:pt idx="27">
                  <c:v>5.3315828643174168</c:v>
                </c:pt>
                <c:pt idx="28">
                  <c:v>2.1953019128780058</c:v>
                </c:pt>
                <c:pt idx="29">
                  <c:v>4.7436839091242327</c:v>
                </c:pt>
                <c:pt idx="30">
                  <c:v>-7.5764716198547299E-2</c:v>
                </c:pt>
                <c:pt idx="31">
                  <c:v>6.584711048078705</c:v>
                </c:pt>
                <c:pt idx="32">
                  <c:v>-0.61918630645283335</c:v>
                </c:pt>
                <c:pt idx="33">
                  <c:v>-0.98171769452172897</c:v>
                </c:pt>
                <c:pt idx="34">
                  <c:v>0.68176695014047484</c:v>
                </c:pt>
                <c:pt idx="35">
                  <c:v>-4.0144672254657632</c:v>
                </c:pt>
                <c:pt idx="36">
                  <c:v>-0.38839340151684976</c:v>
                </c:pt>
                <c:pt idx="37">
                  <c:v>7.0366033294888339</c:v>
                </c:pt>
                <c:pt idx="38">
                  <c:v>-3.224755809160091</c:v>
                </c:pt>
                <c:pt idx="39">
                  <c:v>-10.345451389493423</c:v>
                </c:pt>
                <c:pt idx="40">
                  <c:v>10.870195069729521</c:v>
                </c:pt>
                <c:pt idx="41">
                  <c:v>6.3683296661075861</c:v>
                </c:pt>
                <c:pt idx="42">
                  <c:v>1.4346984844331925</c:v>
                </c:pt>
                <c:pt idx="43">
                  <c:v>-2.9064668626818291</c:v>
                </c:pt>
                <c:pt idx="44">
                  <c:v>-9.5909982392910464</c:v>
                </c:pt>
                <c:pt idx="45">
                  <c:v>-5.3063363070906897</c:v>
                </c:pt>
                <c:pt idx="46">
                  <c:v>6.1849211784531564</c:v>
                </c:pt>
                <c:pt idx="47">
                  <c:v>-8.2622744039948035</c:v>
                </c:pt>
                <c:pt idx="48">
                  <c:v>18.510650653378953</c:v>
                </c:pt>
                <c:pt idx="49">
                  <c:v>-9.9547768049737453</c:v>
                </c:pt>
                <c:pt idx="50">
                  <c:v>-11.819997406112867</c:v>
                </c:pt>
                <c:pt idx="51">
                  <c:v>-4.2271615730090861</c:v>
                </c:pt>
                <c:pt idx="52">
                  <c:v>2.6537502940665925</c:v>
                </c:pt>
                <c:pt idx="53">
                  <c:v>5.2576072219323535</c:v>
                </c:pt>
              </c:numCache>
            </c:numRef>
          </c:val>
          <c:smooth val="0"/>
        </c:ser>
        <c:dLbls>
          <c:showLegendKey val="0"/>
          <c:showVal val="0"/>
          <c:showCatName val="0"/>
          <c:showSerName val="0"/>
          <c:showPercent val="0"/>
          <c:showBubbleSize val="0"/>
        </c:dLbls>
        <c:marker val="1"/>
        <c:smooth val="0"/>
        <c:axId val="216376832"/>
        <c:axId val="216378368"/>
      </c:lineChart>
      <c:catAx>
        <c:axId val="21637683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6378368"/>
        <c:crosses val="autoZero"/>
        <c:auto val="1"/>
        <c:lblAlgn val="ctr"/>
        <c:lblOffset val="100"/>
        <c:tickLblSkip val="1"/>
        <c:tickMarkSkip val="1"/>
        <c:noMultiLvlLbl val="0"/>
      </c:catAx>
      <c:valAx>
        <c:axId val="216378368"/>
        <c:scaling>
          <c:orientation val="minMax"/>
          <c:min val="-25"/>
        </c:scaling>
        <c:delete val="0"/>
        <c:axPos val="l"/>
        <c:majorGridlines>
          <c:spPr>
            <a:ln w="3175">
              <a:solidFill>
                <a:srgbClr val="808080"/>
              </a:solidFill>
              <a:prstDash val="sysDash"/>
            </a:ln>
          </c:spPr>
        </c:majorGridlines>
        <c:title>
          <c:tx>
            <c:rich>
              <a:bodyPr/>
              <a:lstStyle/>
              <a:p>
                <a:pPr>
                  <a:defRPr sz="1025" b="0" i="0" u="none" strike="noStrike" baseline="0">
                    <a:solidFill>
                      <a:srgbClr val="000000"/>
                    </a:solidFill>
                    <a:latin typeface="Arial"/>
                    <a:ea typeface="Arial"/>
                    <a:cs typeface="Arial"/>
                  </a:defRPr>
                </a:pPr>
                <a:r>
                  <a:rPr lang="fr-FR"/>
                  <a:t>Taux de croissance</a:t>
                </a:r>
              </a:p>
            </c:rich>
          </c:tx>
          <c:layout>
            <c:manualLayout>
              <c:xMode val="edge"/>
              <c:yMode val="edge"/>
              <c:x val="0"/>
              <c:y val="0.431081072707395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fr-FR"/>
          </a:p>
        </c:txPr>
        <c:crossAx val="216376832"/>
        <c:crosses val="autoZero"/>
        <c:crossBetween val="between"/>
        <c:majorUnit val="5"/>
      </c:valAx>
      <c:spPr>
        <a:noFill/>
        <a:ln w="12700">
          <a:solidFill>
            <a:srgbClr val="808080"/>
          </a:solidFill>
          <a:prstDash val="solid"/>
        </a:ln>
      </c:spPr>
    </c:plotArea>
    <c:legend>
      <c:legendPos val="r"/>
      <c:layout>
        <c:manualLayout>
          <c:xMode val="edge"/>
          <c:yMode val="edge"/>
          <c:x val="0.6166666666666667"/>
          <c:y val="1.6863406408094434E-3"/>
          <c:w val="0.37916666666666665"/>
          <c:h val="8.0944350758853284E-2"/>
        </c:manualLayout>
      </c:layout>
      <c:overlay val="0"/>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Arial"/>
                <a:ea typeface="Arial"/>
                <a:cs typeface="Arial"/>
              </a:defRPr>
            </a:pPr>
            <a:r>
              <a:rPr lang="fr-FR"/>
              <a:t>Comparaison de la consommation par ménage
et du taux de croissance de la du pouvir d'achat des ménages en carburant</a:t>
            </a:r>
          </a:p>
        </c:rich>
      </c:tx>
      <c:layout>
        <c:manualLayout>
          <c:xMode val="edge"/>
          <c:yMode val="edge"/>
          <c:x val="7.2560476815398067E-2"/>
          <c:y val="0"/>
        </c:manualLayout>
      </c:layout>
      <c:overlay val="0"/>
      <c:spPr>
        <a:noFill/>
        <a:ln w="25400">
          <a:noFill/>
        </a:ln>
      </c:spPr>
    </c:title>
    <c:autoTitleDeleted val="0"/>
    <c:plotArea>
      <c:layout>
        <c:manualLayout>
          <c:layoutTarget val="inner"/>
          <c:xMode val="edge"/>
          <c:yMode val="edge"/>
          <c:x val="5.0041701417848201E-2"/>
          <c:y val="0.10810810810810811"/>
          <c:w val="0.94995829858215175"/>
          <c:h val="0.84594594594594597"/>
        </c:manualLayout>
      </c:layout>
      <c:lineChart>
        <c:grouping val="standard"/>
        <c:varyColors val="0"/>
        <c:ser>
          <c:idx val="0"/>
          <c:order val="0"/>
          <c:tx>
            <c:v>carburant par ménage</c:v>
          </c:tx>
          <c:spPr>
            <a:ln w="381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croissance'!$D$2:$D$56</c:f>
              <c:numCache>
                <c:formatCode>0.0</c:formatCode>
                <c:ptCount val="55"/>
                <c:pt idx="0">
                  <c:v>13.325021429306915</c:v>
                </c:pt>
                <c:pt idx="1">
                  <c:v>8.9752338447869775</c:v>
                </c:pt>
                <c:pt idx="2">
                  <c:v>9.0631039510663314</c:v>
                </c:pt>
                <c:pt idx="3">
                  <c:v>13.598226137876601</c:v>
                </c:pt>
                <c:pt idx="4">
                  <c:v>9.660823406019869</c:v>
                </c:pt>
                <c:pt idx="5">
                  <c:v>9.0864388582559634</c:v>
                </c:pt>
                <c:pt idx="6">
                  <c:v>8.447540644911566</c:v>
                </c:pt>
                <c:pt idx="7">
                  <c:v>9.2489834135254085</c:v>
                </c:pt>
                <c:pt idx="8">
                  <c:v>5.6847825894475843</c:v>
                </c:pt>
                <c:pt idx="9">
                  <c:v>6.5223172697906895</c:v>
                </c:pt>
                <c:pt idx="10">
                  <c:v>9.3756570238254433</c:v>
                </c:pt>
                <c:pt idx="11">
                  <c:v>9.0501678999984065</c:v>
                </c:pt>
                <c:pt idx="12">
                  <c:v>7.9548426400280068</c:v>
                </c:pt>
                <c:pt idx="13">
                  <c:v>-5.4797329723017585</c:v>
                </c:pt>
                <c:pt idx="14">
                  <c:v>3.4526831362768866</c:v>
                </c:pt>
                <c:pt idx="15">
                  <c:v>4.547666953963037</c:v>
                </c:pt>
                <c:pt idx="16">
                  <c:v>1.6536481190771206</c:v>
                </c:pt>
                <c:pt idx="17">
                  <c:v>4.1398366749483673</c:v>
                </c:pt>
                <c:pt idx="18">
                  <c:v>-2.0122528458807465E-2</c:v>
                </c:pt>
                <c:pt idx="19">
                  <c:v>9.6685079654330874E-2</c:v>
                </c:pt>
                <c:pt idx="20">
                  <c:v>2.3585118593046408</c:v>
                </c:pt>
                <c:pt idx="21">
                  <c:v>0.54979192172704283</c:v>
                </c:pt>
                <c:pt idx="22">
                  <c:v>1.0910459908961487</c:v>
                </c:pt>
                <c:pt idx="23">
                  <c:v>-6.4341797048152183E-2</c:v>
                </c:pt>
                <c:pt idx="24">
                  <c:v>-1.8103988176959378</c:v>
                </c:pt>
                <c:pt idx="25">
                  <c:v>4.1958638385669484</c:v>
                </c:pt>
                <c:pt idx="26">
                  <c:v>1.7913414791299043</c:v>
                </c:pt>
                <c:pt idx="27">
                  <c:v>2.0159731555457001</c:v>
                </c:pt>
                <c:pt idx="28">
                  <c:v>5.9634368606808934</c:v>
                </c:pt>
                <c:pt idx="29">
                  <c:v>-5.1082403005869939</c:v>
                </c:pt>
                <c:pt idx="30">
                  <c:v>-0.5132167952729777</c:v>
                </c:pt>
                <c:pt idx="31">
                  <c:v>0.87056896726865063</c:v>
                </c:pt>
                <c:pt idx="32">
                  <c:v>-0.25292309390665679</c:v>
                </c:pt>
                <c:pt idx="33">
                  <c:v>0.25795128310183157</c:v>
                </c:pt>
                <c:pt idx="34">
                  <c:v>-0.70388344758295918</c:v>
                </c:pt>
                <c:pt idx="35">
                  <c:v>-1.1166448420868447</c:v>
                </c:pt>
                <c:pt idx="36">
                  <c:v>-0.32935938283698007</c:v>
                </c:pt>
                <c:pt idx="37">
                  <c:v>1.1571798652494554</c:v>
                </c:pt>
                <c:pt idx="38">
                  <c:v>-0.19520970224543022</c:v>
                </c:pt>
                <c:pt idx="39">
                  <c:v>-2.8124412106148493</c:v>
                </c:pt>
                <c:pt idx="40">
                  <c:v>1.2791219039708563</c:v>
                </c:pt>
                <c:pt idx="41">
                  <c:v>-1.668416783086077</c:v>
                </c:pt>
                <c:pt idx="42">
                  <c:v>-2.2290885440660797</c:v>
                </c:pt>
                <c:pt idx="43">
                  <c:v>-3.0802982034968966</c:v>
                </c:pt>
                <c:pt idx="44">
                  <c:v>-3.5121957167409317</c:v>
                </c:pt>
                <c:pt idx="45">
                  <c:v>-2.9536318551854555</c:v>
                </c:pt>
                <c:pt idx="46">
                  <c:v>-0.98005469866915584</c:v>
                </c:pt>
                <c:pt idx="47">
                  <c:v>-2.0015646542689449</c:v>
                </c:pt>
                <c:pt idx="48">
                  <c:v>-0.91106071776597863</c:v>
                </c:pt>
                <c:pt idx="49">
                  <c:v>1.7169332833274098</c:v>
                </c:pt>
                <c:pt idx="50">
                  <c:v>-2.7159487190258793</c:v>
                </c:pt>
                <c:pt idx="51">
                  <c:v>-1.9131869255236169</c:v>
                </c:pt>
                <c:pt idx="52">
                  <c:v>-2.9158384111786679</c:v>
                </c:pt>
                <c:pt idx="53">
                  <c:v>-0.61488733594571576</c:v>
                </c:pt>
              </c:numCache>
            </c:numRef>
          </c:val>
          <c:smooth val="0"/>
        </c:ser>
        <c:ser>
          <c:idx val="1"/>
          <c:order val="1"/>
          <c:tx>
            <c:v>écart revenu réel par ménage et prix réel du carburant</c:v>
          </c:tx>
          <c:spPr>
            <a:ln w="381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croissance'!$N$2:$N$56</c:f>
              <c:numCache>
                <c:formatCode>0.00</c:formatCode>
                <c:ptCount val="55"/>
                <c:pt idx="0">
                  <c:v>6.8395582063964007</c:v>
                </c:pt>
                <c:pt idx="1">
                  <c:v>11.960040588944587</c:v>
                </c:pt>
                <c:pt idx="2">
                  <c:v>9.2553077189559474</c:v>
                </c:pt>
                <c:pt idx="3">
                  <c:v>8.3354921039498535</c:v>
                </c:pt>
                <c:pt idx="4">
                  <c:v>6.9098227278413136</c:v>
                </c:pt>
                <c:pt idx="5">
                  <c:v>6.2421036630376987</c:v>
                </c:pt>
                <c:pt idx="6">
                  <c:v>5.9883911099124321</c:v>
                </c:pt>
                <c:pt idx="7">
                  <c:v>5.5421723445644773</c:v>
                </c:pt>
                <c:pt idx="8">
                  <c:v>2.9146119242738857</c:v>
                </c:pt>
                <c:pt idx="9">
                  <c:v>7.7083628439050118</c:v>
                </c:pt>
                <c:pt idx="10">
                  <c:v>6.3492658278011067</c:v>
                </c:pt>
                <c:pt idx="11">
                  <c:v>8.5446484992896501</c:v>
                </c:pt>
                <c:pt idx="12">
                  <c:v>6.4786960796706285</c:v>
                </c:pt>
                <c:pt idx="13">
                  <c:v>-18.89370088111685</c:v>
                </c:pt>
                <c:pt idx="14">
                  <c:v>8.9376989352282941</c:v>
                </c:pt>
                <c:pt idx="15">
                  <c:v>1.9498635629631638</c:v>
                </c:pt>
                <c:pt idx="16">
                  <c:v>-5.4919218864541817</c:v>
                </c:pt>
                <c:pt idx="17">
                  <c:v>4.6313562517516784</c:v>
                </c:pt>
                <c:pt idx="18">
                  <c:v>-3.7234521420330928</c:v>
                </c:pt>
                <c:pt idx="19">
                  <c:v>-5.1014680722387604</c:v>
                </c:pt>
                <c:pt idx="20">
                  <c:v>5.1568435156660151</c:v>
                </c:pt>
                <c:pt idx="21">
                  <c:v>-2.8118572886940028</c:v>
                </c:pt>
                <c:pt idx="22">
                  <c:v>-0.1919536753076434</c:v>
                </c:pt>
                <c:pt idx="23">
                  <c:v>-2.1032279444400448</c:v>
                </c:pt>
                <c:pt idx="24">
                  <c:v>-3.8567967895642266</c:v>
                </c:pt>
                <c:pt idx="25">
                  <c:v>9.6611526504652989</c:v>
                </c:pt>
                <c:pt idx="26">
                  <c:v>16.034812339566404</c:v>
                </c:pt>
                <c:pt idx="27">
                  <c:v>4.77341373718839</c:v>
                </c:pt>
                <c:pt idx="28">
                  <c:v>1.6807519530423864</c:v>
                </c:pt>
                <c:pt idx="29">
                  <c:v>4.0520770891529416</c:v>
                </c:pt>
                <c:pt idx="30">
                  <c:v>-0.81832881952222025</c:v>
                </c:pt>
                <c:pt idx="31">
                  <c:v>5.8940371957993163</c:v>
                </c:pt>
                <c:pt idx="32">
                  <c:v>-1.3923176156196191</c:v>
                </c:pt>
                <c:pt idx="33">
                  <c:v>-1.7797777903399938</c:v>
                </c:pt>
                <c:pt idx="34">
                  <c:v>-0.13593450349725655</c:v>
                </c:pt>
                <c:pt idx="35">
                  <c:v>-4.7991217413694454</c:v>
                </c:pt>
                <c:pt idx="36">
                  <c:v>-1.1380387445297222</c:v>
                </c:pt>
                <c:pt idx="37">
                  <c:v>6.3357530546097394</c:v>
                </c:pt>
                <c:pt idx="38">
                  <c:v>-3.785148421967361</c:v>
                </c:pt>
                <c:pt idx="39">
                  <c:v>-10.999528249050652</c:v>
                </c:pt>
                <c:pt idx="40">
                  <c:v>10.205813587783313</c:v>
                </c:pt>
                <c:pt idx="41">
                  <c:v>5.7005332578111467</c:v>
                </c:pt>
                <c:pt idx="42">
                  <c:v>0.78854989645601248</c:v>
                </c:pt>
                <c:pt idx="43">
                  <c:v>-3.4261347537086495</c:v>
                </c:pt>
                <c:pt idx="44">
                  <c:v>-10.094378934122403</c:v>
                </c:pt>
                <c:pt idx="45">
                  <c:v>-5.8343435392357899</c:v>
                </c:pt>
                <c:pt idx="46">
                  <c:v>5.6534485663090992</c:v>
                </c:pt>
                <c:pt idx="47">
                  <c:v>-8.6959377891552467</c:v>
                </c:pt>
                <c:pt idx="48">
                  <c:v>18.074226410858891</c:v>
                </c:pt>
                <c:pt idx="49">
                  <c:v>-10.357711618542224</c:v>
                </c:pt>
                <c:pt idx="50">
                  <c:v>-12.178326907930289</c:v>
                </c:pt>
                <c:pt idx="51">
                  <c:v>-4.5507237667604006</c:v>
                </c:pt>
                <c:pt idx="52">
                  <c:v>2.3122924228900055</c:v>
                </c:pt>
                <c:pt idx="53">
                  <c:v>4.8718430302345297</c:v>
                </c:pt>
              </c:numCache>
            </c:numRef>
          </c:val>
          <c:smooth val="0"/>
        </c:ser>
        <c:dLbls>
          <c:showLegendKey val="0"/>
          <c:showVal val="0"/>
          <c:showCatName val="0"/>
          <c:showSerName val="0"/>
          <c:showPercent val="0"/>
          <c:showBubbleSize val="0"/>
        </c:dLbls>
        <c:marker val="1"/>
        <c:smooth val="0"/>
        <c:axId val="216429312"/>
        <c:axId val="216430848"/>
      </c:lineChart>
      <c:catAx>
        <c:axId val="216429312"/>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6430848"/>
        <c:crosses val="autoZero"/>
        <c:auto val="1"/>
        <c:lblAlgn val="ctr"/>
        <c:lblOffset val="100"/>
        <c:tickLblSkip val="1"/>
        <c:tickMarkSkip val="1"/>
        <c:noMultiLvlLbl val="0"/>
      </c:catAx>
      <c:valAx>
        <c:axId val="216430848"/>
        <c:scaling>
          <c:orientation val="minMax"/>
          <c:min val="-25"/>
        </c:scaling>
        <c:delete val="0"/>
        <c:axPos val="l"/>
        <c:majorGridlines>
          <c:spPr>
            <a:ln w="3175">
              <a:solidFill>
                <a:srgbClr val="808080"/>
              </a:solidFill>
              <a:prstDash val="sysDash"/>
            </a:ln>
          </c:spPr>
        </c:majorGridlines>
        <c:title>
          <c:tx>
            <c:rich>
              <a:bodyPr/>
              <a:lstStyle/>
              <a:p>
                <a:pPr>
                  <a:defRPr sz="1025" b="0" i="0" u="none" strike="noStrike" baseline="0">
                    <a:solidFill>
                      <a:srgbClr val="000000"/>
                    </a:solidFill>
                    <a:latin typeface="Arial"/>
                    <a:ea typeface="Arial"/>
                    <a:cs typeface="Arial"/>
                  </a:defRPr>
                </a:pPr>
                <a:r>
                  <a:rPr lang="fr-FR"/>
                  <a:t>Taux de croissance</a:t>
                </a:r>
              </a:p>
            </c:rich>
          </c:tx>
          <c:layout>
            <c:manualLayout>
              <c:xMode val="edge"/>
              <c:yMode val="edge"/>
              <c:x val="0"/>
              <c:y val="0.431081072707395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fr-FR"/>
          </a:p>
        </c:txPr>
        <c:crossAx val="216429312"/>
        <c:crosses val="autoZero"/>
        <c:crossBetween val="between"/>
        <c:majorUnit val="5"/>
      </c:valAx>
      <c:spPr>
        <a:noFill/>
        <a:ln w="12700">
          <a:solidFill>
            <a:srgbClr val="808080"/>
          </a:solidFill>
          <a:prstDash val="solid"/>
        </a:ln>
      </c:spPr>
    </c:plotArea>
    <c:legend>
      <c:legendPos val="r"/>
      <c:layout>
        <c:manualLayout>
          <c:xMode val="edge"/>
          <c:yMode val="edge"/>
          <c:x val="0.6166666666666667"/>
          <c:y val="1.6863406408094434E-3"/>
          <c:w val="0.37916666666666665"/>
          <c:h val="8.0944350758853284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fr-FR" sz="1200"/>
              <a:t>Evolution des taux de croissance du revenu réel,
 de la population et du nombre de ménages</a:t>
            </a:r>
          </a:p>
        </c:rich>
      </c:tx>
      <c:layout>
        <c:manualLayout>
          <c:xMode val="edge"/>
          <c:yMode val="edge"/>
          <c:x val="0.1809841426071741"/>
          <c:y val="1.3513740799263498E-3"/>
        </c:manualLayout>
      </c:layout>
      <c:overlay val="0"/>
      <c:spPr>
        <a:noFill/>
        <a:ln w="25400">
          <a:noFill/>
        </a:ln>
      </c:spPr>
    </c:title>
    <c:autoTitleDeleted val="0"/>
    <c:plotArea>
      <c:layout>
        <c:manualLayout>
          <c:layoutTarget val="inner"/>
          <c:xMode val="edge"/>
          <c:yMode val="edge"/>
          <c:x val="4.7539616346955783E-2"/>
          <c:y val="9.1891891891891883E-2"/>
          <c:w val="0.9524603836530442"/>
          <c:h val="0.86216216216216202"/>
        </c:manualLayout>
      </c:layout>
      <c:lineChart>
        <c:grouping val="standard"/>
        <c:varyColors val="0"/>
        <c:ser>
          <c:idx val="0"/>
          <c:order val="0"/>
          <c:tx>
            <c:v>Revenu disponible réel</c:v>
          </c:tx>
          <c:spPr>
            <a:ln w="25400">
              <a:solidFill>
                <a:srgbClr val="333333"/>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croissance'!$H$2:$H$56</c:f>
              <c:numCache>
                <c:formatCode>0.0</c:formatCode>
                <c:ptCount val="55"/>
                <c:pt idx="0">
                  <c:v>4.6724022019454026</c:v>
                </c:pt>
                <c:pt idx="1">
                  <c:v>9.737852687891646</c:v>
                </c:pt>
                <c:pt idx="2">
                  <c:v>6.0742691551945782</c:v>
                </c:pt>
                <c:pt idx="3">
                  <c:v>5.0082540294308586</c:v>
                </c:pt>
                <c:pt idx="4">
                  <c:v>4.5688238555053218</c:v>
                </c:pt>
                <c:pt idx="5">
                  <c:v>4.7504276831086045</c:v>
                </c:pt>
                <c:pt idx="6">
                  <c:v>5.484801265765249</c:v>
                </c:pt>
                <c:pt idx="7">
                  <c:v>4.4266243702487884</c:v>
                </c:pt>
                <c:pt idx="8">
                  <c:v>4.6356646925051592</c:v>
                </c:pt>
                <c:pt idx="9">
                  <c:v>6.9883637889796901</c:v>
                </c:pt>
                <c:pt idx="10">
                  <c:v>5.3651215686418396</c:v>
                </c:pt>
                <c:pt idx="11">
                  <c:v>5.6915624958552513</c:v>
                </c:pt>
                <c:pt idx="12">
                  <c:v>5.5045920821624961</c:v>
                </c:pt>
                <c:pt idx="13">
                  <c:v>3.4810493353754524</c:v>
                </c:pt>
                <c:pt idx="14">
                  <c:v>2.9864745662422365</c:v>
                </c:pt>
                <c:pt idx="15">
                  <c:v>2.3837996854252808</c:v>
                </c:pt>
                <c:pt idx="16">
                  <c:v>2.7464531983458329</c:v>
                </c:pt>
                <c:pt idx="17">
                  <c:v>5.8324880570896909</c:v>
                </c:pt>
                <c:pt idx="18">
                  <c:v>0.8555227192831083</c:v>
                </c:pt>
                <c:pt idx="19">
                  <c:v>0.57351523941964189</c:v>
                </c:pt>
                <c:pt idx="20">
                  <c:v>1.7135879886669869</c:v>
                </c:pt>
                <c:pt idx="21">
                  <c:v>2.1710720518669291</c:v>
                </c:pt>
                <c:pt idx="22">
                  <c:v>-9.0508315829751496E-2</c:v>
                </c:pt>
                <c:pt idx="23">
                  <c:v>-1.1686107813776658</c:v>
                </c:pt>
                <c:pt idx="24">
                  <c:v>0.7405981070215617</c:v>
                </c:pt>
                <c:pt idx="25">
                  <c:v>2.5375511921330585</c:v>
                </c:pt>
                <c:pt idx="26">
                  <c:v>1.3282980307099734</c:v>
                </c:pt>
                <c:pt idx="27">
                  <c:v>3.3879416779029725</c:v>
                </c:pt>
                <c:pt idx="28">
                  <c:v>3.5442963468279132</c:v>
                </c:pt>
                <c:pt idx="29">
                  <c:v>3.6443273871455517</c:v>
                </c:pt>
                <c:pt idx="30">
                  <c:v>1.4999832185923268</c:v>
                </c:pt>
                <c:pt idx="31">
                  <c:v>2.0231835767200224</c:v>
                </c:pt>
                <c:pt idx="32">
                  <c:v>0.64060350278154488</c:v>
                </c:pt>
                <c:pt idx="33">
                  <c:v>0.76928756499317075</c:v>
                </c:pt>
                <c:pt idx="34">
                  <c:v>2.3962384921137669</c:v>
                </c:pt>
                <c:pt idx="35">
                  <c:v>0.86886767644962504</c:v>
                </c:pt>
                <c:pt idx="36">
                  <c:v>1.8566987593434447</c:v>
                </c:pt>
                <c:pt idx="37">
                  <c:v>3.2342383384031947</c:v>
                </c:pt>
                <c:pt idx="38">
                  <c:v>3.019953476879067</c:v>
                </c:pt>
                <c:pt idx="39">
                  <c:v>3.3359274163132113</c:v>
                </c:pt>
                <c:pt idx="40">
                  <c:v>3.1462697241465776</c:v>
                </c:pt>
                <c:pt idx="41">
                  <c:v>2.9157080145733261</c:v>
                </c:pt>
                <c:pt idx="42">
                  <c:v>0.88398890067065139</c:v>
                </c:pt>
                <c:pt idx="43">
                  <c:v>2.2924767379791433</c:v>
                </c:pt>
                <c:pt idx="44">
                  <c:v>1.0157382770303869</c:v>
                </c:pt>
                <c:pt idx="45">
                  <c:v>2.3487508019885084</c:v>
                </c:pt>
                <c:pt idx="46">
                  <c:v>2.9894062094426133</c:v>
                </c:pt>
                <c:pt idx="47">
                  <c:v>0.3028975020841429</c:v>
                </c:pt>
                <c:pt idx="48">
                  <c:v>1.5981927845174937</c:v>
                </c:pt>
                <c:pt idx="49">
                  <c:v>1.1920233384048018</c:v>
                </c:pt>
                <c:pt idx="50">
                  <c:v>0.20167626071359024</c:v>
                </c:pt>
                <c:pt idx="51">
                  <c:v>-0.8708586860038281</c:v>
                </c:pt>
                <c:pt idx="52">
                  <c:v>-0.37227595197730778</c:v>
                </c:pt>
                <c:pt idx="53">
                  <c:v>1.1309129560149955</c:v>
                </c:pt>
              </c:numCache>
            </c:numRef>
          </c:val>
          <c:smooth val="0"/>
        </c:ser>
        <c:ser>
          <c:idx val="1"/>
          <c:order val="1"/>
          <c:tx>
            <c:v>Population</c:v>
          </c:tx>
          <c:spPr>
            <a:ln w="12700">
              <a:solidFill>
                <a:srgbClr val="333333"/>
              </a:solidFill>
              <a:prstDash val="lgDash"/>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croissance'!$O$2:$O$56</c:f>
              <c:numCache>
                <c:formatCode>0.00</c:formatCode>
                <c:ptCount val="55"/>
                <c:pt idx="0">
                  <c:v>1.1228719484755345</c:v>
                </c:pt>
                <c:pt idx="1">
                  <c:v>2.4500422833419577</c:v>
                </c:pt>
                <c:pt idx="2">
                  <c:v>1.0156118563653393</c:v>
                </c:pt>
                <c:pt idx="3">
                  <c:v>1.040718741711899</c:v>
                </c:pt>
                <c:pt idx="4">
                  <c:v>0.80396191694180885</c:v>
                </c:pt>
                <c:pt idx="5">
                  <c:v>0.85377596235680642</c:v>
                </c:pt>
                <c:pt idx="6">
                  <c:v>0.70544583328935317</c:v>
                </c:pt>
                <c:pt idx="7">
                  <c:v>0.77063366558434154</c:v>
                </c:pt>
                <c:pt idx="8">
                  <c:v>0.83565849030780015</c:v>
                </c:pt>
                <c:pt idx="9">
                  <c:v>0.96119235043854445</c:v>
                </c:pt>
                <c:pt idx="10">
                  <c:v>0.91651173843541045</c:v>
                </c:pt>
                <c:pt idx="11">
                  <c:v>0.83155683800733016</c:v>
                </c:pt>
                <c:pt idx="12">
                  <c:v>0.77679825233971656</c:v>
                </c:pt>
                <c:pt idx="13">
                  <c:v>0.53235556570889742</c:v>
                </c:pt>
                <c:pt idx="14">
                  <c:v>0.3763593200405424</c:v>
                </c:pt>
                <c:pt idx="15">
                  <c:v>0.41707212375108327</c:v>
                </c:pt>
                <c:pt idx="16">
                  <c:v>0.47522837246560812</c:v>
                </c:pt>
                <c:pt idx="17">
                  <c:v>0.39250977014031463</c:v>
                </c:pt>
                <c:pt idx="18">
                  <c:v>0.46695030563768114</c:v>
                </c:pt>
                <c:pt idx="19">
                  <c:v>0.55167725869367246</c:v>
                </c:pt>
                <c:pt idx="20">
                  <c:v>0.56544952638617474</c:v>
                </c:pt>
                <c:pt idx="21">
                  <c:v>0.57803353355030396</c:v>
                </c:pt>
                <c:pt idx="22">
                  <c:v>0.44706882099241341</c:v>
                </c:pt>
                <c:pt idx="23">
                  <c:v>0.47695475433240375</c:v>
                </c:pt>
                <c:pt idx="24">
                  <c:v>0.45932675635498299</c:v>
                </c:pt>
                <c:pt idx="25">
                  <c:v>0.48705587388742089</c:v>
                </c:pt>
                <c:pt idx="26">
                  <c:v>0.50939168376995525</c:v>
                </c:pt>
                <c:pt idx="27">
                  <c:v>0.54112561185810648</c:v>
                </c:pt>
                <c:pt idx="28">
                  <c:v>0.54443853360677252</c:v>
                </c:pt>
                <c:pt idx="29">
                  <c:v>0.46493900973558766</c:v>
                </c:pt>
                <c:pt idx="30">
                  <c:v>0.47366332039242565</c:v>
                </c:pt>
                <c:pt idx="31">
                  <c:v>0.45183286390866328</c:v>
                </c:pt>
                <c:pt idx="32">
                  <c:v>0.34079889602480762</c:v>
                </c:pt>
                <c:pt idx="33">
                  <c:v>0.32523614434403214</c:v>
                </c:pt>
                <c:pt idx="34">
                  <c:v>0.31710008032046488</c:v>
                </c:pt>
                <c:pt idx="35">
                  <c:v>0.31030775888236661</c:v>
                </c:pt>
                <c:pt idx="36">
                  <c:v>0.31429658038319985</c:v>
                </c:pt>
                <c:pt idx="37">
                  <c:v>0.3384566387538257</c:v>
                </c:pt>
                <c:pt idx="38">
                  <c:v>0.61622721921974488</c:v>
                </c:pt>
                <c:pt idx="39">
                  <c:v>0.69143097920925101</c:v>
                </c:pt>
                <c:pt idx="40">
                  <c:v>0.70503577344744883</c:v>
                </c:pt>
                <c:pt idx="41">
                  <c:v>0.69446785069811057</c:v>
                </c:pt>
                <c:pt idx="42">
                  <c:v>0.66924909769063845</c:v>
                </c:pt>
                <c:pt idx="43">
                  <c:v>0.75384889236413954</c:v>
                </c:pt>
                <c:pt idx="44">
                  <c:v>0.7134033357354852</c:v>
                </c:pt>
                <c:pt idx="45">
                  <c:v>0.64208198691328988</c:v>
                </c:pt>
                <c:pt idx="46">
                  <c:v>0.54809741825465608</c:v>
                </c:pt>
                <c:pt idx="47">
                  <c:v>0.53104695144572389</c:v>
                </c:pt>
                <c:pt idx="48">
                  <c:v>0.47835872124952772</c:v>
                </c:pt>
                <c:pt idx="49">
                  <c:v>0.48493375297873342</c:v>
                </c:pt>
                <c:pt idx="50">
                  <c:v>0.48341083751282099</c:v>
                </c:pt>
                <c:pt idx="51">
                  <c:v>0.5066262239923347</c:v>
                </c:pt>
                <c:pt idx="52">
                  <c:v>0.51687861883085162</c:v>
                </c:pt>
                <c:pt idx="53">
                  <c:v>0.42525677145572871</c:v>
                </c:pt>
              </c:numCache>
            </c:numRef>
          </c:val>
          <c:smooth val="0"/>
        </c:ser>
        <c:ser>
          <c:idx val="2"/>
          <c:order val="2"/>
          <c:tx>
            <c:v>Nombre de ménages</c:v>
          </c:tx>
          <c:spPr>
            <a:ln w="25400">
              <a:solidFill>
                <a:srgbClr val="808080"/>
              </a:solidFill>
              <a:prstDash val="solid"/>
            </a:ln>
          </c:spPr>
          <c:marker>
            <c:symbol val="none"/>
          </c:marker>
          <c:cat>
            <c:numRef>
              <c:f>'taux croissance'!$A$2:$A$56</c:f>
              <c:numCache>
                <c:formatCode>General</c:formatCode>
                <c:ptCount val="55"/>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numCache>
            </c:numRef>
          </c:cat>
          <c:val>
            <c:numRef>
              <c:f>'taux croissance'!$P$2:$P$56</c:f>
              <c:numCache>
                <c:formatCode>0.00</c:formatCode>
                <c:ptCount val="55"/>
                <c:pt idx="0">
                  <c:v>1.101681023778589</c:v>
                </c:pt>
                <c:pt idx="1">
                  <c:v>1.9237945260535128</c:v>
                </c:pt>
                <c:pt idx="2">
                  <c:v>1.7443182018759273</c:v>
                </c:pt>
                <c:pt idx="3">
                  <c:v>1.0473382226692252</c:v>
                </c:pt>
                <c:pt idx="4">
                  <c:v>0.98752463422506764</c:v>
                </c:pt>
                <c:pt idx="5">
                  <c:v>0.99403105394060276</c:v>
                </c:pt>
                <c:pt idx="6">
                  <c:v>1.124979722503916</c:v>
                </c:pt>
                <c:pt idx="7">
                  <c:v>1.2766941701949364</c:v>
                </c:pt>
                <c:pt idx="8">
                  <c:v>1.6058944913611484</c:v>
                </c:pt>
                <c:pt idx="9">
                  <c:v>1.8338975498506827</c:v>
                </c:pt>
                <c:pt idx="10">
                  <c:v>1.8367986646502743</c:v>
                </c:pt>
                <c:pt idx="11">
                  <c:v>1.7830861210482496</c:v>
                </c:pt>
                <c:pt idx="12">
                  <c:v>1.7489587961827979</c:v>
                </c:pt>
                <c:pt idx="13">
                  <c:v>1.6222769079554666</c:v>
                </c:pt>
                <c:pt idx="14">
                  <c:v>1.5376020579687122</c:v>
                </c:pt>
                <c:pt idx="15">
                  <c:v>1.5391330365865485</c:v>
                </c:pt>
                <c:pt idx="16">
                  <c:v>1.5185178038809255</c:v>
                </c:pt>
                <c:pt idx="17">
                  <c:v>1.4877777591641106</c:v>
                </c:pt>
                <c:pt idx="18">
                  <c:v>1.4606941602245627</c:v>
                </c:pt>
                <c:pt idx="19">
                  <c:v>1.4052083710582863</c:v>
                </c:pt>
                <c:pt idx="20">
                  <c:v>1.3560188662317785</c:v>
                </c:pt>
                <c:pt idx="21">
                  <c:v>1.3456731651464438</c:v>
                </c:pt>
                <c:pt idx="22">
                  <c:v>1.3520430057100796</c:v>
                </c:pt>
                <c:pt idx="23">
                  <c:v>1.3208335839882679</c:v>
                </c:pt>
                <c:pt idx="24">
                  <c:v>1.2215931795061863</c:v>
                </c:pt>
                <c:pt idx="25">
                  <c:v>1.1623691645024081</c:v>
                </c:pt>
                <c:pt idx="26">
                  <c:v>1.1312785567572092</c:v>
                </c:pt>
                <c:pt idx="27">
                  <c:v>1.0992947389873109</c:v>
                </c:pt>
                <c:pt idx="28">
                  <c:v>1.0589884934423921</c:v>
                </c:pt>
                <c:pt idx="29">
                  <c:v>1.1565458297068787</c:v>
                </c:pt>
                <c:pt idx="30">
                  <c:v>1.2162274237160986</c:v>
                </c:pt>
                <c:pt idx="31">
                  <c:v>1.1425067161882296</c:v>
                </c:pt>
                <c:pt idx="32">
                  <c:v>1.1139302051912381</c:v>
                </c:pt>
                <c:pt idx="33">
                  <c:v>1.1232962401624746</c:v>
                </c:pt>
                <c:pt idx="34">
                  <c:v>1.1348015339580186</c:v>
                </c:pt>
                <c:pt idx="35">
                  <c:v>1.0949622747860488</c:v>
                </c:pt>
                <c:pt idx="36">
                  <c:v>1.0639419233962499</c:v>
                </c:pt>
                <c:pt idx="37">
                  <c:v>1.0393069136329203</c:v>
                </c:pt>
                <c:pt idx="38">
                  <c:v>1.1766198320270149</c:v>
                </c:pt>
                <c:pt idx="39">
                  <c:v>1.3455078387664798</c:v>
                </c:pt>
                <c:pt idx="40">
                  <c:v>1.3694172553934791</c:v>
                </c:pt>
                <c:pt idx="41">
                  <c:v>1.3622642589949052</c:v>
                </c:pt>
                <c:pt idx="42">
                  <c:v>1.3153976856676408</c:v>
                </c:pt>
                <c:pt idx="43">
                  <c:v>1.27351678339096</c:v>
                </c:pt>
                <c:pt idx="44">
                  <c:v>1.216784030566842</c:v>
                </c:pt>
                <c:pt idx="45">
                  <c:v>1.17008921905839</c:v>
                </c:pt>
                <c:pt idx="46">
                  <c:v>1.0795700303988909</c:v>
                </c:pt>
                <c:pt idx="47">
                  <c:v>0.96471033660598948</c:v>
                </c:pt>
                <c:pt idx="48">
                  <c:v>0.91478296376976687</c:v>
                </c:pt>
                <c:pt idx="49">
                  <c:v>0.88786856654703428</c:v>
                </c:pt>
                <c:pt idx="50">
                  <c:v>0.84174033933042125</c:v>
                </c:pt>
                <c:pt idx="51">
                  <c:v>0.83018841774364915</c:v>
                </c:pt>
                <c:pt idx="52">
                  <c:v>0.85833649000726098</c:v>
                </c:pt>
                <c:pt idx="53">
                  <c:v>0.81102096315355254</c:v>
                </c:pt>
              </c:numCache>
            </c:numRef>
          </c:val>
          <c:smooth val="0"/>
        </c:ser>
        <c:dLbls>
          <c:showLegendKey val="0"/>
          <c:showVal val="0"/>
          <c:showCatName val="0"/>
          <c:showSerName val="0"/>
          <c:showPercent val="0"/>
          <c:showBubbleSize val="0"/>
        </c:dLbls>
        <c:marker val="1"/>
        <c:smooth val="0"/>
        <c:axId val="216487040"/>
        <c:axId val="216488576"/>
      </c:lineChart>
      <c:catAx>
        <c:axId val="21648704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Arial"/>
                <a:ea typeface="Arial"/>
                <a:cs typeface="Arial"/>
              </a:defRPr>
            </a:pPr>
            <a:endParaRPr lang="fr-FR"/>
          </a:p>
        </c:txPr>
        <c:crossAx val="216488576"/>
        <c:crosses val="autoZero"/>
        <c:auto val="1"/>
        <c:lblAlgn val="ctr"/>
        <c:lblOffset val="100"/>
        <c:tickLblSkip val="1"/>
        <c:tickMarkSkip val="1"/>
        <c:noMultiLvlLbl val="0"/>
      </c:catAx>
      <c:valAx>
        <c:axId val="216488576"/>
        <c:scaling>
          <c:orientation val="minMax"/>
          <c:max val="10"/>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Taux de croissance</a:t>
                </a:r>
              </a:p>
            </c:rich>
          </c:tx>
          <c:layout>
            <c:manualLayout>
              <c:xMode val="edge"/>
              <c:yMode val="edge"/>
              <c:x val="0"/>
              <c:y val="0.42297300527147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6487040"/>
        <c:crosses val="autoZero"/>
        <c:crossBetween val="between"/>
        <c:majorUnit val="1"/>
      </c:valAx>
      <c:spPr>
        <a:noFill/>
        <a:ln w="12700">
          <a:solidFill>
            <a:srgbClr val="808080"/>
          </a:solidFill>
          <a:prstDash val="solid"/>
        </a:ln>
      </c:spPr>
    </c:plotArea>
    <c:legend>
      <c:legendPos val="r"/>
      <c:layout>
        <c:manualLayout>
          <c:xMode val="edge"/>
          <c:yMode val="edge"/>
          <c:x val="0.63749999999999996"/>
          <c:y val="0"/>
          <c:w val="0.2416666666666667"/>
          <c:h val="7.4187544738725839E-2"/>
        </c:manualLayout>
      </c:layout>
      <c:overlay val="0"/>
      <c:spPr>
        <a:noFill/>
        <a:ln w="12700">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Comparaison des consommations physiques de carburant des ménages</a:t>
            </a:r>
          </a:p>
          <a:p>
            <a:pPr>
              <a:defRPr sz="1000" b="0" i="0" u="none" strike="noStrike" baseline="0">
                <a:solidFill>
                  <a:srgbClr val="000000"/>
                </a:solidFill>
                <a:latin typeface="Arial"/>
                <a:ea typeface="Arial"/>
                <a:cs typeface="Arial"/>
              </a:defRPr>
            </a:pPr>
            <a:r>
              <a:rPr lang="fr-FR" sz="1000" b="1" i="0" u="none" strike="noStrike" baseline="0">
                <a:solidFill>
                  <a:srgbClr val="000000"/>
                </a:solidFill>
                <a:latin typeface="Arial"/>
                <a:cs typeface="Arial"/>
              </a:rPr>
              <a:t>entre 1960 et 2014 selon leur mode de calcul</a:t>
            </a:r>
          </a:p>
          <a:p>
            <a:pPr>
              <a:defRPr sz="1000" b="0" i="0" u="none" strike="noStrike" baseline="0">
                <a:solidFill>
                  <a:srgbClr val="000000"/>
                </a:solidFill>
                <a:latin typeface="Arial"/>
                <a:ea typeface="Arial"/>
                <a:cs typeface="Arial"/>
              </a:defRPr>
            </a:pPr>
            <a:r>
              <a:rPr lang="fr-FR" sz="800" b="0" i="0" u="none" strike="noStrike" baseline="0">
                <a:solidFill>
                  <a:srgbClr val="000000"/>
                </a:solidFill>
                <a:latin typeface="Arial"/>
                <a:cs typeface="Arial"/>
              </a:rPr>
              <a:t>Sources: CPDP, INSEE</a:t>
            </a:r>
          </a:p>
        </c:rich>
      </c:tx>
      <c:layout>
        <c:manualLayout>
          <c:xMode val="edge"/>
          <c:yMode val="edge"/>
          <c:x val="6.4220144356955389E-2"/>
          <c:y val="0"/>
        </c:manualLayout>
      </c:layout>
      <c:overlay val="0"/>
      <c:spPr>
        <a:noFill/>
        <a:ln w="25400">
          <a:noFill/>
        </a:ln>
      </c:spPr>
    </c:title>
    <c:autoTitleDeleted val="0"/>
    <c:plotArea>
      <c:layout>
        <c:manualLayout>
          <c:layoutTarget val="inner"/>
          <c:xMode val="edge"/>
          <c:yMode val="edge"/>
          <c:x val="7.1726438698915762E-2"/>
          <c:y val="0.11756756756756756"/>
          <c:w val="0.92743953294412007"/>
          <c:h val="0.83648648648648638"/>
        </c:manualLayout>
      </c:layout>
      <c:lineChart>
        <c:grouping val="standard"/>
        <c:varyColors val="0"/>
        <c:ser>
          <c:idx val="0"/>
          <c:order val="0"/>
          <c:tx>
            <c:v>Dépense courante totale sur prix moyen</c:v>
          </c:tx>
          <c:spPr>
            <a:ln w="12700">
              <a:solidFill>
                <a:srgbClr val="333333"/>
              </a:solidFill>
              <a:prstDash val="lgDash"/>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ZIA_quantites_physiques!$O$3:$O$57</c:f>
              <c:numCache>
                <c:formatCode>0</c:formatCode>
                <c:ptCount val="55"/>
                <c:pt idx="0">
                  <c:v>6324.30405873378</c:v>
                </c:pt>
                <c:pt idx="1">
                  <c:v>6977.5644048853192</c:v>
                </c:pt>
                <c:pt idx="2">
                  <c:v>7546.1065664902999</c:v>
                </c:pt>
                <c:pt idx="3">
                  <c:v>8266.6699091319151</c:v>
                </c:pt>
                <c:pt idx="4">
                  <c:v>9287.0810369728224</c:v>
                </c:pt>
                <c:pt idx="5">
                  <c:v>10222.990973776286</c:v>
                </c:pt>
                <c:pt idx="6">
                  <c:v>11288.073922976682</c:v>
                </c:pt>
                <c:pt idx="7">
                  <c:v>12450.014474196823</c:v>
                </c:pt>
                <c:pt idx="8">
                  <c:v>13458.018747205168</c:v>
                </c:pt>
                <c:pt idx="9">
                  <c:v>14537.663863004916</c:v>
                </c:pt>
                <c:pt idx="10">
                  <c:v>15777.241833480739</c:v>
                </c:pt>
                <c:pt idx="11">
                  <c:v>17429.719027367079</c:v>
                </c:pt>
                <c:pt idx="12">
                  <c:v>19022.223320576362</c:v>
                </c:pt>
                <c:pt idx="13">
                  <c:v>20703.096326969749</c:v>
                </c:pt>
                <c:pt idx="14">
                  <c:v>19520.400561011003</c:v>
                </c:pt>
                <c:pt idx="15">
                  <c:v>20633.016342155475</c:v>
                </c:pt>
                <c:pt idx="16">
                  <c:v>21891.160288259249</c:v>
                </c:pt>
                <c:pt idx="17">
                  <c:v>21718.299091529181</c:v>
                </c:pt>
                <c:pt idx="18">
                  <c:v>23113.826938987979</c:v>
                </c:pt>
                <c:pt idx="19">
                  <c:v>23096.598844043874</c:v>
                </c:pt>
                <c:pt idx="20">
                  <c:v>22898.934369455987</c:v>
                </c:pt>
                <c:pt idx="21">
                  <c:v>24779.629925642887</c:v>
                </c:pt>
                <c:pt idx="22">
                  <c:v>24712.547965562211</c:v>
                </c:pt>
                <c:pt idx="23">
                  <c:v>24393.280414222216</c:v>
                </c:pt>
                <c:pt idx="24">
                  <c:v>24983.5443358745</c:v>
                </c:pt>
                <c:pt idx="25">
                  <c:v>24987.280798925392</c:v>
                </c:pt>
                <c:pt idx="26">
                  <c:v>23992.891008019418</c:v>
                </c:pt>
                <c:pt idx="27">
                  <c:v>28314.561346398608</c:v>
                </c:pt>
                <c:pt idx="28">
                  <c:v>29635.046363355261</c:v>
                </c:pt>
                <c:pt idx="29">
                  <c:v>30990.109325118003</c:v>
                </c:pt>
                <c:pt idx="30">
                  <c:v>34889.449807651741</c:v>
                </c:pt>
                <c:pt idx="31">
                  <c:v>37295.574029533236</c:v>
                </c:pt>
                <c:pt idx="32">
                  <c:v>31847.694517719894</c:v>
                </c:pt>
                <c:pt idx="33">
                  <c:v>31643.108810355232</c:v>
                </c:pt>
                <c:pt idx="34">
                  <c:v>31754.778866693763</c:v>
                </c:pt>
                <c:pt idx="35">
                  <c:v>32103.076487527411</c:v>
                </c:pt>
                <c:pt idx="36">
                  <c:v>31410.175800945755</c:v>
                </c:pt>
                <c:pt idx="37">
                  <c:v>31696.176113364312</c:v>
                </c:pt>
                <c:pt idx="38">
                  <c:v>32596.416633875182</c:v>
                </c:pt>
                <c:pt idx="39">
                  <c:v>32538.841050169973</c:v>
                </c:pt>
                <c:pt idx="40">
                  <c:v>31580.578648368817</c:v>
                </c:pt>
                <c:pt idx="41">
                  <c:v>32402.791000768182</c:v>
                </c:pt>
                <c:pt idx="42">
                  <c:v>32474.433134065555</c:v>
                </c:pt>
                <c:pt idx="43">
                  <c:v>32714.738210958832</c:v>
                </c:pt>
                <c:pt idx="44">
                  <c:v>31899.862003999515</c:v>
                </c:pt>
                <c:pt idx="45">
                  <c:v>30581.83535174741</c:v>
                </c:pt>
                <c:pt idx="46">
                  <c:v>30584.456767525073</c:v>
                </c:pt>
                <c:pt idx="47">
                  <c:v>27776.337415511764</c:v>
                </c:pt>
                <c:pt idx="48">
                  <c:v>29588.604494532421</c:v>
                </c:pt>
                <c:pt idx="49">
                  <c:v>29966.322670882575</c:v>
                </c:pt>
                <c:pt idx="50">
                  <c:v>29618.573428646861</c:v>
                </c:pt>
                <c:pt idx="51">
                  <c:v>28426.734764425517</c:v>
                </c:pt>
                <c:pt idx="52">
                  <c:v>34031.101804023579</c:v>
                </c:pt>
                <c:pt idx="53">
                  <c:v>33744.945657046788</c:v>
                </c:pt>
                <c:pt idx="54">
                  <c:v>33940.243772319802</c:v>
                </c:pt>
              </c:numCache>
            </c:numRef>
          </c:val>
          <c:smooth val="0"/>
        </c:ser>
        <c:ser>
          <c:idx val="1"/>
          <c:order val="1"/>
          <c:tx>
            <c:v>Sommation des dépenses courantes par type de carburant</c:v>
          </c:tx>
          <c:spPr>
            <a:ln w="38100">
              <a:solidFill>
                <a:srgbClr val="808080"/>
              </a:solidFill>
              <a:prstDash val="solid"/>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ZIA_quantites_physiques!$Q$3:$Q$57</c:f>
              <c:numCache>
                <c:formatCode>0</c:formatCode>
                <c:ptCount val="55"/>
                <c:pt idx="0">
                  <c:v>6077.6213610400409</c:v>
                </c:pt>
                <c:pt idx="1">
                  <c:v>5935.8172295158411</c:v>
                </c:pt>
                <c:pt idx="2">
                  <c:v>6418.7633736502039</c:v>
                </c:pt>
                <c:pt idx="3">
                  <c:v>7033.3639221004323</c:v>
                </c:pt>
                <c:pt idx="4">
                  <c:v>7895.3216777195148</c:v>
                </c:pt>
                <c:pt idx="5">
                  <c:v>8723.1018461515432</c:v>
                </c:pt>
                <c:pt idx="6">
                  <c:v>9627.9137259060499</c:v>
                </c:pt>
                <c:pt idx="7">
                  <c:v>10676.635172279657</c:v>
                </c:pt>
                <c:pt idx="8">
                  <c:v>11548.644998634796</c:v>
                </c:pt>
                <c:pt idx="9">
                  <c:v>12413.303159107947</c:v>
                </c:pt>
                <c:pt idx="10">
                  <c:v>13470.507885621815</c:v>
                </c:pt>
                <c:pt idx="11">
                  <c:v>14941.145497988884</c:v>
                </c:pt>
                <c:pt idx="12">
                  <c:v>16358.230299514473</c:v>
                </c:pt>
                <c:pt idx="13">
                  <c:v>17728.082007507568</c:v>
                </c:pt>
                <c:pt idx="14">
                  <c:v>16772.390657253585</c:v>
                </c:pt>
                <c:pt idx="15">
                  <c:v>17863.312486339837</c:v>
                </c:pt>
                <c:pt idx="16">
                  <c:v>18953.103997755297</c:v>
                </c:pt>
                <c:pt idx="17">
                  <c:v>18609.463575846192</c:v>
                </c:pt>
                <c:pt idx="18">
                  <c:v>19793.738670275288</c:v>
                </c:pt>
                <c:pt idx="19">
                  <c:v>20022.896363835673</c:v>
                </c:pt>
                <c:pt idx="20">
                  <c:v>20147.945558863696</c:v>
                </c:pt>
                <c:pt idx="21">
                  <c:v>22027.616879547077</c:v>
                </c:pt>
                <c:pt idx="22">
                  <c:v>22054.883867791028</c:v>
                </c:pt>
                <c:pt idx="23">
                  <c:v>22126.894642622534</c:v>
                </c:pt>
                <c:pt idx="24">
                  <c:v>22488.352540423937</c:v>
                </c:pt>
                <c:pt idx="25">
                  <c:v>22713.586237883483</c:v>
                </c:pt>
                <c:pt idx="26">
                  <c:v>21569.892104971223</c:v>
                </c:pt>
                <c:pt idx="27">
                  <c:v>24605.46047914285</c:v>
                </c:pt>
                <c:pt idx="28">
                  <c:v>25500.936538034875</c:v>
                </c:pt>
                <c:pt idx="29">
                  <c:v>26535.498379031269</c:v>
                </c:pt>
                <c:pt idx="30">
                  <c:v>27203.914051134438</c:v>
                </c:pt>
                <c:pt idx="31">
                  <c:v>26975.096099461774</c:v>
                </c:pt>
                <c:pt idx="32">
                  <c:v>27089.972353771762</c:v>
                </c:pt>
                <c:pt idx="33">
                  <c:v>27114.563811374632</c:v>
                </c:pt>
                <c:pt idx="34">
                  <c:v>27343.91449333524</c:v>
                </c:pt>
                <c:pt idx="35">
                  <c:v>27371.647544448202</c:v>
                </c:pt>
                <c:pt idx="36">
                  <c:v>27251.645779840714</c:v>
                </c:pt>
                <c:pt idx="37">
                  <c:v>27587.507006056952</c:v>
                </c:pt>
                <c:pt idx="38">
                  <c:v>28194.195471526804</c:v>
                </c:pt>
                <c:pt idx="39">
                  <c:v>28516.582357568943</c:v>
                </c:pt>
                <c:pt idx="40">
                  <c:v>28302.671454791649</c:v>
                </c:pt>
                <c:pt idx="41">
                  <c:v>29005.339730502041</c:v>
                </c:pt>
                <c:pt idx="42">
                  <c:v>29017.669400741648</c:v>
                </c:pt>
                <c:pt idx="43">
                  <c:v>29530.786229146906</c:v>
                </c:pt>
                <c:pt idx="44">
                  <c:v>29223.293136347627</c:v>
                </c:pt>
                <c:pt idx="45">
                  <c:v>28586.539303082689</c:v>
                </c:pt>
                <c:pt idx="46">
                  <c:v>28476.347125950313</c:v>
                </c:pt>
                <c:pt idx="47">
                  <c:v>26007.501922214113</c:v>
                </c:pt>
                <c:pt idx="48">
                  <c:v>28174.673372521578</c:v>
                </c:pt>
                <c:pt idx="49">
                  <c:v>27658.236080944967</c:v>
                </c:pt>
                <c:pt idx="50">
                  <c:v>28400.934249976061</c:v>
                </c:pt>
                <c:pt idx="51">
                  <c:v>26865.285213930347</c:v>
                </c:pt>
                <c:pt idx="52">
                  <c:v>26667.945973612375</c:v>
                </c:pt>
                <c:pt idx="53">
                  <c:v>26232.174203944203</c:v>
                </c:pt>
                <c:pt idx="54">
                  <c:v>26432.444337942594</c:v>
                </c:pt>
              </c:numCache>
            </c:numRef>
          </c:val>
          <c:smooth val="0"/>
        </c:ser>
        <c:ser>
          <c:idx val="2"/>
          <c:order val="2"/>
          <c:tx>
            <c:v>Consommation CPDP</c:v>
          </c:tx>
          <c:spPr>
            <a:ln w="38100">
              <a:solidFill>
                <a:srgbClr val="333333"/>
              </a:solidFill>
              <a:prstDash val="solid"/>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ZIA_quantites_physiques!$R$3:$R$57</c:f>
              <c:numCache>
                <c:formatCode>General</c:formatCode>
                <c:ptCount val="55"/>
                <c:pt idx="0">
                  <c:v>4285</c:v>
                </c:pt>
                <c:pt idx="1">
                  <c:v>4950</c:v>
                </c:pt>
                <c:pt idx="2">
                  <c:v>5520</c:v>
                </c:pt>
                <c:pt idx="3">
                  <c:v>6150</c:v>
                </c:pt>
                <c:pt idx="4">
                  <c:v>7120</c:v>
                </c:pt>
                <c:pt idx="5">
                  <c:v>7920</c:v>
                </c:pt>
                <c:pt idx="6">
                  <c:v>8760</c:v>
                </c:pt>
                <c:pt idx="7">
                  <c:v>9640</c:v>
                </c:pt>
                <c:pt idx="8">
                  <c:v>10710</c:v>
                </c:pt>
                <c:pt idx="9">
                  <c:v>11520</c:v>
                </c:pt>
                <c:pt idx="10">
                  <c:v>12524</c:v>
                </c:pt>
                <c:pt idx="11">
                  <c:v>14010</c:v>
                </c:pt>
                <c:pt idx="12">
                  <c:v>15613</c:v>
                </c:pt>
                <c:pt idx="13">
                  <c:v>17204</c:v>
                </c:pt>
                <c:pt idx="14">
                  <c:v>16553</c:v>
                </c:pt>
                <c:pt idx="15">
                  <c:v>17400</c:v>
                </c:pt>
                <c:pt idx="16">
                  <c:v>18492</c:v>
                </c:pt>
                <c:pt idx="17">
                  <c:v>19088</c:v>
                </c:pt>
                <c:pt idx="18">
                  <c:v>20193</c:v>
                </c:pt>
                <c:pt idx="19">
                  <c:v>20486</c:v>
                </c:pt>
                <c:pt idx="20">
                  <c:v>20796</c:v>
                </c:pt>
                <c:pt idx="21">
                  <c:v>21583</c:v>
                </c:pt>
                <c:pt idx="22">
                  <c:v>21996</c:v>
                </c:pt>
                <c:pt idx="23">
                  <c:v>22540</c:v>
                </c:pt>
                <c:pt idx="24">
                  <c:v>22825</c:v>
                </c:pt>
                <c:pt idx="25">
                  <c:v>22691</c:v>
                </c:pt>
                <c:pt idx="26">
                  <c:v>23940</c:v>
                </c:pt>
                <c:pt idx="27">
                  <c:v>24650</c:v>
                </c:pt>
                <c:pt idx="28">
                  <c:v>25430</c:v>
                </c:pt>
                <c:pt idx="29">
                  <c:v>27280</c:v>
                </c:pt>
                <c:pt idx="30">
                  <c:v>26223</c:v>
                </c:pt>
                <c:pt idx="31">
                  <c:v>26408</c:v>
                </c:pt>
                <c:pt idx="32">
                  <c:v>26945</c:v>
                </c:pt>
                <c:pt idx="33">
                  <c:v>27178</c:v>
                </c:pt>
                <c:pt idx="34">
                  <c:v>27556</c:v>
                </c:pt>
                <c:pt idx="35">
                  <c:v>27675</c:v>
                </c:pt>
                <c:pt idx="36">
                  <c:v>27669</c:v>
                </c:pt>
                <c:pt idx="37">
                  <c:v>27873</c:v>
                </c:pt>
                <c:pt idx="38">
                  <c:v>28492</c:v>
                </c:pt>
                <c:pt idx="39">
                  <c:v>28773</c:v>
                </c:pt>
                <c:pt idx="40">
                  <c:v>28354</c:v>
                </c:pt>
                <c:pt idx="41">
                  <c:v>29115</c:v>
                </c:pt>
                <c:pt idx="42">
                  <c:v>29026</c:v>
                </c:pt>
                <c:pt idx="43">
                  <c:v>28762</c:v>
                </c:pt>
                <c:pt idx="44">
                  <c:v>28247</c:v>
                </c:pt>
                <c:pt idx="45">
                  <c:v>27606</c:v>
                </c:pt>
                <c:pt idx="46">
                  <c:v>27118</c:v>
                </c:pt>
                <c:pt idx="47">
                  <c:v>27145</c:v>
                </c:pt>
                <c:pt idx="48">
                  <c:v>26865</c:v>
                </c:pt>
                <c:pt idx="49">
                  <c:v>26866</c:v>
                </c:pt>
                <c:pt idx="50">
                  <c:v>27575</c:v>
                </c:pt>
                <c:pt idx="51">
                  <c:v>27063</c:v>
                </c:pt>
                <c:pt idx="52">
                  <c:v>26771.489490306682</c:v>
                </c:pt>
                <c:pt idx="53">
                  <c:v>26226.293521562344</c:v>
                </c:pt>
                <c:pt idx="54">
                  <c:v>26277.782579501007</c:v>
                </c:pt>
              </c:numCache>
            </c:numRef>
          </c:val>
          <c:smooth val="0"/>
        </c:ser>
        <c:ser>
          <c:idx val="3"/>
          <c:order val="3"/>
          <c:tx>
            <c:strRef>
              <c:f>ZIA_quantites_physiques!$P$2</c:f>
              <c:strCache>
                <c:ptCount val="1"/>
                <c:pt idx="0">
                  <c:v>Consommation totale de caburant par prix moyen hors lubrifiants(mégalitres)</c:v>
                </c:pt>
              </c:strCache>
            </c:strRef>
          </c:tx>
          <c:spPr>
            <a:ln w="25400">
              <a:solidFill>
                <a:srgbClr val="FF6600"/>
              </a:solidFill>
              <a:prstDash val="solid"/>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ZIA_quantites_physiques!$P$3:$P$57</c:f>
              <c:numCache>
                <c:formatCode>0</c:formatCode>
                <c:ptCount val="55"/>
                <c:pt idx="0">
                  <c:v>8467.7560757921401</c:v>
                </c:pt>
                <c:pt idx="1">
                  <c:v>9357.4546197527852</c:v>
                </c:pt>
                <c:pt idx="2">
                  <c:v>10122.452144965804</c:v>
                </c:pt>
                <c:pt idx="3">
                  <c:v>11068.773621974562</c:v>
                </c:pt>
                <c:pt idx="4">
                  <c:v>12320.013945292383</c:v>
                </c:pt>
                <c:pt idx="5">
                  <c:v>13647.257328367285</c:v>
                </c:pt>
                <c:pt idx="6">
                  <c:v>15134.632434078454</c:v>
                </c:pt>
                <c:pt idx="7">
                  <c:v>16815.288021686021</c:v>
                </c:pt>
                <c:pt idx="8">
                  <c:v>18536.568465251054</c:v>
                </c:pt>
                <c:pt idx="9">
                  <c:v>19905.028595502568</c:v>
                </c:pt>
                <c:pt idx="10">
                  <c:v>21892.450326679176</c:v>
                </c:pt>
                <c:pt idx="11">
                  <c:v>23929.018165567857</c:v>
                </c:pt>
                <c:pt idx="12">
                  <c:v>26555.773477582967</c:v>
                </c:pt>
                <c:pt idx="13">
                  <c:v>28998.785475784985</c:v>
                </c:pt>
                <c:pt idx="14">
                  <c:v>27487.120084810453</c:v>
                </c:pt>
                <c:pt idx="15">
                  <c:v>29133.209511364064</c:v>
                </c:pt>
                <c:pt idx="16">
                  <c:v>30913.653454077506</c:v>
                </c:pt>
                <c:pt idx="17">
                  <c:v>30460.887157098248</c:v>
                </c:pt>
                <c:pt idx="18">
                  <c:v>31963.395415760442</c:v>
                </c:pt>
                <c:pt idx="19">
                  <c:v>32192.429267284238</c:v>
                </c:pt>
                <c:pt idx="20">
                  <c:v>32805.593078929895</c:v>
                </c:pt>
                <c:pt idx="21">
                  <c:v>34059.731576005463</c:v>
                </c:pt>
                <c:pt idx="22">
                  <c:v>34831.314690300533</c:v>
                </c:pt>
                <c:pt idx="23">
                  <c:v>35232.826317772815</c:v>
                </c:pt>
                <c:pt idx="24">
                  <c:v>35638.412251206806</c:v>
                </c:pt>
                <c:pt idx="25">
                  <c:v>35527.865643126286</c:v>
                </c:pt>
                <c:pt idx="26">
                  <c:v>36902.535400347493</c:v>
                </c:pt>
                <c:pt idx="27">
                  <c:v>37019.800877499729</c:v>
                </c:pt>
                <c:pt idx="28">
                  <c:v>38182.766625133991</c:v>
                </c:pt>
                <c:pt idx="29">
                  <c:v>38924.420071053748</c:v>
                </c:pt>
                <c:pt idx="30">
                  <c:v>38626.669767972067</c:v>
                </c:pt>
                <c:pt idx="31">
                  <c:v>38814.280308277455</c:v>
                </c:pt>
                <c:pt idx="32">
                  <c:v>38970.85881455084</c:v>
                </c:pt>
                <c:pt idx="33">
                  <c:v>38591.682080593651</c:v>
                </c:pt>
                <c:pt idx="34">
                  <c:v>38269.965056243353</c:v>
                </c:pt>
                <c:pt idx="35">
                  <c:v>37637.173049788245</c:v>
                </c:pt>
                <c:pt idx="36">
                  <c:v>37180.578657686783</c:v>
                </c:pt>
                <c:pt idx="37">
                  <c:v>37215.677792046132</c:v>
                </c:pt>
                <c:pt idx="38">
                  <c:v>37672.554438081293</c:v>
                </c:pt>
                <c:pt idx="39">
                  <c:v>38142.474362395806</c:v>
                </c:pt>
                <c:pt idx="40">
                  <c:v>37268.739704708176</c:v>
                </c:pt>
                <c:pt idx="41">
                  <c:v>37746.537482699372</c:v>
                </c:pt>
                <c:pt idx="42">
                  <c:v>37612.179668666176</c:v>
                </c:pt>
                <c:pt idx="43">
                  <c:v>37523.177073903062</c:v>
                </c:pt>
                <c:pt idx="44">
                  <c:v>36867.748365282801</c:v>
                </c:pt>
                <c:pt idx="45">
                  <c:v>35758.710268553659</c:v>
                </c:pt>
                <c:pt idx="46">
                  <c:v>35125.591688726156</c:v>
                </c:pt>
                <c:pt idx="47">
                  <c:v>35389.079417025219</c:v>
                </c:pt>
                <c:pt idx="48">
                  <c:v>34380.250124136641</c:v>
                </c:pt>
                <c:pt idx="49">
                  <c:v>33885.977245444978</c:v>
                </c:pt>
                <c:pt idx="50">
                  <c:v>33366.933999999994</c:v>
                </c:pt>
                <c:pt idx="51">
                  <c:v>32817.957134721815</c:v>
                </c:pt>
                <c:pt idx="52">
                  <c:v>32346.023262591701</c:v>
                </c:pt>
                <c:pt idx="53">
                  <c:v>31647.213124249251</c:v>
                </c:pt>
                <c:pt idx="54">
                  <c:v>31817.849714402622</c:v>
                </c:pt>
              </c:numCache>
            </c:numRef>
          </c:val>
          <c:smooth val="0"/>
        </c:ser>
        <c:dLbls>
          <c:showLegendKey val="0"/>
          <c:showVal val="0"/>
          <c:showCatName val="0"/>
          <c:showSerName val="0"/>
          <c:showPercent val="0"/>
          <c:showBubbleSize val="0"/>
        </c:dLbls>
        <c:marker val="1"/>
        <c:smooth val="0"/>
        <c:axId val="217161728"/>
        <c:axId val="217163264"/>
      </c:lineChart>
      <c:catAx>
        <c:axId val="217161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675" b="0" i="0" u="none" strike="noStrike" baseline="0">
                <a:solidFill>
                  <a:srgbClr val="000000"/>
                </a:solidFill>
                <a:latin typeface="Arial"/>
                <a:ea typeface="Arial"/>
                <a:cs typeface="Arial"/>
              </a:defRPr>
            </a:pPr>
            <a:endParaRPr lang="fr-FR"/>
          </a:p>
        </c:txPr>
        <c:crossAx val="217163264"/>
        <c:crosses val="autoZero"/>
        <c:auto val="1"/>
        <c:lblAlgn val="ctr"/>
        <c:lblOffset val="100"/>
        <c:tickLblSkip val="1"/>
        <c:tickMarkSkip val="1"/>
        <c:noMultiLvlLbl val="0"/>
      </c:catAx>
      <c:valAx>
        <c:axId val="217163264"/>
        <c:scaling>
          <c:orientation val="minMax"/>
        </c:scaling>
        <c:delete val="0"/>
        <c:axPos val="l"/>
        <c:majorGridlines>
          <c:spPr>
            <a:ln w="3175">
              <a:solidFill>
                <a:srgbClr val="808080"/>
              </a:solidFill>
              <a:prstDash val="sysDash"/>
            </a:ln>
          </c:spPr>
        </c:majorGridlines>
        <c:title>
          <c:tx>
            <c:rich>
              <a:bodyPr/>
              <a:lstStyle/>
              <a:p>
                <a:pPr>
                  <a:defRPr sz="950" b="0" i="0" u="none" strike="noStrike" baseline="0">
                    <a:solidFill>
                      <a:srgbClr val="000000"/>
                    </a:solidFill>
                    <a:latin typeface="Arial"/>
                    <a:ea typeface="Arial"/>
                    <a:cs typeface="Arial"/>
                  </a:defRPr>
                </a:pPr>
                <a:r>
                  <a:rPr lang="fr-FR"/>
                  <a:t>Mégalitres</a:t>
                </a:r>
              </a:p>
            </c:rich>
          </c:tx>
          <c:layout>
            <c:manualLayout>
              <c:xMode val="edge"/>
              <c:yMode val="edge"/>
              <c:x val="0"/>
              <c:y val="0.4797296543665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fr-FR"/>
          </a:p>
        </c:txPr>
        <c:crossAx val="217161728"/>
        <c:crosses val="autoZero"/>
        <c:crossBetween val="between"/>
      </c:valAx>
      <c:spPr>
        <a:noFill/>
        <a:ln w="12700">
          <a:solidFill>
            <a:srgbClr val="808080"/>
          </a:solidFill>
          <a:prstDash val="solid"/>
        </a:ln>
      </c:spPr>
    </c:plotArea>
    <c:legend>
      <c:legendPos val="r"/>
      <c:layout>
        <c:manualLayout>
          <c:xMode val="edge"/>
          <c:yMode val="edge"/>
          <c:x val="0.5697916666666667"/>
          <c:y val="0"/>
          <c:w val="0.4302083333333333"/>
          <c:h val="9.4435075885328831E-2"/>
        </c:manualLayout>
      </c:layout>
      <c:overlay val="0"/>
      <c:spPr>
        <a:noFill/>
        <a:ln w="12700">
          <a:solidFill>
            <a:srgbClr val="808080"/>
          </a:solidFill>
          <a:prstDash val="solid"/>
        </a:ln>
      </c:spPr>
      <c:txPr>
        <a:bodyPr/>
        <a:lstStyle/>
        <a:p>
          <a:pPr>
            <a:defRPr sz="73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Etude des écarts entre quantités reconstituées 
à partir des dépenses des ménages 
et quantités calculées par le CPDP</a:t>
            </a:r>
          </a:p>
        </c:rich>
      </c:tx>
      <c:layout>
        <c:manualLayout>
          <c:xMode val="edge"/>
          <c:yMode val="edge"/>
          <c:x val="8.3402887139107609E-2"/>
          <c:y val="0"/>
        </c:manualLayout>
      </c:layout>
      <c:overlay val="0"/>
      <c:spPr>
        <a:noFill/>
        <a:ln w="25400">
          <a:noFill/>
        </a:ln>
      </c:spPr>
    </c:title>
    <c:autoTitleDeleted val="0"/>
    <c:plotArea>
      <c:layout>
        <c:manualLayout>
          <c:layoutTarget val="inner"/>
          <c:xMode val="edge"/>
          <c:yMode val="edge"/>
          <c:x val="7.2560467055879888E-2"/>
          <c:y val="0.12837837837837837"/>
          <c:w val="0.84487072560467036"/>
          <c:h val="0.82567567567567568"/>
        </c:manualLayout>
      </c:layout>
      <c:lineChart>
        <c:grouping val="standard"/>
        <c:varyColors val="0"/>
        <c:ser>
          <c:idx val="1"/>
          <c:order val="0"/>
          <c:tx>
            <c:v>Millions de litres reconstitués à partir des dépenses (gauche)</c:v>
          </c:tx>
          <c:spPr>
            <a:ln w="25400">
              <a:solidFill>
                <a:srgbClr val="333333"/>
              </a:solidFill>
              <a:prstDash val="solid"/>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ZIA_quantites_physiques!$Q$3:$Q$57</c:f>
              <c:numCache>
                <c:formatCode>0</c:formatCode>
                <c:ptCount val="55"/>
                <c:pt idx="0">
                  <c:v>6077.6213610400409</c:v>
                </c:pt>
                <c:pt idx="1">
                  <c:v>5935.8172295158411</c:v>
                </c:pt>
                <c:pt idx="2">
                  <c:v>6418.7633736502039</c:v>
                </c:pt>
                <c:pt idx="3">
                  <c:v>7033.3639221004323</c:v>
                </c:pt>
                <c:pt idx="4">
                  <c:v>7895.3216777195148</c:v>
                </c:pt>
                <c:pt idx="5">
                  <c:v>8723.1018461515432</c:v>
                </c:pt>
                <c:pt idx="6">
                  <c:v>9627.9137259060499</c:v>
                </c:pt>
                <c:pt idx="7">
                  <c:v>10676.635172279657</c:v>
                </c:pt>
                <c:pt idx="8">
                  <c:v>11548.644998634796</c:v>
                </c:pt>
                <c:pt idx="9">
                  <c:v>12413.303159107947</c:v>
                </c:pt>
                <c:pt idx="10">
                  <c:v>13470.507885621815</c:v>
                </c:pt>
                <c:pt idx="11">
                  <c:v>14941.145497988884</c:v>
                </c:pt>
                <c:pt idx="12">
                  <c:v>16358.230299514473</c:v>
                </c:pt>
                <c:pt idx="13">
                  <c:v>17728.082007507568</c:v>
                </c:pt>
                <c:pt idx="14">
                  <c:v>16772.390657253585</c:v>
                </c:pt>
                <c:pt idx="15">
                  <c:v>17863.312486339837</c:v>
                </c:pt>
                <c:pt idx="16">
                  <c:v>18953.103997755297</c:v>
                </c:pt>
                <c:pt idx="17">
                  <c:v>18609.463575846192</c:v>
                </c:pt>
                <c:pt idx="18">
                  <c:v>19793.738670275288</c:v>
                </c:pt>
                <c:pt idx="19">
                  <c:v>20022.896363835673</c:v>
                </c:pt>
                <c:pt idx="20">
                  <c:v>20147.945558863696</c:v>
                </c:pt>
                <c:pt idx="21">
                  <c:v>22027.616879547077</c:v>
                </c:pt>
                <c:pt idx="22">
                  <c:v>22054.883867791028</c:v>
                </c:pt>
                <c:pt idx="23">
                  <c:v>22126.894642622534</c:v>
                </c:pt>
                <c:pt idx="24">
                  <c:v>22488.352540423937</c:v>
                </c:pt>
                <c:pt idx="25">
                  <c:v>22713.586237883483</c:v>
                </c:pt>
                <c:pt idx="26">
                  <c:v>21569.892104971223</c:v>
                </c:pt>
                <c:pt idx="27">
                  <c:v>24605.46047914285</c:v>
                </c:pt>
                <c:pt idx="28">
                  <c:v>25500.936538034875</c:v>
                </c:pt>
                <c:pt idx="29">
                  <c:v>26535.498379031269</c:v>
                </c:pt>
                <c:pt idx="30">
                  <c:v>27203.914051134438</c:v>
                </c:pt>
                <c:pt idx="31">
                  <c:v>26975.096099461774</c:v>
                </c:pt>
                <c:pt idx="32">
                  <c:v>27089.972353771762</c:v>
                </c:pt>
                <c:pt idx="33">
                  <c:v>27114.563811374632</c:v>
                </c:pt>
                <c:pt idx="34">
                  <c:v>27343.91449333524</c:v>
                </c:pt>
                <c:pt idx="35">
                  <c:v>27371.647544448202</c:v>
                </c:pt>
                <c:pt idx="36">
                  <c:v>27251.645779840714</c:v>
                </c:pt>
                <c:pt idx="37">
                  <c:v>27587.507006056952</c:v>
                </c:pt>
                <c:pt idx="38">
                  <c:v>28194.195471526804</c:v>
                </c:pt>
                <c:pt idx="39">
                  <c:v>28516.582357568943</c:v>
                </c:pt>
                <c:pt idx="40">
                  <c:v>28302.671454791649</c:v>
                </c:pt>
                <c:pt idx="41">
                  <c:v>29005.339730502041</c:v>
                </c:pt>
                <c:pt idx="42">
                  <c:v>29017.669400741648</c:v>
                </c:pt>
                <c:pt idx="43">
                  <c:v>29530.786229146906</c:v>
                </c:pt>
                <c:pt idx="44">
                  <c:v>29223.293136347627</c:v>
                </c:pt>
                <c:pt idx="45">
                  <c:v>28586.539303082689</c:v>
                </c:pt>
                <c:pt idx="46">
                  <c:v>28476.347125950313</c:v>
                </c:pt>
                <c:pt idx="47">
                  <c:v>26007.501922214113</c:v>
                </c:pt>
                <c:pt idx="48">
                  <c:v>28174.673372521578</c:v>
                </c:pt>
                <c:pt idx="49">
                  <c:v>27658.236080944967</c:v>
                </c:pt>
                <c:pt idx="50">
                  <c:v>28400.934249976061</c:v>
                </c:pt>
                <c:pt idx="51">
                  <c:v>26865.285213930347</c:v>
                </c:pt>
                <c:pt idx="52">
                  <c:v>26667.945973612375</c:v>
                </c:pt>
                <c:pt idx="53">
                  <c:v>26232.174203944203</c:v>
                </c:pt>
                <c:pt idx="54">
                  <c:v>26432.444337942594</c:v>
                </c:pt>
              </c:numCache>
            </c:numRef>
          </c:val>
          <c:smooth val="0"/>
        </c:ser>
        <c:ser>
          <c:idx val="0"/>
          <c:order val="1"/>
          <c:tx>
            <c:v>Quantités CPDP des voitures particuliaires (gauche)</c:v>
          </c:tx>
          <c:spPr>
            <a:ln w="25400">
              <a:solidFill>
                <a:srgbClr val="FF6600"/>
              </a:solidFill>
              <a:prstDash val="solid"/>
            </a:ln>
          </c:spPr>
          <c:marker>
            <c:symbol val="none"/>
          </c:marker>
          <c:cat>
            <c:numRef>
              <c:f>ZIA_quantites_physiques!$A$3:$A$57</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ZIA_quantites_physiques!$R$3:$R$57</c:f>
              <c:numCache>
                <c:formatCode>General</c:formatCode>
                <c:ptCount val="55"/>
                <c:pt idx="0">
                  <c:v>4285</c:v>
                </c:pt>
                <c:pt idx="1">
                  <c:v>4950</c:v>
                </c:pt>
                <c:pt idx="2">
                  <c:v>5520</c:v>
                </c:pt>
                <c:pt idx="3">
                  <c:v>6150</c:v>
                </c:pt>
                <c:pt idx="4">
                  <c:v>7120</c:v>
                </c:pt>
                <c:pt idx="5">
                  <c:v>7920</c:v>
                </c:pt>
                <c:pt idx="6">
                  <c:v>8760</c:v>
                </c:pt>
                <c:pt idx="7">
                  <c:v>9640</c:v>
                </c:pt>
                <c:pt idx="8">
                  <c:v>10710</c:v>
                </c:pt>
                <c:pt idx="9">
                  <c:v>11520</c:v>
                </c:pt>
                <c:pt idx="10">
                  <c:v>12524</c:v>
                </c:pt>
                <c:pt idx="11">
                  <c:v>14010</c:v>
                </c:pt>
                <c:pt idx="12">
                  <c:v>15613</c:v>
                </c:pt>
                <c:pt idx="13">
                  <c:v>17204</c:v>
                </c:pt>
                <c:pt idx="14">
                  <c:v>16553</c:v>
                </c:pt>
                <c:pt idx="15">
                  <c:v>17400</c:v>
                </c:pt>
                <c:pt idx="16">
                  <c:v>18492</c:v>
                </c:pt>
                <c:pt idx="17">
                  <c:v>19088</c:v>
                </c:pt>
                <c:pt idx="18">
                  <c:v>20193</c:v>
                </c:pt>
                <c:pt idx="19">
                  <c:v>20486</c:v>
                </c:pt>
                <c:pt idx="20">
                  <c:v>20796</c:v>
                </c:pt>
                <c:pt idx="21">
                  <c:v>21583</c:v>
                </c:pt>
                <c:pt idx="22">
                  <c:v>21996</c:v>
                </c:pt>
                <c:pt idx="23">
                  <c:v>22540</c:v>
                </c:pt>
                <c:pt idx="24">
                  <c:v>22825</c:v>
                </c:pt>
                <c:pt idx="25">
                  <c:v>22691</c:v>
                </c:pt>
                <c:pt idx="26">
                  <c:v>23940</c:v>
                </c:pt>
                <c:pt idx="27">
                  <c:v>24650</c:v>
                </c:pt>
                <c:pt idx="28">
                  <c:v>25430</c:v>
                </c:pt>
                <c:pt idx="29">
                  <c:v>27280</c:v>
                </c:pt>
                <c:pt idx="30">
                  <c:v>26223</c:v>
                </c:pt>
                <c:pt idx="31">
                  <c:v>26408</c:v>
                </c:pt>
                <c:pt idx="32">
                  <c:v>26945</c:v>
                </c:pt>
                <c:pt idx="33">
                  <c:v>27178</c:v>
                </c:pt>
                <c:pt idx="34">
                  <c:v>27556</c:v>
                </c:pt>
                <c:pt idx="35">
                  <c:v>27675</c:v>
                </c:pt>
                <c:pt idx="36">
                  <c:v>27669</c:v>
                </c:pt>
                <c:pt idx="37">
                  <c:v>27873</c:v>
                </c:pt>
                <c:pt idx="38">
                  <c:v>28492</c:v>
                </c:pt>
                <c:pt idx="39">
                  <c:v>28773</c:v>
                </c:pt>
                <c:pt idx="40">
                  <c:v>28354</c:v>
                </c:pt>
                <c:pt idx="41">
                  <c:v>29115</c:v>
                </c:pt>
                <c:pt idx="42">
                  <c:v>29026</c:v>
                </c:pt>
                <c:pt idx="43">
                  <c:v>28762</c:v>
                </c:pt>
                <c:pt idx="44">
                  <c:v>28247</c:v>
                </c:pt>
                <c:pt idx="45">
                  <c:v>27606</c:v>
                </c:pt>
                <c:pt idx="46">
                  <c:v>27118</c:v>
                </c:pt>
                <c:pt idx="47">
                  <c:v>27145</c:v>
                </c:pt>
                <c:pt idx="48">
                  <c:v>26865</c:v>
                </c:pt>
                <c:pt idx="49">
                  <c:v>26866</c:v>
                </c:pt>
                <c:pt idx="50">
                  <c:v>27575</c:v>
                </c:pt>
                <c:pt idx="51">
                  <c:v>27063</c:v>
                </c:pt>
                <c:pt idx="52">
                  <c:v>26771.489490306682</c:v>
                </c:pt>
                <c:pt idx="53">
                  <c:v>26226.293521562344</c:v>
                </c:pt>
                <c:pt idx="54">
                  <c:v>26277.782579501007</c:v>
                </c:pt>
              </c:numCache>
            </c:numRef>
          </c:val>
          <c:smooth val="0"/>
        </c:ser>
        <c:dLbls>
          <c:showLegendKey val="0"/>
          <c:showVal val="0"/>
          <c:showCatName val="0"/>
          <c:showSerName val="0"/>
          <c:showPercent val="0"/>
          <c:showBubbleSize val="0"/>
        </c:dLbls>
        <c:marker val="1"/>
        <c:smooth val="0"/>
        <c:axId val="218908160"/>
        <c:axId val="218909696"/>
      </c:lineChart>
      <c:lineChart>
        <c:grouping val="standard"/>
        <c:varyColors val="0"/>
        <c:ser>
          <c:idx val="2"/>
          <c:order val="2"/>
          <c:tx>
            <c:v>Différence CPDP - INSEE (droite)</c:v>
          </c:tx>
          <c:spPr>
            <a:ln w="12700">
              <a:solidFill>
                <a:srgbClr val="333399"/>
              </a:solidFill>
              <a:prstDash val="lgDash"/>
            </a:ln>
          </c:spPr>
          <c:marker>
            <c:symbol val="none"/>
          </c:marker>
          <c:val>
            <c:numRef>
              <c:f>ZIA_quantites_physiques!$S$3:$S$57</c:f>
              <c:numCache>
                <c:formatCode>0</c:formatCode>
                <c:ptCount val="55"/>
                <c:pt idx="0">
                  <c:v>-1792.6213610400409</c:v>
                </c:pt>
                <c:pt idx="1">
                  <c:v>-985.81722951584106</c:v>
                </c:pt>
                <c:pt idx="2">
                  <c:v>-898.7633736502039</c:v>
                </c:pt>
                <c:pt idx="3">
                  <c:v>-883.36392210043232</c:v>
                </c:pt>
                <c:pt idx="4">
                  <c:v>-775.32167771951481</c:v>
                </c:pt>
                <c:pt idx="5">
                  <c:v>-803.10184615154321</c:v>
                </c:pt>
                <c:pt idx="6">
                  <c:v>-867.91372590604988</c:v>
                </c:pt>
                <c:pt idx="7">
                  <c:v>-1036.6351722796571</c:v>
                </c:pt>
                <c:pt idx="8">
                  <c:v>-838.64499863479614</c:v>
                </c:pt>
                <c:pt idx="9">
                  <c:v>-893.30315910794707</c:v>
                </c:pt>
                <c:pt idx="10">
                  <c:v>-946.50788562181515</c:v>
                </c:pt>
                <c:pt idx="11">
                  <c:v>-931.14549798888402</c:v>
                </c:pt>
                <c:pt idx="12">
                  <c:v>-745.23029951447279</c:v>
                </c:pt>
                <c:pt idx="13">
                  <c:v>-524.08200750756805</c:v>
                </c:pt>
                <c:pt idx="14">
                  <c:v>-219.39065725358523</c:v>
                </c:pt>
                <c:pt idx="15">
                  <c:v>-463.31248633983705</c:v>
                </c:pt>
                <c:pt idx="16">
                  <c:v>-461.10399775529731</c:v>
                </c:pt>
                <c:pt idx="17">
                  <c:v>478.53642415380818</c:v>
                </c:pt>
                <c:pt idx="18">
                  <c:v>399.26132972471169</c:v>
                </c:pt>
                <c:pt idx="19">
                  <c:v>463.10363616432733</c:v>
                </c:pt>
                <c:pt idx="20">
                  <c:v>648.05444113630438</c:v>
                </c:pt>
                <c:pt idx="21">
                  <c:v>-444.61687954707668</c:v>
                </c:pt>
                <c:pt idx="22">
                  <c:v>-58.883867791028024</c:v>
                </c:pt>
                <c:pt idx="23">
                  <c:v>413.10535737746613</c:v>
                </c:pt>
                <c:pt idx="24">
                  <c:v>336.64745957606283</c:v>
                </c:pt>
                <c:pt idx="25">
                  <c:v>-22.586237883482681</c:v>
                </c:pt>
                <c:pt idx="26">
                  <c:v>2370.1078950287774</c:v>
                </c:pt>
                <c:pt idx="27">
                  <c:v>44.53952085714991</c:v>
                </c:pt>
                <c:pt idx="28">
                  <c:v>-70.936538034875412</c:v>
                </c:pt>
                <c:pt idx="29">
                  <c:v>744.501620968731</c:v>
                </c:pt>
                <c:pt idx="30">
                  <c:v>-980.91405113443761</c:v>
                </c:pt>
                <c:pt idx="31">
                  <c:v>-567.09609946177443</c:v>
                </c:pt>
                <c:pt idx="32">
                  <c:v>-144.97235377176185</c:v>
                </c:pt>
                <c:pt idx="33">
                  <c:v>63.436188625368231</c:v>
                </c:pt>
                <c:pt idx="34">
                  <c:v>212.08550666476003</c:v>
                </c:pt>
                <c:pt idx="35">
                  <c:v>303.3524555517979</c:v>
                </c:pt>
                <c:pt idx="36">
                  <c:v>417.35422015928634</c:v>
                </c:pt>
                <c:pt idx="37">
                  <c:v>285.49299394304762</c:v>
                </c:pt>
                <c:pt idx="38">
                  <c:v>297.80452847319611</c:v>
                </c:pt>
                <c:pt idx="39">
                  <c:v>256.41764243105717</c:v>
                </c:pt>
                <c:pt idx="40">
                  <c:v>51.328545208350988</c:v>
                </c:pt>
                <c:pt idx="41">
                  <c:v>109.66026949795923</c:v>
                </c:pt>
                <c:pt idx="42">
                  <c:v>8.3305992583518673</c:v>
                </c:pt>
                <c:pt idx="43">
                  <c:v>-768.78622914690641</c:v>
                </c:pt>
                <c:pt idx="44">
                  <c:v>-976.2931363476273</c:v>
                </c:pt>
                <c:pt idx="45">
                  <c:v>-980.539303082689</c:v>
                </c:pt>
                <c:pt idx="46">
                  <c:v>-1358.3471259503131</c:v>
                </c:pt>
                <c:pt idx="47">
                  <c:v>1137.4980777858873</c:v>
                </c:pt>
                <c:pt idx="48">
                  <c:v>-1309.6733725215781</c:v>
                </c:pt>
                <c:pt idx="49">
                  <c:v>-792.2360809449674</c:v>
                </c:pt>
                <c:pt idx="50">
                  <c:v>-825.93424997606053</c:v>
                </c:pt>
                <c:pt idx="51">
                  <c:v>197.7147860696532</c:v>
                </c:pt>
                <c:pt idx="52">
                  <c:v>103.54351669430616</c:v>
                </c:pt>
                <c:pt idx="53">
                  <c:v>-5.8806823818595149</c:v>
                </c:pt>
                <c:pt idx="54">
                  <c:v>-154.66175844158715</c:v>
                </c:pt>
              </c:numCache>
            </c:numRef>
          </c:val>
          <c:smooth val="0"/>
        </c:ser>
        <c:dLbls>
          <c:showLegendKey val="0"/>
          <c:showVal val="0"/>
          <c:showCatName val="0"/>
          <c:showSerName val="0"/>
          <c:showPercent val="0"/>
          <c:showBubbleSize val="0"/>
        </c:dLbls>
        <c:marker val="1"/>
        <c:smooth val="0"/>
        <c:axId val="218915968"/>
        <c:axId val="218917504"/>
      </c:lineChart>
      <c:catAx>
        <c:axId val="2189081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218909696"/>
        <c:crosses val="autoZero"/>
        <c:auto val="0"/>
        <c:lblAlgn val="ctr"/>
        <c:lblOffset val="100"/>
        <c:tickLblSkip val="1"/>
        <c:tickMarkSkip val="1"/>
        <c:noMultiLvlLbl val="0"/>
      </c:catAx>
      <c:valAx>
        <c:axId val="218909696"/>
        <c:scaling>
          <c:orientation val="minMax"/>
        </c:scaling>
        <c:delete val="0"/>
        <c:axPos val="l"/>
        <c:majorGridlines>
          <c:spPr>
            <a:ln w="3175">
              <a:solidFill>
                <a:srgbClr val="80808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Millions de litres / an</a:t>
                </a:r>
              </a:p>
            </c:rich>
          </c:tx>
          <c:layout>
            <c:manualLayout>
              <c:xMode val="edge"/>
              <c:yMode val="edge"/>
              <c:x val="0"/>
              <c:y val="0.4283783245475428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8908160"/>
        <c:crosses val="autoZero"/>
        <c:crossBetween val="between"/>
      </c:valAx>
      <c:catAx>
        <c:axId val="218915968"/>
        <c:scaling>
          <c:orientation val="minMax"/>
        </c:scaling>
        <c:delete val="1"/>
        <c:axPos val="b"/>
        <c:majorTickMark val="out"/>
        <c:minorTickMark val="none"/>
        <c:tickLblPos val="nextTo"/>
        <c:crossAx val="218917504"/>
        <c:crosses val="autoZero"/>
        <c:auto val="0"/>
        <c:lblAlgn val="ctr"/>
        <c:lblOffset val="100"/>
        <c:noMultiLvlLbl val="0"/>
      </c:catAx>
      <c:valAx>
        <c:axId val="21891750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fr-FR"/>
                  <a:t>Ecart (millions de litres)</a:t>
                </a:r>
              </a:p>
            </c:rich>
          </c:tx>
          <c:layout>
            <c:manualLayout>
              <c:xMode val="edge"/>
              <c:yMode val="edge"/>
              <c:x val="0.97497911198600173"/>
              <c:y val="0.401351374079926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18915968"/>
        <c:crosses val="max"/>
        <c:crossBetween val="between"/>
      </c:valAx>
      <c:spPr>
        <a:noFill/>
        <a:ln w="12700">
          <a:solidFill>
            <a:srgbClr val="808080"/>
          </a:solidFill>
          <a:prstDash val="solid"/>
        </a:ln>
      </c:spPr>
    </c:plotArea>
    <c:legend>
      <c:legendPos val="r"/>
      <c:layout>
        <c:manualLayout>
          <c:xMode val="edge"/>
          <c:yMode val="edge"/>
          <c:x val="0.53437500000000004"/>
          <c:y val="0"/>
          <c:w val="0.390625"/>
          <c:h val="0.10118043844856661"/>
        </c:manualLayout>
      </c:layout>
      <c:overlay val="0"/>
      <c:spPr>
        <a:no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Evolution des parts budgétaires des dépenses de logement </a:t>
            </a:r>
          </a:p>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et de transport entre 1960 et 2014. </a:t>
            </a:r>
            <a:r>
              <a:rPr lang="fr-FR" sz="800" b="0" i="0" u="none" strike="noStrike" baseline="0">
                <a:solidFill>
                  <a:srgbClr val="000000"/>
                </a:solidFill>
                <a:latin typeface="Arial"/>
                <a:cs typeface="Arial"/>
              </a:rPr>
              <a:t>Source: INSEE</a:t>
            </a:r>
          </a:p>
        </c:rich>
      </c:tx>
      <c:layout>
        <c:manualLayout>
          <c:xMode val="edge"/>
          <c:yMode val="edge"/>
          <c:x val="1.0008311461067367E-2"/>
          <c:y val="0"/>
        </c:manualLayout>
      </c:layout>
      <c:overlay val="0"/>
      <c:spPr>
        <a:noFill/>
        <a:ln w="25400">
          <a:noFill/>
        </a:ln>
      </c:spPr>
    </c:title>
    <c:autoTitleDeleted val="0"/>
    <c:plotArea>
      <c:layout>
        <c:manualLayout>
          <c:layoutTarget val="inner"/>
          <c:xMode val="edge"/>
          <c:yMode val="edge"/>
          <c:x val="4.8373644703919923E-2"/>
          <c:y val="8.2432432432432423E-2"/>
          <c:w val="0.95162635529607986"/>
          <c:h val="0.86351351351351358"/>
        </c:manualLayout>
      </c:layout>
      <c:lineChart>
        <c:grouping val="standard"/>
        <c:varyColors val="0"/>
        <c:ser>
          <c:idx val="0"/>
          <c:order val="0"/>
          <c:tx>
            <c:v>Logement</c:v>
          </c:tx>
          <c:spPr>
            <a:ln w="25400">
              <a:solidFill>
                <a:srgbClr val="333333"/>
              </a:solidFill>
              <a:prstDash val="solid"/>
            </a:ln>
          </c:spPr>
          <c:marker>
            <c:symbol val="none"/>
          </c:marker>
          <c:cat>
            <c:numRef>
              <c:f>DEPLOGAUT!$A$2:$A$56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DEPLOGAUT!$U$2:$U$56</c:f>
              <c:numCache>
                <c:formatCode>0.0</c:formatCode>
                <c:ptCount val="55"/>
                <c:pt idx="0">
                  <c:v>11.597473531374289</c:v>
                </c:pt>
                <c:pt idx="1">
                  <c:v>12.045308181218696</c:v>
                </c:pt>
                <c:pt idx="2">
                  <c:v>12.642853065481022</c:v>
                </c:pt>
                <c:pt idx="3">
                  <c:v>13.278103528958061</c:v>
                </c:pt>
                <c:pt idx="4">
                  <c:v>13.410971200160976</c:v>
                </c:pt>
                <c:pt idx="5">
                  <c:v>14.291932947379962</c:v>
                </c:pt>
                <c:pt idx="6">
                  <c:v>14.93601886247234</c:v>
                </c:pt>
                <c:pt idx="7">
                  <c:v>16.022471887059943</c:v>
                </c:pt>
                <c:pt idx="8">
                  <c:v>16.920396118598894</c:v>
                </c:pt>
                <c:pt idx="9">
                  <c:v>17.459714572940374</c:v>
                </c:pt>
                <c:pt idx="10">
                  <c:v>18.120617930708317</c:v>
                </c:pt>
                <c:pt idx="11">
                  <c:v>18.233460608593436</c:v>
                </c:pt>
                <c:pt idx="12">
                  <c:v>18.175526171548189</c:v>
                </c:pt>
                <c:pt idx="13">
                  <c:v>17.933274929637737</c:v>
                </c:pt>
                <c:pt idx="14">
                  <c:v>17.766492240069155</c:v>
                </c:pt>
                <c:pt idx="15">
                  <c:v>17.901509680964981</c:v>
                </c:pt>
                <c:pt idx="16">
                  <c:v>18.044995409407132</c:v>
                </c:pt>
                <c:pt idx="17">
                  <c:v>18.345913846059499</c:v>
                </c:pt>
                <c:pt idx="18">
                  <c:v>18.560027041981716</c:v>
                </c:pt>
                <c:pt idx="19">
                  <c:v>18.654241657910994</c:v>
                </c:pt>
                <c:pt idx="20">
                  <c:v>19.731505566532974</c:v>
                </c:pt>
                <c:pt idx="21">
                  <c:v>19.747307628864593</c:v>
                </c:pt>
                <c:pt idx="22">
                  <c:v>19.362333908745743</c:v>
                </c:pt>
                <c:pt idx="23">
                  <c:v>19.982833910338979</c:v>
                </c:pt>
                <c:pt idx="24">
                  <c:v>20.635991276739922</c:v>
                </c:pt>
                <c:pt idx="25">
                  <c:v>20.915713554933234</c:v>
                </c:pt>
                <c:pt idx="26">
                  <c:v>20.380354307674025</c:v>
                </c:pt>
                <c:pt idx="27">
                  <c:v>20.187482733701131</c:v>
                </c:pt>
                <c:pt idx="28">
                  <c:v>20.220352870790297</c:v>
                </c:pt>
                <c:pt idx="29">
                  <c:v>20.283069390236346</c:v>
                </c:pt>
                <c:pt idx="30">
                  <c:v>20.610691995172303</c:v>
                </c:pt>
                <c:pt idx="31">
                  <c:v>21.668394958427065</c:v>
                </c:pt>
                <c:pt idx="32">
                  <c:v>22.279345695217732</c:v>
                </c:pt>
                <c:pt idx="33">
                  <c:v>23.098288203418367</c:v>
                </c:pt>
                <c:pt idx="34">
                  <c:v>23.349894420927729</c:v>
                </c:pt>
                <c:pt idx="35">
                  <c:v>23.806619751389469</c:v>
                </c:pt>
                <c:pt idx="36">
                  <c:v>24.086293713981725</c:v>
                </c:pt>
                <c:pt idx="37">
                  <c:v>24.32246712198101</c:v>
                </c:pt>
                <c:pt idx="38">
                  <c:v>24.244239723435104</c:v>
                </c:pt>
                <c:pt idx="39">
                  <c:v>24.153539059568573</c:v>
                </c:pt>
                <c:pt idx="40">
                  <c:v>23.576550428836804</c:v>
                </c:pt>
                <c:pt idx="41">
                  <c:v>23.52738129548019</c:v>
                </c:pt>
                <c:pt idx="42">
                  <c:v>23.653079497746422</c:v>
                </c:pt>
                <c:pt idx="43">
                  <c:v>24.03317971852324</c:v>
                </c:pt>
                <c:pt idx="44">
                  <c:v>24.192374859632327</c:v>
                </c:pt>
                <c:pt idx="45">
                  <c:v>24.518179980473548</c:v>
                </c:pt>
                <c:pt idx="46">
                  <c:v>24.77991131853554</c:v>
                </c:pt>
                <c:pt idx="47">
                  <c:v>24.591756706363814</c:v>
                </c:pt>
                <c:pt idx="48">
                  <c:v>24.850749194614398</c:v>
                </c:pt>
                <c:pt idx="49">
                  <c:v>25.522815966316617</c:v>
                </c:pt>
                <c:pt idx="50">
                  <c:v>25.710650662508474</c:v>
                </c:pt>
                <c:pt idx="51">
                  <c:v>25.54742524264126</c:v>
                </c:pt>
                <c:pt idx="52">
                  <c:v>26.37006482406046</c:v>
                </c:pt>
                <c:pt idx="53">
                  <c:v>26.868869891797214</c:v>
                </c:pt>
                <c:pt idx="54">
                  <c:v>26.79458980842508</c:v>
                </c:pt>
              </c:numCache>
            </c:numRef>
          </c:val>
          <c:smooth val="0"/>
        </c:ser>
        <c:ser>
          <c:idx val="1"/>
          <c:order val="1"/>
          <c:tx>
            <c:v>Transports</c:v>
          </c:tx>
          <c:spPr>
            <a:ln w="25400">
              <a:solidFill>
                <a:srgbClr val="FF9900"/>
              </a:solidFill>
              <a:prstDash val="solid"/>
            </a:ln>
          </c:spPr>
          <c:marker>
            <c:symbol val="none"/>
          </c:marker>
          <c:cat>
            <c:numRef>
              <c:f>DEPLOGAUT!$A$2:$A$56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DEPLOGAUT!$V$2:$V$56</c:f>
              <c:numCache>
                <c:formatCode>0.0</c:formatCode>
                <c:ptCount val="55"/>
                <c:pt idx="0">
                  <c:v>10.466739070205234</c:v>
                </c:pt>
                <c:pt idx="1">
                  <c:v>10.720164017229527</c:v>
                </c:pt>
                <c:pt idx="2">
                  <c:v>10.847120675590162</c:v>
                </c:pt>
                <c:pt idx="3">
                  <c:v>10.88985729590679</c:v>
                </c:pt>
                <c:pt idx="4">
                  <c:v>10.906496823731079</c:v>
                </c:pt>
                <c:pt idx="5">
                  <c:v>10.971091203893254</c:v>
                </c:pt>
                <c:pt idx="6">
                  <c:v>11.248119087286483</c:v>
                </c:pt>
                <c:pt idx="7">
                  <c:v>11.337285524067056</c:v>
                </c:pt>
                <c:pt idx="8">
                  <c:v>11.464273514734082</c:v>
                </c:pt>
                <c:pt idx="9">
                  <c:v>11.845830087228979</c:v>
                </c:pt>
                <c:pt idx="10">
                  <c:v>11.983538414295857</c:v>
                </c:pt>
                <c:pt idx="11">
                  <c:v>12.407377909337281</c:v>
                </c:pt>
                <c:pt idx="12">
                  <c:v>12.716923192484389</c:v>
                </c:pt>
                <c:pt idx="13">
                  <c:v>12.688775251877365</c:v>
                </c:pt>
                <c:pt idx="14">
                  <c:v>12.486853824032906</c:v>
                </c:pt>
                <c:pt idx="15">
                  <c:v>12.894276051831278</c:v>
                </c:pt>
                <c:pt idx="16">
                  <c:v>13.997285810209487</c:v>
                </c:pt>
                <c:pt idx="17">
                  <c:v>14.090942572496072</c:v>
                </c:pt>
                <c:pt idx="18">
                  <c:v>14.490014525270494</c:v>
                </c:pt>
                <c:pt idx="19">
                  <c:v>14.630479305348674</c:v>
                </c:pt>
                <c:pt idx="20">
                  <c:v>14.589941786723831</c:v>
                </c:pt>
                <c:pt idx="21">
                  <c:v>14.609026903014056</c:v>
                </c:pt>
                <c:pt idx="22">
                  <c:v>15.213960939355502</c:v>
                </c:pt>
                <c:pt idx="23">
                  <c:v>15.049991803881772</c:v>
                </c:pt>
                <c:pt idx="24">
                  <c:v>14.48895039670729</c:v>
                </c:pt>
                <c:pt idx="25">
                  <c:v>14.506815123042085</c:v>
                </c:pt>
                <c:pt idx="26">
                  <c:v>14.356646373835064</c:v>
                </c:pt>
                <c:pt idx="27">
                  <c:v>14.703530790431676</c:v>
                </c:pt>
                <c:pt idx="28">
                  <c:v>14.779110850813854</c:v>
                </c:pt>
                <c:pt idx="29">
                  <c:v>15.073748294782099</c:v>
                </c:pt>
                <c:pt idx="30">
                  <c:v>14.883343198282127</c:v>
                </c:pt>
                <c:pt idx="31">
                  <c:v>14.226290566476809</c:v>
                </c:pt>
                <c:pt idx="32">
                  <c:v>14.229809925020001</c:v>
                </c:pt>
                <c:pt idx="33">
                  <c:v>13.657851648382056</c:v>
                </c:pt>
                <c:pt idx="34">
                  <c:v>14.186484704943528</c:v>
                </c:pt>
                <c:pt idx="35">
                  <c:v>14.048297343866956</c:v>
                </c:pt>
                <c:pt idx="36">
                  <c:v>14.360634736993944</c:v>
                </c:pt>
                <c:pt idx="37">
                  <c:v>13.695919248463179</c:v>
                </c:pt>
                <c:pt idx="38">
                  <c:v>13.977703771892045</c:v>
                </c:pt>
                <c:pt idx="39">
                  <c:v>14.517244039957795</c:v>
                </c:pt>
                <c:pt idx="40">
                  <c:v>14.507539024352518</c:v>
                </c:pt>
                <c:pt idx="41">
                  <c:v>14.256634495592861</c:v>
                </c:pt>
                <c:pt idx="42">
                  <c:v>14.045549706447456</c:v>
                </c:pt>
                <c:pt idx="43">
                  <c:v>13.672216454999701</c:v>
                </c:pt>
                <c:pt idx="44">
                  <c:v>13.833916246175397</c:v>
                </c:pt>
                <c:pt idx="45">
                  <c:v>14.020394923939683</c:v>
                </c:pt>
                <c:pt idx="46">
                  <c:v>13.843880561939628</c:v>
                </c:pt>
                <c:pt idx="47">
                  <c:v>13.891516210674968</c:v>
                </c:pt>
                <c:pt idx="48">
                  <c:v>13.850832231514845</c:v>
                </c:pt>
                <c:pt idx="49">
                  <c:v>13.518091430079357</c:v>
                </c:pt>
                <c:pt idx="50">
                  <c:v>13.486922272367256</c:v>
                </c:pt>
                <c:pt idx="51">
                  <c:v>13.855298717748338</c:v>
                </c:pt>
                <c:pt idx="52">
                  <c:v>13.548366537280534</c:v>
                </c:pt>
                <c:pt idx="53">
                  <c:v>13.099223087028379</c:v>
                </c:pt>
                <c:pt idx="54">
                  <c:v>13.065464187255264</c:v>
                </c:pt>
              </c:numCache>
            </c:numRef>
          </c:val>
          <c:smooth val="0"/>
        </c:ser>
        <c:ser>
          <c:idx val="2"/>
          <c:order val="2"/>
          <c:tx>
            <c:v>dont transports personnels</c:v>
          </c:tx>
          <c:spPr>
            <a:ln w="12700">
              <a:solidFill>
                <a:srgbClr val="333333"/>
              </a:solidFill>
              <a:prstDash val="lgDash"/>
            </a:ln>
          </c:spPr>
          <c:marker>
            <c:symbol val="none"/>
          </c:marker>
          <c:cat>
            <c:numRef>
              <c:f>DEPLOGAUT!$A$2:$A$56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DEPLOGAUT!$W$2:$W$56</c:f>
              <c:numCache>
                <c:formatCode>0.0</c:formatCode>
                <c:ptCount val="55"/>
                <c:pt idx="0">
                  <c:v>8.459341279680304</c:v>
                </c:pt>
                <c:pt idx="1">
                  <c:v>8.7151235390680899</c:v>
                </c:pt>
                <c:pt idx="2">
                  <c:v>8.9226125738706639</c:v>
                </c:pt>
                <c:pt idx="3">
                  <c:v>9.0601628380237749</c:v>
                </c:pt>
                <c:pt idx="4">
                  <c:v>9.1188254538734519</c:v>
                </c:pt>
                <c:pt idx="5">
                  <c:v>9.2108878485853634</c:v>
                </c:pt>
                <c:pt idx="6">
                  <c:v>9.5176860562218906</c:v>
                </c:pt>
                <c:pt idx="7">
                  <c:v>9.6057643580647873</c:v>
                </c:pt>
                <c:pt idx="8">
                  <c:v>9.7768311583177478</c:v>
                </c:pt>
                <c:pt idx="9">
                  <c:v>10.16235429150939</c:v>
                </c:pt>
                <c:pt idx="10">
                  <c:v>10.267261349999258</c:v>
                </c:pt>
                <c:pt idx="11">
                  <c:v>10.720578757676954</c:v>
                </c:pt>
                <c:pt idx="12">
                  <c:v>11.014596376807656</c:v>
                </c:pt>
                <c:pt idx="13">
                  <c:v>11.038616379776249</c:v>
                </c:pt>
                <c:pt idx="14">
                  <c:v>10.857152413290473</c:v>
                </c:pt>
                <c:pt idx="15">
                  <c:v>11.240043167196362</c:v>
                </c:pt>
                <c:pt idx="16">
                  <c:v>12.320892034814928</c:v>
                </c:pt>
                <c:pt idx="17">
                  <c:v>12.422983830012624</c:v>
                </c:pt>
                <c:pt idx="18">
                  <c:v>12.750003897827154</c:v>
                </c:pt>
                <c:pt idx="19">
                  <c:v>12.810751866071927</c:v>
                </c:pt>
                <c:pt idx="20">
                  <c:v>12.731665387104718</c:v>
                </c:pt>
                <c:pt idx="21">
                  <c:v>12.7365833538266</c:v>
                </c:pt>
                <c:pt idx="22">
                  <c:v>13.33179100032666</c:v>
                </c:pt>
                <c:pt idx="23">
                  <c:v>13.151746507104859</c:v>
                </c:pt>
                <c:pt idx="24">
                  <c:v>12.601902677076549</c:v>
                </c:pt>
                <c:pt idx="25">
                  <c:v>12.621363163229461</c:v>
                </c:pt>
                <c:pt idx="26">
                  <c:v>12.564938192579039</c:v>
                </c:pt>
                <c:pt idx="27">
                  <c:v>12.937575224860822</c:v>
                </c:pt>
                <c:pt idx="28">
                  <c:v>13.005377250270268</c:v>
                </c:pt>
                <c:pt idx="29">
                  <c:v>13.316906976856592</c:v>
                </c:pt>
                <c:pt idx="30">
                  <c:v>13.083023570557861</c:v>
                </c:pt>
                <c:pt idx="31">
                  <c:v>12.483939767404472</c:v>
                </c:pt>
                <c:pt idx="32">
                  <c:v>12.427140890043553</c:v>
                </c:pt>
                <c:pt idx="33">
                  <c:v>11.907888981889</c:v>
                </c:pt>
                <c:pt idx="34">
                  <c:v>12.444644680653475</c:v>
                </c:pt>
                <c:pt idx="35">
                  <c:v>12.351400301107267</c:v>
                </c:pt>
                <c:pt idx="36">
                  <c:v>12.610946420409036</c:v>
                </c:pt>
                <c:pt idx="37">
                  <c:v>11.861711564368383</c:v>
                </c:pt>
                <c:pt idx="38">
                  <c:v>12.115900058428268</c:v>
                </c:pt>
                <c:pt idx="39">
                  <c:v>12.59512240950583</c:v>
                </c:pt>
                <c:pt idx="40">
                  <c:v>12.558463673515213</c:v>
                </c:pt>
                <c:pt idx="41">
                  <c:v>12.315782085461002</c:v>
                </c:pt>
                <c:pt idx="42">
                  <c:v>12.066381865406106</c:v>
                </c:pt>
                <c:pt idx="43">
                  <c:v>11.713484970038017</c:v>
                </c:pt>
                <c:pt idx="44">
                  <c:v>11.815997674794161</c:v>
                </c:pt>
                <c:pt idx="45">
                  <c:v>11.964913312693058</c:v>
                </c:pt>
                <c:pt idx="46">
                  <c:v>11.746762206578653</c:v>
                </c:pt>
                <c:pt idx="47">
                  <c:v>11.778379077061857</c:v>
                </c:pt>
                <c:pt idx="48">
                  <c:v>11.657503735448723</c:v>
                </c:pt>
                <c:pt idx="49">
                  <c:v>11.266562327114135</c:v>
                </c:pt>
                <c:pt idx="50">
                  <c:v>11.275989226470925</c:v>
                </c:pt>
                <c:pt idx="51">
                  <c:v>11.60501164985215</c:v>
                </c:pt>
                <c:pt idx="52">
                  <c:v>11.253980633164412</c:v>
                </c:pt>
                <c:pt idx="53">
                  <c:v>10.800355261113388</c:v>
                </c:pt>
                <c:pt idx="54">
                  <c:v>10.739786826809953</c:v>
                </c:pt>
              </c:numCache>
            </c:numRef>
          </c:val>
          <c:smooth val="0"/>
        </c:ser>
        <c:dLbls>
          <c:showLegendKey val="0"/>
          <c:showVal val="0"/>
          <c:showCatName val="0"/>
          <c:showSerName val="0"/>
          <c:showPercent val="0"/>
          <c:showBubbleSize val="0"/>
        </c:dLbls>
        <c:marker val="1"/>
        <c:smooth val="0"/>
        <c:axId val="219944448"/>
        <c:axId val="219945984"/>
      </c:lineChart>
      <c:catAx>
        <c:axId val="219944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19945984"/>
        <c:crosses val="autoZero"/>
        <c:auto val="1"/>
        <c:lblAlgn val="ctr"/>
        <c:lblOffset val="100"/>
        <c:tickLblSkip val="2"/>
        <c:tickMarkSkip val="1"/>
        <c:noMultiLvlLbl val="0"/>
      </c:catAx>
      <c:valAx>
        <c:axId val="219945984"/>
        <c:scaling>
          <c:orientation val="minMax"/>
          <c:max val="27"/>
        </c:scaling>
        <c:delete val="0"/>
        <c:axPos val="l"/>
        <c:majorGridlines>
          <c:spPr>
            <a:ln w="3175">
              <a:solidFill>
                <a:srgbClr val="808080"/>
              </a:solidFill>
              <a:prstDash val="sysDash"/>
            </a:ln>
          </c:spPr>
        </c:majorGridlines>
        <c:title>
          <c:tx>
            <c:rich>
              <a:bodyPr/>
              <a:lstStyle/>
              <a:p>
                <a:pPr>
                  <a:defRPr sz="1025" b="1" i="0" u="none" strike="noStrike" baseline="0">
                    <a:solidFill>
                      <a:srgbClr val="000000"/>
                    </a:solidFill>
                    <a:latin typeface="Arial"/>
                    <a:ea typeface="Arial"/>
                    <a:cs typeface="Arial"/>
                  </a:defRPr>
                </a:pPr>
                <a:r>
                  <a:rPr lang="fr-FR"/>
                  <a:t>Parts budgétaires (%)</a:t>
                </a:r>
              </a:p>
            </c:rich>
          </c:tx>
          <c:layout>
            <c:manualLayout>
              <c:xMode val="edge"/>
              <c:yMode val="edge"/>
              <c:x val="0"/>
              <c:y val="0.3932433066440050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219944448"/>
        <c:crosses val="autoZero"/>
        <c:crossBetween val="between"/>
        <c:majorUnit val="1"/>
      </c:valAx>
      <c:spPr>
        <a:noFill/>
        <a:ln w="12700">
          <a:solidFill>
            <a:srgbClr val="808080"/>
          </a:solidFill>
          <a:prstDash val="solid"/>
        </a:ln>
      </c:spPr>
    </c:plotArea>
    <c:legend>
      <c:legendPos val="r"/>
      <c:layout>
        <c:manualLayout>
          <c:xMode val="edge"/>
          <c:yMode val="edge"/>
          <c:x val="0.51354166666666667"/>
          <c:y val="0"/>
          <c:w val="0.484375"/>
          <c:h val="6.9139966273187178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fr-FR"/>
              <a:t>Evolution du ratio des dépenses courantes des ménages 
pour le logement et les transports</a:t>
            </a:r>
          </a:p>
        </c:rich>
      </c:tx>
      <c:layout>
        <c:manualLayout>
          <c:xMode val="edge"/>
          <c:yMode val="edge"/>
          <c:x val="0.32360301837270339"/>
          <c:y val="1.3513740799263498E-3"/>
        </c:manualLayout>
      </c:layout>
      <c:overlay val="0"/>
      <c:spPr>
        <a:noFill/>
        <a:ln w="25400">
          <a:noFill/>
        </a:ln>
      </c:spPr>
    </c:title>
    <c:autoTitleDeleted val="0"/>
    <c:plotArea>
      <c:layout>
        <c:manualLayout>
          <c:layoutTarget val="inner"/>
          <c:xMode val="edge"/>
          <c:yMode val="edge"/>
          <c:x val="6.58882402001668E-2"/>
          <c:y val="9.45945945945946E-2"/>
          <c:w val="0.93411175979983307"/>
          <c:h val="0.85945945945945934"/>
        </c:manualLayout>
      </c:layout>
      <c:lineChart>
        <c:grouping val="standard"/>
        <c:varyColors val="0"/>
        <c:ser>
          <c:idx val="0"/>
          <c:order val="0"/>
          <c:tx>
            <c:strRef>
              <c:f>DEPLOGAUT!$X$1</c:f>
              <c:strCache>
                <c:ptCount val="1"/>
                <c:pt idx="0">
                  <c:v>Ratio DEPLOG/DEPTRANSP</c:v>
                </c:pt>
              </c:strCache>
            </c:strRef>
          </c:tx>
          <c:spPr>
            <a:ln w="38100">
              <a:solidFill>
                <a:srgbClr val="333333"/>
              </a:solidFill>
              <a:prstDash val="solid"/>
            </a:ln>
          </c:spPr>
          <c:marker>
            <c:symbol val="none"/>
          </c:marker>
          <c:cat>
            <c:numRef>
              <c:f>DEPLOGAUT!$A$2:$A$56</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DEPLOGAUT!$X$2:$X$56</c:f>
              <c:numCache>
                <c:formatCode>0.000</c:formatCode>
                <c:ptCount val="55"/>
                <c:pt idx="0">
                  <c:v>1.1080312075790459</c:v>
                </c:pt>
                <c:pt idx="1">
                  <c:v>1.1236123031195593</c:v>
                </c:pt>
                <c:pt idx="2">
                  <c:v>1.1655492221020358</c:v>
                </c:pt>
                <c:pt idx="3">
                  <c:v>1.2193092313476825</c:v>
                </c:pt>
                <c:pt idx="4">
                  <c:v>1.2296314221611926</c:v>
                </c:pt>
                <c:pt idx="5">
                  <c:v>1.3026901956943224</c:v>
                </c:pt>
                <c:pt idx="6">
                  <c:v>1.3278681303573867</c:v>
                </c:pt>
                <c:pt idx="7">
                  <c:v>1.413254685440096</c:v>
                </c:pt>
                <c:pt idx="8">
                  <c:v>1.4759239734513059</c:v>
                </c:pt>
                <c:pt idx="9">
                  <c:v>1.4739122918674767</c:v>
                </c:pt>
                <c:pt idx="10">
                  <c:v>1.5121258266332407</c:v>
                </c:pt>
                <c:pt idx="11">
                  <c:v>1.4695659906410752</c:v>
                </c:pt>
                <c:pt idx="12">
                  <c:v>1.4292392818956234</c:v>
                </c:pt>
                <c:pt idx="13">
                  <c:v>1.413318036899142</c:v>
                </c:pt>
                <c:pt idx="14">
                  <c:v>1.4228157460988897</c:v>
                </c:pt>
                <c:pt idx="15">
                  <c:v>1.3883299542375289</c:v>
                </c:pt>
                <c:pt idx="16">
                  <c:v>1.2891781774038855</c:v>
                </c:pt>
                <c:pt idx="17">
                  <c:v>1.3019649857823317</c:v>
                </c:pt>
                <c:pt idx="18">
                  <c:v>1.280883950089432</c:v>
                </c:pt>
                <c:pt idx="19">
                  <c:v>1.2750260103297706</c:v>
                </c:pt>
                <c:pt idx="20">
                  <c:v>1.3524046809074817</c:v>
                </c:pt>
                <c:pt idx="21">
                  <c:v>1.3517195744769581</c:v>
                </c:pt>
                <c:pt idx="22">
                  <c:v>1.2726688326548299</c:v>
                </c:pt>
                <c:pt idx="23">
                  <c:v>1.3277637736111525</c:v>
                </c:pt>
                <c:pt idx="24">
                  <c:v>1.4242571553995789</c:v>
                </c:pt>
                <c:pt idx="25">
                  <c:v>1.441785352438351</c:v>
                </c:pt>
                <c:pt idx="26">
                  <c:v>1.4195762559713909</c:v>
                </c:pt>
                <c:pt idx="27">
                  <c:v>1.3729683721163175</c:v>
                </c:pt>
                <c:pt idx="28">
                  <c:v>1.3681711352531605</c:v>
                </c:pt>
                <c:pt idx="29">
                  <c:v>1.3455889665649716</c:v>
                </c:pt>
                <c:pt idx="30">
                  <c:v>1.3848160134848762</c:v>
                </c:pt>
                <c:pt idx="31">
                  <c:v>1.5231233227786745</c:v>
                </c:pt>
                <c:pt idx="32">
                  <c:v>1.5656811870722454</c:v>
                </c:pt>
                <c:pt idx="33">
                  <c:v>1.691209481408787</c:v>
                </c:pt>
                <c:pt idx="34">
                  <c:v>1.6459253230499769</c:v>
                </c:pt>
                <c:pt idx="35">
                  <c:v>1.6946266987851515</c:v>
                </c:pt>
                <c:pt idx="36">
                  <c:v>1.6772443666388812</c:v>
                </c:pt>
                <c:pt idx="37">
                  <c:v>1.7758915397161263</c:v>
                </c:pt>
                <c:pt idx="38">
                  <c:v>1.7344937422545881</c:v>
                </c:pt>
                <c:pt idx="39">
                  <c:v>1.6637826706699625</c:v>
                </c:pt>
                <c:pt idx="40">
                  <c:v>1.6251240399395752</c:v>
                </c:pt>
                <c:pt idx="41">
                  <c:v>1.6502759681994499</c:v>
                </c:pt>
                <c:pt idx="42">
                  <c:v>1.6840266128486756</c:v>
                </c:pt>
                <c:pt idx="43">
                  <c:v>1.7578115295076904</c:v>
                </c:pt>
                <c:pt idx="44">
                  <c:v>1.7487726851259988</c:v>
                </c:pt>
                <c:pt idx="45">
                  <c:v>1.7487510240249369</c:v>
                </c:pt>
                <c:pt idx="46">
                  <c:v>1.7899541394962524</c:v>
                </c:pt>
                <c:pt idx="47">
                  <c:v>1.7702716055909162</c:v>
                </c:pt>
                <c:pt idx="48">
                  <c:v>1.7941701104480499</c:v>
                </c:pt>
                <c:pt idx="49">
                  <c:v>1.888048775104844</c:v>
                </c:pt>
                <c:pt idx="50">
                  <c:v>1.9063393518019944</c:v>
                </c:pt>
                <c:pt idx="51">
                  <c:v>1.8438740126126303</c:v>
                </c:pt>
                <c:pt idx="52">
                  <c:v>1.946364881072485</c:v>
                </c:pt>
                <c:pt idx="53">
                  <c:v>2.0511804183565929</c:v>
                </c:pt>
                <c:pt idx="54">
                  <c:v>2.0507950903544567</c:v>
                </c:pt>
              </c:numCache>
            </c:numRef>
          </c:val>
          <c:smooth val="0"/>
        </c:ser>
        <c:dLbls>
          <c:showLegendKey val="0"/>
          <c:showVal val="0"/>
          <c:showCatName val="0"/>
          <c:showSerName val="0"/>
          <c:showPercent val="0"/>
          <c:showBubbleSize val="0"/>
        </c:dLbls>
        <c:marker val="1"/>
        <c:smooth val="0"/>
        <c:axId val="220000640"/>
        <c:axId val="220002176"/>
      </c:lineChart>
      <c:catAx>
        <c:axId val="220000640"/>
        <c:scaling>
          <c:orientation val="minMax"/>
        </c:scaling>
        <c:delete val="0"/>
        <c:axPos val="b"/>
        <c:majorGridlines/>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fr-FR"/>
          </a:p>
        </c:txPr>
        <c:crossAx val="220002176"/>
        <c:crosses val="autoZero"/>
        <c:auto val="1"/>
        <c:lblAlgn val="ctr"/>
        <c:lblOffset val="100"/>
        <c:tickLblSkip val="4"/>
        <c:tickMarkSkip val="4"/>
        <c:noMultiLvlLbl val="0"/>
      </c:catAx>
      <c:valAx>
        <c:axId val="220002176"/>
        <c:scaling>
          <c:orientation val="minMax"/>
          <c:max val="2.1"/>
        </c:scaling>
        <c:delete val="0"/>
        <c:axPos val="l"/>
        <c:majorGridlines>
          <c:spPr>
            <a:ln w="3175">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Logement / Transports</a:t>
                </a:r>
              </a:p>
            </c:rich>
          </c:tx>
          <c:layout>
            <c:manualLayout>
              <c:xMode val="edge"/>
              <c:yMode val="edge"/>
              <c:x val="0"/>
              <c:y val="0.4108108155957739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000640"/>
        <c:crosses val="autoZero"/>
        <c:crossBetween val="between"/>
        <c:majorUnit val="0.1"/>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b="0"/>
              <a:t>Relation entre desserrement urbain et efficacité apparente</a:t>
            </a:r>
          </a:p>
          <a:p>
            <a:pPr>
              <a:defRPr sz="1200" b="1" i="0" u="none" strike="noStrike" baseline="0">
                <a:solidFill>
                  <a:srgbClr val="000000"/>
                </a:solidFill>
                <a:latin typeface="Arial"/>
                <a:ea typeface="Arial"/>
                <a:cs typeface="Arial"/>
              </a:defRPr>
            </a:pPr>
            <a:r>
              <a:rPr lang="fr-FR" b="0"/>
              <a:t>de la consommation de carburant entre 1960 et 2011</a:t>
            </a:r>
          </a:p>
        </c:rich>
      </c:tx>
      <c:layout>
        <c:manualLayout>
          <c:xMode val="edge"/>
          <c:yMode val="edge"/>
          <c:x val="0.12415533937567835"/>
          <c:y val="0"/>
        </c:manualLayout>
      </c:layout>
      <c:overlay val="0"/>
      <c:spPr>
        <a:noFill/>
        <a:ln w="25400">
          <a:noFill/>
        </a:ln>
      </c:spPr>
    </c:title>
    <c:autoTitleDeleted val="0"/>
    <c:plotArea>
      <c:layout>
        <c:manualLayout>
          <c:layoutTarget val="inner"/>
          <c:xMode val="edge"/>
          <c:yMode val="edge"/>
          <c:x val="7.7564637197664724E-2"/>
          <c:y val="0.10784829702261725"/>
          <c:w val="0.84070058381984991"/>
          <c:h val="0.84682934854585756"/>
        </c:manualLayout>
      </c:layout>
      <c:lineChart>
        <c:grouping val="standard"/>
        <c:varyColors val="0"/>
        <c:ser>
          <c:idx val="1"/>
          <c:order val="0"/>
          <c:tx>
            <c:v>Densité de population sols bâtis et revêtus</c:v>
          </c:tx>
          <c:spPr>
            <a:ln w="12700">
              <a:solidFill>
                <a:srgbClr val="FF00FF"/>
              </a:solidFill>
              <a:prstDash val="solid"/>
            </a:ln>
          </c:spPr>
          <c:marker>
            <c:symbol val="square"/>
            <c:size val="5"/>
            <c:spPr>
              <a:solidFill>
                <a:srgbClr val="FF00FF"/>
              </a:solidFill>
              <a:ln>
                <a:solidFill>
                  <a:srgbClr val="FF00FF"/>
                </a:solidFill>
                <a:prstDash val="solid"/>
              </a:ln>
            </c:spPr>
          </c:marker>
          <c:cat>
            <c:numRef>
              <c:f>data2018!$A$2:$A$104</c:f>
              <c:numCache>
                <c:formatCode>General</c:formatCode>
                <c:ptCount val="10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data2018!$EN$2:$EN$56</c:f>
              <c:numCache>
                <c:formatCode>0</c:formatCode>
                <c:ptCount val="55"/>
                <c:pt idx="0">
                  <c:v>341.32122455106622</c:v>
                </c:pt>
                <c:pt idx="1">
                  <c:v>339.78967031087529</c:v>
                </c:pt>
                <c:pt idx="2">
                  <c:v>342.79394218060628</c:v>
                </c:pt>
                <c:pt idx="3">
                  <c:v>340.89916083336374</c:v>
                </c:pt>
                <c:pt idx="4">
                  <c:v>339.06500468399207</c:v>
                </c:pt>
                <c:pt idx="5">
                  <c:v>336.39639824325474</c:v>
                </c:pt>
                <c:pt idx="6">
                  <c:v>333.88111336041794</c:v>
                </c:pt>
                <c:pt idx="7">
                  <c:v>330.87235505923451</c:v>
                </c:pt>
                <c:pt idx="8">
                  <c:v>328.09656754622637</c:v>
                </c:pt>
                <c:pt idx="9">
                  <c:v>325.5461301516649</c:v>
                </c:pt>
                <c:pt idx="10">
                  <c:v>323.39938099979406</c:v>
                </c:pt>
                <c:pt idx="11">
                  <c:v>321.36637618104544</c:v>
                </c:pt>
                <c:pt idx="12">
                  <c:v>319.08671478155389</c:v>
                </c:pt>
                <c:pt idx="13">
                  <c:v>316.57674387867894</c:v>
                </c:pt>
                <c:pt idx="14">
                  <c:v>312.98717833315624</c:v>
                </c:pt>
                <c:pt idx="15">
                  <c:v>308.8111704799025</c:v>
                </c:pt>
                <c:pt idx="16">
                  <c:v>304.90256265502933</c:v>
                </c:pt>
                <c:pt idx="17">
                  <c:v>301.30760400497445</c:v>
                </c:pt>
                <c:pt idx="18">
                  <c:v>297.61548653707905</c:v>
                </c:pt>
                <c:pt idx="19">
                  <c:v>294.16535471002379</c:v>
                </c:pt>
                <c:pt idx="20">
                  <c:v>290.88115371272778</c:v>
                </c:pt>
                <c:pt idx="21">
                  <c:v>289.77285481071146</c:v>
                </c:pt>
                <c:pt idx="22">
                  <c:v>287.15793964425416</c:v>
                </c:pt>
                <c:pt idx="23">
                  <c:v>283.51165986465128</c:v>
                </c:pt>
                <c:pt idx="24">
                  <c:v>277.36863919184646</c:v>
                </c:pt>
                <c:pt idx="25">
                  <c:v>272.71212059543302</c:v>
                </c:pt>
                <c:pt idx="26">
                  <c:v>270.2650894020266</c:v>
                </c:pt>
                <c:pt idx="27">
                  <c:v>267.87105339032411</c:v>
                </c:pt>
                <c:pt idx="28">
                  <c:v>265.95689284593254</c:v>
                </c:pt>
                <c:pt idx="29">
                  <c:v>262.86656512034114</c:v>
                </c:pt>
                <c:pt idx="30">
                  <c:v>258.75906671992163</c:v>
                </c:pt>
                <c:pt idx="31">
                  <c:v>256.79196492805761</c:v>
                </c:pt>
                <c:pt idx="32">
                  <c:v>255.00804996221717</c:v>
                </c:pt>
                <c:pt idx="33">
                  <c:v>251.88154371226042</c:v>
                </c:pt>
                <c:pt idx="34">
                  <c:v>248.9118825963279</c:v>
                </c:pt>
                <c:pt idx="35">
                  <c:v>246.34730419253339</c:v>
                </c:pt>
                <c:pt idx="36">
                  <c:v>243.29559174446351</c:v>
                </c:pt>
                <c:pt idx="37">
                  <c:v>242.19584562336422</c:v>
                </c:pt>
                <c:pt idx="38">
                  <c:v>239.70092198000327</c:v>
                </c:pt>
                <c:pt idx="39">
                  <c:v>237.57093037336023</c:v>
                </c:pt>
                <c:pt idx="40">
                  <c:v>236.20649635327408</c:v>
                </c:pt>
                <c:pt idx="41">
                  <c:v>234.67895647387252</c:v>
                </c:pt>
                <c:pt idx="42">
                  <c:v>233.65020020992884</c:v>
                </c:pt>
                <c:pt idx="43">
                  <c:v>232.53428516525753</c:v>
                </c:pt>
                <c:pt idx="44">
                  <c:v>229.57357936358503</c:v>
                </c:pt>
                <c:pt idx="45">
                  <c:v>219.3435134411003</c:v>
                </c:pt>
                <c:pt idx="46">
                  <c:v>211.95489608950808</c:v>
                </c:pt>
                <c:pt idx="47">
                  <c:v>207.71665962408673</c:v>
                </c:pt>
                <c:pt idx="48">
                  <c:v>203.14923762581029</c:v>
                </c:pt>
                <c:pt idx="49">
                  <c:v>201.0022212159428</c:v>
                </c:pt>
                <c:pt idx="50">
                  <c:v>199.7641737720287</c:v>
                </c:pt>
                <c:pt idx="51">
                  <c:v>196.5492558069142</c:v>
                </c:pt>
                <c:pt idx="52">
                  <c:v>193.51500961227651</c:v>
                </c:pt>
                <c:pt idx="53">
                  <c:v>192.35522952228709</c:v>
                </c:pt>
                <c:pt idx="54">
                  <c:v>190.29034740122341</c:v>
                </c:pt>
              </c:numCache>
            </c:numRef>
          </c:val>
          <c:smooth val="0"/>
        </c:ser>
        <c:ser>
          <c:idx val="0"/>
          <c:order val="1"/>
          <c:tx>
            <c:v>densité de population sols artificialisés</c:v>
          </c:tx>
          <c:spPr>
            <a:ln w="12700">
              <a:solidFill>
                <a:srgbClr val="000080"/>
              </a:solidFill>
              <a:prstDash val="solid"/>
            </a:ln>
          </c:spPr>
          <c:marker>
            <c:symbol val="diamond"/>
            <c:size val="5"/>
            <c:spPr>
              <a:solidFill>
                <a:srgbClr val="000080"/>
              </a:solidFill>
              <a:ln>
                <a:solidFill>
                  <a:srgbClr val="000080"/>
                </a:solidFill>
                <a:prstDash val="solid"/>
              </a:ln>
            </c:spPr>
          </c:marker>
          <c:cat>
            <c:numRef>
              <c:f>data2018!$A$2:$A$104</c:f>
              <c:numCache>
                <c:formatCode>General</c:formatCode>
                <c:ptCount val="10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data2018!$EO$2:$EO$56</c:f>
              <c:numCache>
                <c:formatCode>0</c:formatCode>
                <c:ptCount val="55"/>
                <c:pt idx="0">
                  <c:v>238.26383077812662</c:v>
                </c:pt>
                <c:pt idx="1">
                  <c:v>238.99462771671725</c:v>
                </c:pt>
                <c:pt idx="2">
                  <c:v>242.85971698702471</c:v>
                </c:pt>
                <c:pt idx="3">
                  <c:v>243.18581580482797</c:v>
                </c:pt>
                <c:pt idx="4">
                  <c:v>243.46297396512506</c:v>
                </c:pt>
                <c:pt idx="5">
                  <c:v>243.04388995946454</c:v>
                </c:pt>
                <c:pt idx="6">
                  <c:v>242.64240302036586</c:v>
                </c:pt>
                <c:pt idx="7">
                  <c:v>241.78190080683527</c:v>
                </c:pt>
                <c:pt idx="8">
                  <c:v>240.99323704549789</c:v>
                </c:pt>
                <c:pt idx="9">
                  <c:v>240.27114464118299</c:v>
                </c:pt>
                <c:pt idx="10">
                  <c:v>239.76036570833114</c:v>
                </c:pt>
                <c:pt idx="11">
                  <c:v>239.27990456746639</c:v>
                </c:pt>
                <c:pt idx="12">
                  <c:v>238.57414682404814</c:v>
                </c:pt>
                <c:pt idx="13">
                  <c:v>237.53631107693658</c:v>
                </c:pt>
                <c:pt idx="14">
                  <c:v>235.60742124795863</c:v>
                </c:pt>
                <c:pt idx="15">
                  <c:v>233.1706935807058</c:v>
                </c:pt>
                <c:pt idx="16">
                  <c:v>230.93094656312712</c:v>
                </c:pt>
                <c:pt idx="17">
                  <c:v>228.80584093120453</c:v>
                </c:pt>
                <c:pt idx="18">
                  <c:v>226.55584205425285</c:v>
                </c:pt>
                <c:pt idx="19">
                  <c:v>224.38171140107485</c:v>
                </c:pt>
                <c:pt idx="20">
                  <c:v>222.36550580214714</c:v>
                </c:pt>
                <c:pt idx="21">
                  <c:v>221.52663976388257</c:v>
                </c:pt>
                <c:pt idx="22">
                  <c:v>220.1193124251613</c:v>
                </c:pt>
                <c:pt idx="23">
                  <c:v>216.95330602649278</c:v>
                </c:pt>
                <c:pt idx="24">
                  <c:v>212.32119514638271</c:v>
                </c:pt>
                <c:pt idx="25">
                  <c:v>209.37485610435732</c:v>
                </c:pt>
                <c:pt idx="26">
                  <c:v>208.575878357471</c:v>
                </c:pt>
                <c:pt idx="27">
                  <c:v>206.61870830837907</c:v>
                </c:pt>
                <c:pt idx="28">
                  <c:v>205.52985340809414</c:v>
                </c:pt>
                <c:pt idx="29">
                  <c:v>202.86884223688878</c:v>
                </c:pt>
                <c:pt idx="30">
                  <c:v>200.79914692100704</c:v>
                </c:pt>
                <c:pt idx="31">
                  <c:v>197.84020854262656</c:v>
                </c:pt>
                <c:pt idx="32">
                  <c:v>197.47060787553352</c:v>
                </c:pt>
                <c:pt idx="33">
                  <c:v>194.94398049375189</c:v>
                </c:pt>
                <c:pt idx="34">
                  <c:v>192.1497704285334</c:v>
                </c:pt>
                <c:pt idx="35">
                  <c:v>190.09107881094562</c:v>
                </c:pt>
                <c:pt idx="36">
                  <c:v>187.555728393468</c:v>
                </c:pt>
                <c:pt idx="37">
                  <c:v>186.40755235811352</c:v>
                </c:pt>
                <c:pt idx="38">
                  <c:v>184.34581179881508</c:v>
                </c:pt>
                <c:pt idx="39">
                  <c:v>183.49606559421375</c:v>
                </c:pt>
                <c:pt idx="40">
                  <c:v>182.65655376460074</c:v>
                </c:pt>
                <c:pt idx="41">
                  <c:v>181.23982448682131</c:v>
                </c:pt>
                <c:pt idx="42">
                  <c:v>180.75741654135336</c:v>
                </c:pt>
                <c:pt idx="43">
                  <c:v>179.46675268434481</c:v>
                </c:pt>
                <c:pt idx="44">
                  <c:v>177.95336563722344</c:v>
                </c:pt>
                <c:pt idx="45">
                  <c:v>160.94716244200373</c:v>
                </c:pt>
                <c:pt idx="46">
                  <c:v>135.26438783332216</c:v>
                </c:pt>
                <c:pt idx="47">
                  <c:v>133.7231856295312</c:v>
                </c:pt>
                <c:pt idx="48">
                  <c:v>131.77991474538592</c:v>
                </c:pt>
                <c:pt idx="49">
                  <c:v>129.96010830762199</c:v>
                </c:pt>
                <c:pt idx="50">
                  <c:v>128.90268584970153</c:v>
                </c:pt>
                <c:pt idx="51">
                  <c:v>128.247422367485</c:v>
                </c:pt>
                <c:pt idx="52">
                  <c:v>127.63757768219222</c:v>
                </c:pt>
                <c:pt idx="53">
                  <c:v>126.94144626664659</c:v>
                </c:pt>
                <c:pt idx="54">
                  <c:v>125.97446963074476</c:v>
                </c:pt>
              </c:numCache>
            </c:numRef>
          </c:val>
          <c:smooth val="0"/>
        </c:ser>
        <c:dLbls>
          <c:showLegendKey val="0"/>
          <c:showVal val="0"/>
          <c:showCatName val="0"/>
          <c:showSerName val="0"/>
          <c:showPercent val="0"/>
          <c:showBubbleSize val="0"/>
        </c:dLbls>
        <c:marker val="1"/>
        <c:smooth val="0"/>
        <c:axId val="220946432"/>
        <c:axId val="220948352"/>
      </c:lineChart>
      <c:lineChart>
        <c:grouping val="standard"/>
        <c:varyColors val="0"/>
        <c:ser>
          <c:idx val="2"/>
          <c:order val="2"/>
          <c:tx>
            <c:v>Consommation unitaire par km parcouru</c:v>
          </c:tx>
          <c:spPr>
            <a:ln w="12700">
              <a:solidFill>
                <a:srgbClr val="FFFF00"/>
              </a:solidFill>
              <a:prstDash val="solid"/>
            </a:ln>
          </c:spPr>
          <c:marker>
            <c:symbol val="triangle"/>
            <c:size val="5"/>
            <c:spPr>
              <a:solidFill>
                <a:srgbClr val="FFFF00"/>
              </a:solidFill>
              <a:ln>
                <a:solidFill>
                  <a:srgbClr val="FFFF00"/>
                </a:solidFill>
                <a:prstDash val="solid"/>
              </a:ln>
            </c:spPr>
          </c:marker>
          <c:cat>
            <c:numRef>
              <c:f>data2018!$A$2:$A$104</c:f>
              <c:numCache>
                <c:formatCode>General</c:formatCode>
                <c:ptCount val="10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data2018!$EP$2:$EP$56</c:f>
              <c:numCache>
                <c:formatCode>0.0000</c:formatCode>
                <c:ptCount val="55"/>
                <c:pt idx="0">
                  <c:v>9.1208326202694062E-2</c:v>
                </c:pt>
                <c:pt idx="1">
                  <c:v>9.3041591892240649E-2</c:v>
                </c:pt>
                <c:pt idx="2">
                  <c:v>8.9758030554894133E-2</c:v>
                </c:pt>
                <c:pt idx="3">
                  <c:v>8.6387708604968805E-2</c:v>
                </c:pt>
                <c:pt idx="4">
                  <c:v>8.7880244746097291E-2</c:v>
                </c:pt>
                <c:pt idx="5">
                  <c:v>8.7639069194737892E-2</c:v>
                </c:pt>
                <c:pt idx="6">
                  <c:v>8.6436115229452187E-2</c:v>
                </c:pt>
                <c:pt idx="7">
                  <c:v>8.5749273418366342E-2</c:v>
                </c:pt>
                <c:pt idx="8">
                  <c:v>8.7170502563614999E-2</c:v>
                </c:pt>
                <c:pt idx="9">
                  <c:v>8.6043141207041193E-2</c:v>
                </c:pt>
                <c:pt idx="10">
                  <c:v>8.637495769010288E-2</c:v>
                </c:pt>
                <c:pt idx="11">
                  <c:v>8.9093788502371429E-2</c:v>
                </c:pt>
                <c:pt idx="12">
                  <c:v>9.0925127183510215E-2</c:v>
                </c:pt>
                <c:pt idx="13">
                  <c:v>9.0518783542039349E-2</c:v>
                </c:pt>
                <c:pt idx="14">
                  <c:v>8.3367580874561323E-2</c:v>
                </c:pt>
                <c:pt idx="15">
                  <c:v>8.4934395501405816E-2</c:v>
                </c:pt>
                <c:pt idx="16">
                  <c:v>8.7041370068444118E-2</c:v>
                </c:pt>
                <c:pt idx="17">
                  <c:v>8.6555038720320387E-2</c:v>
                </c:pt>
                <c:pt idx="18">
                  <c:v>8.8133010008746529E-2</c:v>
                </c:pt>
                <c:pt idx="19">
                  <c:v>8.733918607347986E-2</c:v>
                </c:pt>
                <c:pt idx="20">
                  <c:v>8.3493728334630146E-2</c:v>
                </c:pt>
                <c:pt idx="21">
                  <c:v>8.2351931166712772E-2</c:v>
                </c:pt>
                <c:pt idx="22">
                  <c:v>8.579151211635444E-2</c:v>
                </c:pt>
                <c:pt idx="23">
                  <c:v>8.6701644792516117E-2</c:v>
                </c:pt>
                <c:pt idx="24">
                  <c:v>8.546384495566739E-2</c:v>
                </c:pt>
                <c:pt idx="25">
                  <c:v>8.4319181415370162E-2</c:v>
                </c:pt>
                <c:pt idx="26">
                  <c:v>8.4804902672735966E-2</c:v>
                </c:pt>
                <c:pt idx="27">
                  <c:v>8.4550453982772292E-2</c:v>
                </c:pt>
                <c:pt idx="28">
                  <c:v>8.3769916355260876E-2</c:v>
                </c:pt>
                <c:pt idx="29">
                  <c:v>8.927496164580094E-2</c:v>
                </c:pt>
                <c:pt idx="30">
                  <c:v>8.4337164554931801E-2</c:v>
                </c:pt>
                <c:pt idx="31">
                  <c:v>8.3849727888164277E-2</c:v>
                </c:pt>
                <c:pt idx="32">
                  <c:v>8.3058047022569734E-2</c:v>
                </c:pt>
                <c:pt idx="33">
                  <c:v>8.3075953163349509E-2</c:v>
                </c:pt>
                <c:pt idx="34">
                  <c:v>8.2577038266405153E-2</c:v>
                </c:pt>
                <c:pt idx="35">
                  <c:v>8.068100538203471E-2</c:v>
                </c:pt>
                <c:pt idx="36">
                  <c:v>7.9788720026207599E-2</c:v>
                </c:pt>
                <c:pt idx="37">
                  <c:v>7.9010851211660252E-2</c:v>
                </c:pt>
                <c:pt idx="38">
                  <c:v>7.8374031806171501E-2</c:v>
                </c:pt>
                <c:pt idx="39">
                  <c:v>7.6615316435687461E-2</c:v>
                </c:pt>
                <c:pt idx="40">
                  <c:v>7.5414832232273785E-2</c:v>
                </c:pt>
                <c:pt idx="41">
                  <c:v>7.4331801630852526E-2</c:v>
                </c:pt>
                <c:pt idx="42">
                  <c:v>7.3400350464235903E-2</c:v>
                </c:pt>
                <c:pt idx="43">
                  <c:v>7.2094981327959662E-2</c:v>
                </c:pt>
                <c:pt idx="44">
                  <c:v>7.0833710712772904E-2</c:v>
                </c:pt>
                <c:pt idx="45">
                  <c:v>7.0073779545492862E-2</c:v>
                </c:pt>
                <c:pt idx="46">
                  <c:v>6.9008849556164945E-2</c:v>
                </c:pt>
                <c:pt idx="47">
                  <c:v>6.8516869475063136E-2</c:v>
                </c:pt>
                <c:pt idx="48">
                  <c:v>6.8471106004026241E-2</c:v>
                </c:pt>
                <c:pt idx="49">
                  <c:v>6.804025218090208E-2</c:v>
                </c:pt>
                <c:pt idx="50">
                  <c:v>6.9272586794385679E-2</c:v>
                </c:pt>
                <c:pt idx="51">
                  <c:v>6.7852796661573844E-2</c:v>
                </c:pt>
                <c:pt idx="52">
                  <c:v>6.6939424530641223E-2</c:v>
                </c:pt>
                <c:pt idx="53">
                  <c:v>6.5304632849893102E-2</c:v>
                </c:pt>
                <c:pt idx="54">
                  <c:v>6.4947781420945552E-2</c:v>
                </c:pt>
              </c:numCache>
            </c:numRef>
          </c:val>
          <c:smooth val="0"/>
        </c:ser>
        <c:dLbls>
          <c:showLegendKey val="0"/>
          <c:showVal val="0"/>
          <c:showCatName val="0"/>
          <c:showSerName val="0"/>
          <c:showPercent val="0"/>
          <c:showBubbleSize val="0"/>
        </c:dLbls>
        <c:marker val="1"/>
        <c:smooth val="0"/>
        <c:axId val="220950528"/>
        <c:axId val="220952064"/>
      </c:lineChart>
      <c:catAx>
        <c:axId val="220946432"/>
        <c:scaling>
          <c:orientation val="minMax"/>
        </c:scaling>
        <c:delete val="0"/>
        <c:axPos val="b"/>
        <c:majorGridlines>
          <c:spPr>
            <a:ln w="3175">
              <a:solidFill>
                <a:srgbClr val="80808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fr-FR"/>
          </a:p>
        </c:txPr>
        <c:crossAx val="220948352"/>
        <c:crosses val="autoZero"/>
        <c:auto val="0"/>
        <c:lblAlgn val="ctr"/>
        <c:lblOffset val="100"/>
        <c:tickLblSkip val="5"/>
        <c:tickMarkSkip val="5"/>
        <c:noMultiLvlLbl val="0"/>
      </c:catAx>
      <c:valAx>
        <c:axId val="220948352"/>
        <c:scaling>
          <c:orientation val="minMax"/>
        </c:scaling>
        <c:delete val="0"/>
        <c:axPos val="l"/>
        <c:majorGridlines>
          <c:spPr>
            <a:ln w="3175">
              <a:solidFill>
                <a:srgbClr val="80808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Densité d'habitants des zones urbanisées</a:t>
                </a:r>
              </a:p>
            </c:rich>
          </c:tx>
          <c:layout>
            <c:manualLayout>
              <c:xMode val="edge"/>
              <c:yMode val="edge"/>
              <c:x val="9.1743219597550316E-3"/>
              <c:y val="0.31216210115388193"/>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946432"/>
        <c:crosses val="autoZero"/>
        <c:crossBetween val="between"/>
      </c:valAx>
      <c:catAx>
        <c:axId val="220950528"/>
        <c:scaling>
          <c:orientation val="minMax"/>
        </c:scaling>
        <c:delete val="1"/>
        <c:axPos val="b"/>
        <c:numFmt formatCode="General" sourceLinked="1"/>
        <c:majorTickMark val="out"/>
        <c:minorTickMark val="none"/>
        <c:tickLblPos val="nextTo"/>
        <c:crossAx val="220952064"/>
        <c:crosses val="autoZero"/>
        <c:auto val="0"/>
        <c:lblAlgn val="ctr"/>
        <c:lblOffset val="100"/>
        <c:noMultiLvlLbl val="0"/>
      </c:catAx>
      <c:valAx>
        <c:axId val="220952064"/>
        <c:scaling>
          <c:orientation val="minMax"/>
          <c:max val="9.5000000000000001E-2"/>
        </c:scaling>
        <c:delete val="0"/>
        <c:axPos val="r"/>
        <c:title>
          <c:tx>
            <c:rich>
              <a:bodyPr/>
              <a:lstStyle/>
              <a:p>
                <a:pPr>
                  <a:defRPr sz="1000" b="1" i="0" u="none" strike="noStrike" baseline="0">
                    <a:solidFill>
                      <a:srgbClr val="000000"/>
                    </a:solidFill>
                    <a:latin typeface="Arial"/>
                    <a:ea typeface="Arial"/>
                    <a:cs typeface="Arial"/>
                  </a:defRPr>
                </a:pPr>
                <a:r>
                  <a:rPr lang="fr-FR"/>
                  <a:t>litres / km parcouru</a:t>
                </a:r>
              </a:p>
            </c:rich>
          </c:tx>
          <c:layout>
            <c:manualLayout>
              <c:xMode val="edge"/>
              <c:yMode val="edge"/>
              <c:x val="0.97497911198600173"/>
              <c:y val="0.42837832454754288"/>
            </c:manualLayout>
          </c:layout>
          <c:overlay val="0"/>
          <c:spPr>
            <a:noFill/>
            <a:ln w="25400">
              <a:noFill/>
            </a:ln>
          </c:spPr>
        </c:title>
        <c:numFmt formatCode="0.0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20950528"/>
        <c:crosses val="max"/>
        <c:crossBetween val="between"/>
        <c:majorUnit val="5.0000000000000001E-3"/>
      </c:valAx>
      <c:spPr>
        <a:noFill/>
        <a:ln w="12700">
          <a:solidFill>
            <a:srgbClr val="808080"/>
          </a:solidFill>
          <a:prstDash val="solid"/>
        </a:ln>
      </c:spPr>
    </c:plotArea>
    <c:legend>
      <c:legendPos val="r"/>
      <c:layout>
        <c:manualLayout>
          <c:xMode val="edge"/>
          <c:yMode val="edge"/>
          <c:x val="0.61933075811560823"/>
          <c:y val="0"/>
          <c:w val="0.37858593297085574"/>
          <c:h val="7.6584914429550899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200" b="1" i="0" u="none" strike="noStrike" baseline="0">
                <a:solidFill>
                  <a:srgbClr val="000000"/>
                </a:solidFill>
                <a:latin typeface="Arial"/>
                <a:cs typeface="Arial"/>
              </a:rPr>
              <a:t>Evolution des prix réels des carburants entre 1960 et 2014</a:t>
            </a:r>
          </a:p>
          <a:p>
            <a:pPr>
              <a:defRPr sz="1000" b="0" i="0" u="none" strike="noStrike" baseline="0">
                <a:solidFill>
                  <a:srgbClr val="000000"/>
                </a:solidFill>
                <a:latin typeface="Arial"/>
                <a:ea typeface="Arial"/>
                <a:cs typeface="Arial"/>
              </a:defRPr>
            </a:pPr>
            <a:r>
              <a:rPr lang="fr-FR" sz="900" b="0" i="0" u="none" strike="noStrike" baseline="0">
                <a:solidFill>
                  <a:srgbClr val="000000"/>
                </a:solidFill>
                <a:latin typeface="Arial"/>
                <a:cs typeface="Arial"/>
              </a:rPr>
              <a:t>Indices élémentaires de prix à la consommation des ménages déflatés de</a:t>
            </a:r>
          </a:p>
          <a:p>
            <a:pPr>
              <a:defRPr sz="1000" b="0" i="0" u="none" strike="noStrike" baseline="0">
                <a:solidFill>
                  <a:srgbClr val="000000"/>
                </a:solidFill>
                <a:latin typeface="Arial"/>
                <a:ea typeface="Arial"/>
                <a:cs typeface="Arial"/>
              </a:defRPr>
            </a:pPr>
            <a:r>
              <a:rPr lang="fr-FR" sz="900" b="0" i="0" u="none" strike="noStrike" baseline="0">
                <a:solidFill>
                  <a:srgbClr val="000000"/>
                </a:solidFill>
                <a:latin typeface="Arial"/>
                <a:cs typeface="Arial"/>
              </a:rPr>
              <a:t>l'indice général des prix à la consommation, base 100 en 2005. Source: INSEE</a:t>
            </a:r>
          </a:p>
        </c:rich>
      </c:tx>
      <c:layout>
        <c:manualLayout>
          <c:xMode val="edge"/>
          <c:yMode val="edge"/>
          <c:x val="0.17180982064741906"/>
          <c:y val="0"/>
        </c:manualLayout>
      </c:layout>
      <c:overlay val="0"/>
      <c:spPr>
        <a:noFill/>
        <a:ln w="25400">
          <a:noFill/>
        </a:ln>
      </c:spPr>
    </c:title>
    <c:autoTitleDeleted val="0"/>
    <c:plotArea>
      <c:layout>
        <c:manualLayout>
          <c:layoutTarget val="inner"/>
          <c:xMode val="edge"/>
          <c:yMode val="edge"/>
          <c:x val="5.8381984987489567E-2"/>
          <c:y val="0.11081081081081082"/>
          <c:w val="0.9416180150125103"/>
          <c:h val="0.83288979898099069"/>
        </c:manualLayout>
      </c:layout>
      <c:lineChart>
        <c:grouping val="standard"/>
        <c:varyColors val="0"/>
        <c:ser>
          <c:idx val="0"/>
          <c:order val="0"/>
          <c:tx>
            <c:v>Essence plombée</c:v>
          </c:tx>
          <c:spPr>
            <a:ln w="12700">
              <a:solidFill>
                <a:srgbClr val="000080"/>
              </a:solidFill>
              <a:prstDash val="sysDash"/>
            </a:ln>
          </c:spPr>
          <c:marker>
            <c:symbol val="none"/>
          </c:marker>
          <c:cat>
            <c:numRef>
              <c:f>'indice carbu'!$A$6:$A$60</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'indice carbu'!$O$6:$O$60</c:f>
              <c:numCache>
                <c:formatCode>0.0</c:formatCode>
                <c:ptCount val="55"/>
                <c:pt idx="0">
                  <c:v>88.555433186490433</c:v>
                </c:pt>
                <c:pt idx="1">
                  <c:v>86.044024596738254</c:v>
                </c:pt>
                <c:pt idx="2">
                  <c:v>82.504273504273513</c:v>
                </c:pt>
                <c:pt idx="3">
                  <c:v>78.721669655959559</c:v>
                </c:pt>
                <c:pt idx="4">
                  <c:v>76.014206787687456</c:v>
                </c:pt>
                <c:pt idx="5">
                  <c:v>73.525567089580917</c:v>
                </c:pt>
                <c:pt idx="6">
                  <c:v>71.389116966485034</c:v>
                </c:pt>
                <c:pt idx="7">
                  <c:v>70.147633521493702</c:v>
                </c:pt>
                <c:pt idx="8">
                  <c:v>67.176519222819351</c:v>
                </c:pt>
                <c:pt idx="9">
                  <c:v>67.408646423057121</c:v>
                </c:pt>
                <c:pt idx="10">
                  <c:v>64.806419995099233</c:v>
                </c:pt>
                <c:pt idx="11">
                  <c:v>63.918362613787899</c:v>
                </c:pt>
                <c:pt idx="12">
                  <c:v>60.379011939971512</c:v>
                </c:pt>
                <c:pt idx="13">
                  <c:v>58.424384764627796</c:v>
                </c:pt>
                <c:pt idx="14">
                  <c:v>72.066241128420302</c:v>
                </c:pt>
                <c:pt idx="15">
                  <c:v>67.187687387567451</c:v>
                </c:pt>
                <c:pt idx="16">
                  <c:v>66.367680303361794</c:v>
                </c:pt>
                <c:pt idx="17">
                  <c:v>71.205602801400701</c:v>
                </c:pt>
                <c:pt idx="18">
                  <c:v>72.225801503298058</c:v>
                </c:pt>
                <c:pt idx="19">
                  <c:v>74.818850600143818</c:v>
                </c:pt>
                <c:pt idx="20">
                  <c:v>76.901814979697676</c:v>
                </c:pt>
                <c:pt idx="21">
                  <c:v>77.088490432012406</c:v>
                </c:pt>
                <c:pt idx="22">
                  <c:v>78.32951460423206</c:v>
                </c:pt>
                <c:pt idx="23">
                  <c:v>76.522380977487202</c:v>
                </c:pt>
                <c:pt idx="24">
                  <c:v>76.830618892508141</c:v>
                </c:pt>
                <c:pt idx="25">
                  <c:v>80.110420979986188</c:v>
                </c:pt>
                <c:pt idx="26">
                  <c:v>68.10124692003285</c:v>
                </c:pt>
                <c:pt idx="27">
                  <c:v>66.852246531251353</c:v>
                </c:pt>
                <c:pt idx="28">
                  <c:v>65.690606954778417</c:v>
                </c:pt>
                <c:pt idx="29">
                  <c:v>67.574954109728736</c:v>
                </c:pt>
                <c:pt idx="30">
                  <c:v>67.840384894986599</c:v>
                </c:pt>
                <c:pt idx="31">
                  <c:v>66.458236838042311</c:v>
                </c:pt>
                <c:pt idx="32">
                  <c:v>63.599417992072645</c:v>
                </c:pt>
                <c:pt idx="33">
                  <c:v>64.916399945625969</c:v>
                </c:pt>
                <c:pt idx="34">
                  <c:v>66.568713879909893</c:v>
                </c:pt>
                <c:pt idx="35">
                  <c:v>68.780180049016039</c:v>
                </c:pt>
                <c:pt idx="36">
                  <c:v>71.876082723026016</c:v>
                </c:pt>
                <c:pt idx="37">
                  <c:v>74.014487770756531</c:v>
                </c:pt>
                <c:pt idx="38">
                  <c:v>72.318723968193865</c:v>
                </c:pt>
                <c:pt idx="39">
                  <c:v>75.638677450047567</c:v>
                </c:pt>
                <c:pt idx="40">
                  <c:v>86.480766547281277</c:v>
                </c:pt>
                <c:pt idx="41">
                  <c:v>81.385345594778997</c:v>
                </c:pt>
                <c:pt idx="42">
                  <c:v>78.658130370470744</c:v>
                </c:pt>
                <c:pt idx="43">
                  <c:v>78.462256186964055</c:v>
                </c:pt>
                <c:pt idx="44">
                  <c:v>80.573567170024802</c:v>
                </c:pt>
                <c:pt idx="45">
                  <c:v>86.875961702855193</c:v>
                </c:pt>
                <c:pt idx="46">
                  <c:v>93.397164233767597</c:v>
                </c:pt>
                <c:pt idx="47">
                  <c:v>97.074645217480409</c:v>
                </c:pt>
                <c:pt idx="48">
                  <c:v>0</c:v>
                </c:pt>
                <c:pt idx="49">
                  <c:v>0</c:v>
                </c:pt>
                <c:pt idx="50">
                  <c:v>0</c:v>
                </c:pt>
                <c:pt idx="51">
                  <c:v>0</c:v>
                </c:pt>
                <c:pt idx="52">
                  <c:v>0</c:v>
                </c:pt>
                <c:pt idx="53">
                  <c:v>0</c:v>
                </c:pt>
                <c:pt idx="54">
                  <c:v>0</c:v>
                </c:pt>
              </c:numCache>
            </c:numRef>
          </c:val>
          <c:smooth val="0"/>
        </c:ser>
        <c:ser>
          <c:idx val="1"/>
          <c:order val="1"/>
          <c:tx>
            <c:v>Carburants sans plomb</c:v>
          </c:tx>
          <c:spPr>
            <a:ln w="12700">
              <a:solidFill>
                <a:srgbClr val="800000"/>
              </a:solidFill>
              <a:prstDash val="sysDash"/>
            </a:ln>
          </c:spPr>
          <c:marker>
            <c:symbol val="none"/>
          </c:marker>
          <c:cat>
            <c:numRef>
              <c:f>'indice carbu'!$A$6:$A$60</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'indice carbu'!$P$6:$P$60</c:f>
              <c:numCache>
                <c:formatCode>0.0</c:formatCode>
                <c:ptCount val="55"/>
                <c:pt idx="29">
                  <c:v>74.648174586987551</c:v>
                </c:pt>
                <c:pt idx="30">
                  <c:v>74.940851474417443</c:v>
                </c:pt>
                <c:pt idx="31">
                  <c:v>71.648396891565028</c:v>
                </c:pt>
                <c:pt idx="32">
                  <c:v>68.308163162912052</c:v>
                </c:pt>
                <c:pt idx="33">
                  <c:v>69.316988173650842</c:v>
                </c:pt>
                <c:pt idx="34">
                  <c:v>71.356156332647672</c:v>
                </c:pt>
                <c:pt idx="35">
                  <c:v>74.956928975273584</c:v>
                </c:pt>
                <c:pt idx="36">
                  <c:v>78.371823514653357</c:v>
                </c:pt>
                <c:pt idx="37">
                  <c:v>80.716563718923013</c:v>
                </c:pt>
                <c:pt idx="38">
                  <c:v>78.543875425975017</c:v>
                </c:pt>
                <c:pt idx="39">
                  <c:v>81.529495718363464</c:v>
                </c:pt>
                <c:pt idx="40">
                  <c:v>92.051955904925819</c:v>
                </c:pt>
                <c:pt idx="41">
                  <c:v>86.024462040481041</c:v>
                </c:pt>
                <c:pt idx="42">
                  <c:v>83.141944152750014</c:v>
                </c:pt>
                <c:pt idx="43">
                  <c:v>83.116363797929523</c:v>
                </c:pt>
                <c:pt idx="44">
                  <c:v>85.818573480134049</c:v>
                </c:pt>
                <c:pt idx="45">
                  <c:v>92.709223798939988</c:v>
                </c:pt>
                <c:pt idx="46">
                  <c:v>96.4861612515042</c:v>
                </c:pt>
                <c:pt idx="47">
                  <c:v>97.074645217480409</c:v>
                </c:pt>
                <c:pt idx="48">
                  <c:v>101.26986025556685</c:v>
                </c:pt>
                <c:pt idx="49">
                  <c:v>91.035110796316914</c:v>
                </c:pt>
                <c:pt idx="50">
                  <c:v>100</c:v>
                </c:pt>
                <c:pt idx="51">
                  <c:v>108.97688991032932</c:v>
                </c:pt>
                <c:pt idx="52">
                  <c:v>113.04116222760291</c:v>
                </c:pt>
                <c:pt idx="53">
                  <c:v>110.36016989871425</c:v>
                </c:pt>
                <c:pt idx="54">
                  <c:v>106.98939718732277</c:v>
                </c:pt>
              </c:numCache>
            </c:numRef>
          </c:val>
          <c:smooth val="0"/>
        </c:ser>
        <c:ser>
          <c:idx val="2"/>
          <c:order val="2"/>
          <c:tx>
            <c:v>Gazole</c:v>
          </c:tx>
          <c:spPr>
            <a:ln w="25400">
              <a:solidFill>
                <a:srgbClr val="FF6600"/>
              </a:solidFill>
              <a:prstDash val="solid"/>
            </a:ln>
          </c:spPr>
          <c:marker>
            <c:symbol val="none"/>
          </c:marker>
          <c:cat>
            <c:numRef>
              <c:f>'indice carbu'!$A$6:$A$60</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'indice carbu'!$Q$6:$Q$60</c:f>
              <c:numCache>
                <c:formatCode>0.0</c:formatCode>
                <c:ptCount val="55"/>
                <c:pt idx="0">
                  <c:v>76.514317180616729</c:v>
                </c:pt>
                <c:pt idx="1">
                  <c:v>74.16451296675875</c:v>
                </c:pt>
                <c:pt idx="2">
                  <c:v>70.752136752136764</c:v>
                </c:pt>
                <c:pt idx="3">
                  <c:v>67.25909016794391</c:v>
                </c:pt>
                <c:pt idx="4">
                  <c:v>64.380426203630634</c:v>
                </c:pt>
                <c:pt idx="5">
                  <c:v>61.699346405228745</c:v>
                </c:pt>
                <c:pt idx="6">
                  <c:v>59.923863551541395</c:v>
                </c:pt>
                <c:pt idx="7">
                  <c:v>58.546822984512957</c:v>
                </c:pt>
                <c:pt idx="8">
                  <c:v>56.256028661981532</c:v>
                </c:pt>
                <c:pt idx="9">
                  <c:v>53.757076685537825</c:v>
                </c:pt>
                <c:pt idx="10">
                  <c:v>52.223719676549862</c:v>
                </c:pt>
                <c:pt idx="11">
                  <c:v>53.041108598596857</c:v>
                </c:pt>
                <c:pt idx="12">
                  <c:v>50.498411655164865</c:v>
                </c:pt>
                <c:pt idx="13">
                  <c:v>48.493822117839272</c:v>
                </c:pt>
                <c:pt idx="14">
                  <c:v>56.599562558585909</c:v>
                </c:pt>
                <c:pt idx="15">
                  <c:v>54.131521087347593</c:v>
                </c:pt>
                <c:pt idx="16">
                  <c:v>54.360825494056741</c:v>
                </c:pt>
                <c:pt idx="17">
                  <c:v>54.740703685175923</c:v>
                </c:pt>
                <c:pt idx="18">
                  <c:v>55.474766068415406</c:v>
                </c:pt>
                <c:pt idx="19">
                  <c:v>61.83693788373251</c:v>
                </c:pt>
                <c:pt idx="20">
                  <c:v>68.09353749816546</c:v>
                </c:pt>
                <c:pt idx="21">
                  <c:v>71.296037195686324</c:v>
                </c:pt>
                <c:pt idx="22">
                  <c:v>74.097464235516114</c:v>
                </c:pt>
                <c:pt idx="23">
                  <c:v>73.670058522697303</c:v>
                </c:pt>
                <c:pt idx="24">
                  <c:v>73.693811074918571</c:v>
                </c:pt>
                <c:pt idx="25">
                  <c:v>79.976995629169537</c:v>
                </c:pt>
                <c:pt idx="26">
                  <c:v>63.837825729858885</c:v>
                </c:pt>
                <c:pt idx="27">
                  <c:v>60.496136169225643</c:v>
                </c:pt>
                <c:pt idx="28">
                  <c:v>58.254387327224734</c:v>
                </c:pt>
                <c:pt idx="29">
                  <c:v>59.144741314841255</c:v>
                </c:pt>
                <c:pt idx="30">
                  <c:v>60.811293072683299</c:v>
                </c:pt>
                <c:pt idx="31">
                  <c:v>60.021357624414598</c:v>
                </c:pt>
                <c:pt idx="32">
                  <c:v>56.412121820279957</c:v>
                </c:pt>
                <c:pt idx="33">
                  <c:v>58.799322796307507</c:v>
                </c:pt>
                <c:pt idx="34">
                  <c:v>61.696787148594389</c:v>
                </c:pt>
                <c:pt idx="35">
                  <c:v>61.189973550751013</c:v>
                </c:pt>
                <c:pt idx="36">
                  <c:v>66.962162937121434</c:v>
                </c:pt>
                <c:pt idx="37">
                  <c:v>68.998304622571055</c:v>
                </c:pt>
                <c:pt idx="38">
                  <c:v>65.491291177584245</c:v>
                </c:pt>
                <c:pt idx="39">
                  <c:v>69.917935299714557</c:v>
                </c:pt>
                <c:pt idx="40">
                  <c:v>84.629517651983818</c:v>
                </c:pt>
                <c:pt idx="41">
                  <c:v>78.35725532254753</c:v>
                </c:pt>
                <c:pt idx="42">
                  <c:v>74.870995788308903</c:v>
                </c:pt>
                <c:pt idx="43">
                  <c:v>76.315146398898122</c:v>
                </c:pt>
                <c:pt idx="44">
                  <c:v>83.150920405587726</c:v>
                </c:pt>
                <c:pt idx="45">
                  <c:v>95.057915883056921</c:v>
                </c:pt>
                <c:pt idx="46">
                  <c:v>98.04217025061476</c:v>
                </c:pt>
                <c:pt idx="47">
                  <c:v>97.041856652492442</c:v>
                </c:pt>
                <c:pt idx="48">
                  <c:v>110.54362777345852</c:v>
                </c:pt>
                <c:pt idx="49">
                  <c:v>88.314277041384202</c:v>
                </c:pt>
                <c:pt idx="50">
                  <c:v>100</c:v>
                </c:pt>
                <c:pt idx="51">
                  <c:v>114.54177593132779</c:v>
                </c:pt>
                <c:pt idx="52">
                  <c:v>118.43099273607749</c:v>
                </c:pt>
                <c:pt idx="53">
                  <c:v>113.90613288232015</c:v>
                </c:pt>
                <c:pt idx="54">
                  <c:v>108.76390237337667</c:v>
                </c:pt>
              </c:numCache>
            </c:numRef>
          </c:val>
          <c:smooth val="0"/>
        </c:ser>
        <c:ser>
          <c:idx val="3"/>
          <c:order val="3"/>
          <c:tx>
            <c:v>Ensemble plombé et SP</c:v>
          </c:tx>
          <c:spPr>
            <a:ln w="12700">
              <a:solidFill>
                <a:srgbClr val="333399"/>
              </a:solidFill>
              <a:prstDash val="lgDash"/>
            </a:ln>
          </c:spPr>
          <c:marker>
            <c:symbol val="none"/>
          </c:marker>
          <c:cat>
            <c:numRef>
              <c:f>'indice carbu'!$A$6:$A$60</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'indice carbu'!$R$6:$R$60</c:f>
              <c:numCache>
                <c:formatCode>0.0</c:formatCode>
                <c:ptCount val="55"/>
                <c:pt idx="0">
                  <c:v>88.417158833979059</c:v>
                </c:pt>
                <c:pt idx="1">
                  <c:v>85.905620448088456</c:v>
                </c:pt>
                <c:pt idx="2">
                  <c:v>82.360875127341345</c:v>
                </c:pt>
                <c:pt idx="3">
                  <c:v>78.577544515590176</c:v>
                </c:pt>
                <c:pt idx="4">
                  <c:v>75.866248856020007</c:v>
                </c:pt>
                <c:pt idx="5">
                  <c:v>73.377285172819526</c:v>
                </c:pt>
                <c:pt idx="6">
                  <c:v>71.245436502171103</c:v>
                </c:pt>
                <c:pt idx="7">
                  <c:v>70.00406495936025</c:v>
                </c:pt>
                <c:pt idx="8">
                  <c:v>67.039348960899176</c:v>
                </c:pt>
                <c:pt idx="9">
                  <c:v>67.235025515579167</c:v>
                </c:pt>
                <c:pt idx="10">
                  <c:v>64.644423133522139</c:v>
                </c:pt>
                <c:pt idx="11">
                  <c:v>63.786041009630573</c:v>
                </c:pt>
                <c:pt idx="12">
                  <c:v>60.269876945755584</c:v>
                </c:pt>
                <c:pt idx="13">
                  <c:v>58.320400050889717</c:v>
                </c:pt>
                <c:pt idx="14">
                  <c:v>71.884012354173876</c:v>
                </c:pt>
                <c:pt idx="15">
                  <c:v>67.01341332653881</c:v>
                </c:pt>
                <c:pt idx="16">
                  <c:v>66.182677928992632</c:v>
                </c:pt>
                <c:pt idx="17">
                  <c:v>70.904793426294816</c:v>
                </c:pt>
                <c:pt idx="18">
                  <c:v>71.85777670281378</c:v>
                </c:pt>
                <c:pt idx="19">
                  <c:v>74.456613592322412</c:v>
                </c:pt>
                <c:pt idx="20">
                  <c:v>76.579985636415202</c:v>
                </c:pt>
                <c:pt idx="21">
                  <c:v>76.826584787371232</c:v>
                </c:pt>
                <c:pt idx="22">
                  <c:v>78.101285380724534</c:v>
                </c:pt>
                <c:pt idx="23">
                  <c:v>76.350101811024103</c:v>
                </c:pt>
                <c:pt idx="24">
                  <c:v>76.620616942833152</c:v>
                </c:pt>
                <c:pt idx="25">
                  <c:v>80.100229738642113</c:v>
                </c:pt>
                <c:pt idx="26">
                  <c:v>67.77359656583252</c:v>
                </c:pt>
                <c:pt idx="27">
                  <c:v>66.328960223575436</c:v>
                </c:pt>
                <c:pt idx="28">
                  <c:v>65.014632741351846</c:v>
                </c:pt>
                <c:pt idx="29">
                  <c:v>66.681791704202013</c:v>
                </c:pt>
                <c:pt idx="30">
                  <c:v>67.78851780132301</c:v>
                </c:pt>
                <c:pt idx="31">
                  <c:v>66.582125182160766</c:v>
                </c:pt>
                <c:pt idx="32">
                  <c:v>63.669316146384205</c:v>
                </c:pt>
                <c:pt idx="33">
                  <c:v>65.118045659009042</c:v>
                </c:pt>
                <c:pt idx="34">
                  <c:v>67.175462451254276</c:v>
                </c:pt>
                <c:pt idx="35">
                  <c:v>69.334426771031545</c:v>
                </c:pt>
                <c:pt idx="36">
                  <c:v>73.211510682668887</c:v>
                </c:pt>
                <c:pt idx="37">
                  <c:v>75.467734151379773</c:v>
                </c:pt>
                <c:pt idx="38">
                  <c:v>73.148284855711296</c:v>
                </c:pt>
                <c:pt idx="39">
                  <c:v>76.653871170249417</c:v>
                </c:pt>
                <c:pt idx="40">
                  <c:v>88.643650740258707</c:v>
                </c:pt>
                <c:pt idx="41">
                  <c:v>82.710675738411027</c:v>
                </c:pt>
                <c:pt idx="42">
                  <c:v>79.593834236021706</c:v>
                </c:pt>
                <c:pt idx="43">
                  <c:v>79.970469859279063</c:v>
                </c:pt>
                <c:pt idx="44">
                  <c:v>84.388584263156446</c:v>
                </c:pt>
                <c:pt idx="45">
                  <c:v>93.763380014823966</c:v>
                </c:pt>
                <c:pt idx="46">
                  <c:v>97.265553681645983</c:v>
                </c:pt>
                <c:pt idx="47">
                  <c:v>97.057209799790712</c:v>
                </c:pt>
                <c:pt idx="48">
                  <c:v>106.62841935503621</c:v>
                </c:pt>
                <c:pt idx="49">
                  <c:v>89.514996862766026</c:v>
                </c:pt>
                <c:pt idx="50">
                  <c:v>100.00000000000001</c:v>
                </c:pt>
                <c:pt idx="51">
                  <c:v>112.38434326087794</c:v>
                </c:pt>
                <c:pt idx="52">
                  <c:v>116.44253899416593</c:v>
                </c:pt>
                <c:pt idx="53">
                  <c:v>112.61021473554099</c:v>
                </c:pt>
                <c:pt idx="54">
                  <c:v>108.11224496972743</c:v>
                </c:pt>
              </c:numCache>
            </c:numRef>
          </c:val>
          <c:smooth val="0"/>
        </c:ser>
        <c:ser>
          <c:idx val="4"/>
          <c:order val="4"/>
          <c:tx>
            <c:v>Indice général du prix des carburants</c:v>
          </c:tx>
          <c:spPr>
            <a:ln w="25400">
              <a:solidFill>
                <a:srgbClr val="808080"/>
              </a:solidFill>
              <a:prstDash val="solid"/>
            </a:ln>
          </c:spPr>
          <c:marker>
            <c:symbol val="none"/>
          </c:marker>
          <c:cat>
            <c:numRef>
              <c:f>'indice carbu'!$A$6:$A$60</c:f>
              <c:numCache>
                <c:formatCode>General</c:formatCode>
                <c:ptCount val="55"/>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numCache>
            </c:numRef>
          </c:cat>
          <c:val>
            <c:numRef>
              <c:f>'indice carbu'!$S$6:$S$60</c:f>
              <c:numCache>
                <c:formatCode>0.0</c:formatCode>
                <c:ptCount val="55"/>
                <c:pt idx="0">
                  <c:v>88.555433186490433</c:v>
                </c:pt>
                <c:pt idx="1">
                  <c:v>86.044024596738254</c:v>
                </c:pt>
                <c:pt idx="2">
                  <c:v>82.504273504273513</c:v>
                </c:pt>
                <c:pt idx="3">
                  <c:v>78.721669655959559</c:v>
                </c:pt>
                <c:pt idx="4">
                  <c:v>76.014206787687456</c:v>
                </c:pt>
                <c:pt idx="5">
                  <c:v>73.525567089580917</c:v>
                </c:pt>
                <c:pt idx="6">
                  <c:v>71.389116966485034</c:v>
                </c:pt>
                <c:pt idx="7">
                  <c:v>70.147633521493702</c:v>
                </c:pt>
                <c:pt idx="8">
                  <c:v>67.176519222819351</c:v>
                </c:pt>
                <c:pt idx="9">
                  <c:v>67.408646423057135</c:v>
                </c:pt>
                <c:pt idx="10">
                  <c:v>64.806419995099233</c:v>
                </c:pt>
                <c:pt idx="11">
                  <c:v>63.918362613787899</c:v>
                </c:pt>
                <c:pt idx="12">
                  <c:v>60.379011939971512</c:v>
                </c:pt>
                <c:pt idx="13">
                  <c:v>58.424384764627796</c:v>
                </c:pt>
                <c:pt idx="14">
                  <c:v>72.066241128420302</c:v>
                </c:pt>
                <c:pt idx="15">
                  <c:v>67.187687387567451</c:v>
                </c:pt>
                <c:pt idx="16">
                  <c:v>66.367680303361794</c:v>
                </c:pt>
                <c:pt idx="17">
                  <c:v>71.205602801400701</c:v>
                </c:pt>
                <c:pt idx="18">
                  <c:v>72.225801503298058</c:v>
                </c:pt>
                <c:pt idx="19">
                  <c:v>74.818850600143818</c:v>
                </c:pt>
                <c:pt idx="20">
                  <c:v>76.901814979697662</c:v>
                </c:pt>
                <c:pt idx="21">
                  <c:v>77.088490432012406</c:v>
                </c:pt>
                <c:pt idx="22">
                  <c:v>78.32951460423206</c:v>
                </c:pt>
                <c:pt idx="23">
                  <c:v>76.522380977487202</c:v>
                </c:pt>
                <c:pt idx="24">
                  <c:v>76.830618892508141</c:v>
                </c:pt>
                <c:pt idx="25">
                  <c:v>80.110420979986188</c:v>
                </c:pt>
                <c:pt idx="26">
                  <c:v>68.10124692003285</c:v>
                </c:pt>
                <c:pt idx="27">
                  <c:v>66.852246531251353</c:v>
                </c:pt>
                <c:pt idx="28">
                  <c:v>65.690606954778417</c:v>
                </c:pt>
                <c:pt idx="29">
                  <c:v>67.576822448162616</c:v>
                </c:pt>
                <c:pt idx="30">
                  <c:v>68.818964330872618</c:v>
                </c:pt>
                <c:pt idx="31">
                  <c:v>67.721597153487338</c:v>
                </c:pt>
                <c:pt idx="32">
                  <c:v>65.117592322670973</c:v>
                </c:pt>
                <c:pt idx="33">
                  <c:v>66.609971093348634</c:v>
                </c:pt>
                <c:pt idx="34">
                  <c:v>68.670644124331673</c:v>
                </c:pt>
                <c:pt idx="35">
                  <c:v>71.799344474866771</c:v>
                </c:pt>
                <c:pt idx="36">
                  <c:v>75.425607577047828</c:v>
                </c:pt>
                <c:pt idx="37">
                  <c:v>78.001301580267651</c:v>
                </c:pt>
                <c:pt idx="38">
                  <c:v>76.307916204948484</c:v>
                </c:pt>
                <c:pt idx="39">
                  <c:v>79.714880978196078</c:v>
                </c:pt>
                <c:pt idx="40">
                  <c:v>90.774379072254362</c:v>
                </c:pt>
                <c:pt idx="41">
                  <c:v>85.226259055768438</c:v>
                </c:pt>
                <c:pt idx="42">
                  <c:v>82.555014696198512</c:v>
                </c:pt>
                <c:pt idx="43">
                  <c:v>82.656999670806769</c:v>
                </c:pt>
                <c:pt idx="44">
                  <c:v>85.427962883237157</c:v>
                </c:pt>
                <c:pt idx="45">
                  <c:v>92.522376451921829</c:v>
                </c:pt>
                <c:pt idx="46">
                  <c:v>96.458004326761866</c:v>
                </c:pt>
                <c:pt idx="47">
                  <c:v>97.074645217480409</c:v>
                </c:pt>
                <c:pt idx="48">
                  <c:v>101.26986025556685</c:v>
                </c:pt>
                <c:pt idx="49">
                  <c:v>91.035110796316928</c:v>
                </c:pt>
                <c:pt idx="50">
                  <c:v>100</c:v>
                </c:pt>
                <c:pt idx="51">
                  <c:v>108.97688991032932</c:v>
                </c:pt>
                <c:pt idx="52">
                  <c:v>113.04116222760288</c:v>
                </c:pt>
                <c:pt idx="53">
                  <c:v>110.36016989871425</c:v>
                </c:pt>
                <c:pt idx="54">
                  <c:v>106.98939718732277</c:v>
                </c:pt>
              </c:numCache>
            </c:numRef>
          </c:val>
          <c:smooth val="0"/>
        </c:ser>
        <c:dLbls>
          <c:showLegendKey val="0"/>
          <c:showVal val="0"/>
          <c:showCatName val="0"/>
          <c:showSerName val="0"/>
          <c:showPercent val="0"/>
          <c:showBubbleSize val="0"/>
        </c:dLbls>
        <c:marker val="1"/>
        <c:smooth val="0"/>
        <c:axId val="221391488"/>
        <c:axId val="221409664"/>
      </c:lineChart>
      <c:catAx>
        <c:axId val="221391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fr-FR"/>
          </a:p>
        </c:txPr>
        <c:crossAx val="221409664"/>
        <c:crosses val="autoZero"/>
        <c:auto val="1"/>
        <c:lblAlgn val="ctr"/>
        <c:lblOffset val="100"/>
        <c:tickLblSkip val="1"/>
        <c:tickMarkSkip val="1"/>
        <c:noMultiLvlLbl val="0"/>
      </c:catAx>
      <c:valAx>
        <c:axId val="221409664"/>
        <c:scaling>
          <c:orientation val="minMax"/>
        </c:scaling>
        <c:delete val="0"/>
        <c:axPos val="l"/>
        <c:majorGridlines>
          <c:spPr>
            <a:ln w="3175">
              <a:solidFill>
                <a:srgbClr val="808080"/>
              </a:solidFill>
              <a:prstDash val="sysDash"/>
            </a:ln>
          </c:spPr>
        </c:majorGridlines>
        <c:title>
          <c:tx>
            <c:rich>
              <a:bodyPr rot="0" vert="horz"/>
              <a:lstStyle/>
              <a:p>
                <a:pPr>
                  <a:defRPr sz="1050" b="1" i="0" u="none" strike="noStrike" baseline="0">
                    <a:solidFill>
                      <a:srgbClr val="000000"/>
                    </a:solidFill>
                    <a:latin typeface="Arial"/>
                    <a:ea typeface="Arial"/>
                    <a:cs typeface="Arial"/>
                  </a:defRPr>
                </a:pPr>
                <a:r>
                  <a:rPr lang="fr-FR" b="0"/>
                  <a:t>Base 100 en 2010</a:t>
                </a:r>
              </a:p>
            </c:rich>
          </c:tx>
          <c:layout>
            <c:manualLayout>
              <c:xMode val="edge"/>
              <c:yMode val="edge"/>
              <c:x val="0"/>
              <c:y val="3.4004634303392345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fr-FR"/>
          </a:p>
        </c:txPr>
        <c:crossAx val="221391488"/>
        <c:crosses val="autoZero"/>
        <c:crossBetween val="between"/>
        <c:majorUnit val="10"/>
      </c:valAx>
      <c:spPr>
        <a:noFill/>
        <a:ln w="12700">
          <a:solidFill>
            <a:srgbClr val="808080"/>
          </a:solidFill>
          <a:prstDash val="solid"/>
        </a:ln>
      </c:spPr>
    </c:plotArea>
    <c:legend>
      <c:legendPos val="r"/>
      <c:layout>
        <c:manualLayout>
          <c:xMode val="edge"/>
          <c:yMode val="edge"/>
          <c:x val="0.68437499999999996"/>
          <c:y val="0"/>
          <c:w val="0.30833333333333335"/>
          <c:h val="9.6121416526138273E-2"/>
        </c:manualLayout>
      </c:layout>
      <c:overlay val="0"/>
      <c:spPr>
        <a:no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prix_km!$C$1</c:f>
              <c:strCache>
                <c:ptCount val="1"/>
                <c:pt idx="0">
                  <c:v>pess10</c:v>
                </c:pt>
              </c:strCache>
            </c:strRef>
          </c:tx>
          <c:marker>
            <c:symbol val="none"/>
          </c:marker>
          <c:xVal>
            <c:numRef>
              <c:f>prix_km!$B$2:$B$56</c:f>
              <c:numCache>
                <c:formatCode>0</c:formatCode>
                <c:ptCount val="55"/>
                <c:pt idx="0">
                  <c:v>8652</c:v>
                </c:pt>
                <c:pt idx="1">
                  <c:v>8911.56</c:v>
                </c:pt>
                <c:pt idx="2">
                  <c:v>9178.9067999999988</c:v>
                </c:pt>
                <c:pt idx="3">
                  <c:v>9454.274003999999</c:v>
                </c:pt>
                <c:pt idx="4">
                  <c:v>9737.90222412</c:v>
                </c:pt>
                <c:pt idx="5">
                  <c:v>10030.039290843601</c:v>
                </c:pt>
                <c:pt idx="6">
                  <c:v>10330.940469568908</c:v>
                </c:pt>
                <c:pt idx="7">
                  <c:v>10640.868683655975</c:v>
                </c:pt>
                <c:pt idx="8">
                  <c:v>10960.094744165655</c:v>
                </c:pt>
                <c:pt idx="9">
                  <c:v>11288.897586490626</c:v>
                </c:pt>
                <c:pt idx="10">
                  <c:v>11627.564514085345</c:v>
                </c:pt>
                <c:pt idx="11">
                  <c:v>11976.391449507906</c:v>
                </c:pt>
                <c:pt idx="12">
                  <c:v>12335.683192993143</c:v>
                </c:pt>
                <c:pt idx="13">
                  <c:v>13000</c:v>
                </c:pt>
                <c:pt idx="14">
                  <c:v>13080</c:v>
                </c:pt>
                <c:pt idx="15">
                  <c:v>13200</c:v>
                </c:pt>
                <c:pt idx="16">
                  <c:v>13090</c:v>
                </c:pt>
                <c:pt idx="17">
                  <c:v>12980</c:v>
                </c:pt>
                <c:pt idx="18">
                  <c:v>12930</c:v>
                </c:pt>
                <c:pt idx="19">
                  <c:v>12720</c:v>
                </c:pt>
                <c:pt idx="20">
                  <c:v>13020</c:v>
                </c:pt>
                <c:pt idx="21">
                  <c:v>13270</c:v>
                </c:pt>
                <c:pt idx="22">
                  <c:v>12630</c:v>
                </c:pt>
                <c:pt idx="23">
                  <c:v>12620</c:v>
                </c:pt>
                <c:pt idx="24">
                  <c:v>12840</c:v>
                </c:pt>
                <c:pt idx="25">
                  <c:v>12760</c:v>
                </c:pt>
                <c:pt idx="26">
                  <c:v>13130</c:v>
                </c:pt>
                <c:pt idx="27">
                  <c:v>13270</c:v>
                </c:pt>
                <c:pt idx="28">
                  <c:v>13480</c:v>
                </c:pt>
                <c:pt idx="29">
                  <c:v>13280</c:v>
                </c:pt>
                <c:pt idx="30">
                  <c:v>13356.122792574084</c:v>
                </c:pt>
                <c:pt idx="31">
                  <c:v>13300.015763797346</c:v>
                </c:pt>
                <c:pt idx="32">
                  <c:v>13564.629248700265</c:v>
                </c:pt>
                <c:pt idx="33">
                  <c:v>13516.771143640439</c:v>
                </c:pt>
                <c:pt idx="34">
                  <c:v>13541.666333297981</c:v>
                </c:pt>
                <c:pt idx="35">
                  <c:v>13720.701604525326</c:v>
                </c:pt>
                <c:pt idx="36">
                  <c:v>13706.65381368626</c:v>
                </c:pt>
                <c:pt idx="37">
                  <c:v>13676.073996820331</c:v>
                </c:pt>
                <c:pt idx="38">
                  <c:v>13744.377360795395</c:v>
                </c:pt>
                <c:pt idx="39">
                  <c:v>13835.017094159381</c:v>
                </c:pt>
                <c:pt idx="40">
                  <c:v>13538.847175632825</c:v>
                </c:pt>
                <c:pt idx="41">
                  <c:v>13801.60977638341</c:v>
                </c:pt>
                <c:pt idx="42">
                  <c:v>13669.12212684893</c:v>
                </c:pt>
                <c:pt idx="43">
                  <c:v>13588.076930517738</c:v>
                </c:pt>
                <c:pt idx="44">
                  <c:v>13413.355260395268</c:v>
                </c:pt>
                <c:pt idx="45">
                  <c:v>13131.873376440235</c:v>
                </c:pt>
                <c:pt idx="46">
                  <c:v>12990.548540991718</c:v>
                </c:pt>
                <c:pt idx="47">
                  <c:v>12968.24239533422</c:v>
                </c:pt>
                <c:pt idx="48">
                  <c:v>12749.156148354399</c:v>
                </c:pt>
                <c:pt idx="49">
                  <c:v>12757.819179459715</c:v>
                </c:pt>
                <c:pt idx="50">
                  <c:v>12768.728522829348</c:v>
                </c:pt>
                <c:pt idx="51">
                  <c:v>12692.082858688451</c:v>
                </c:pt>
                <c:pt idx="52">
                  <c:v>12666.225076356928</c:v>
                </c:pt>
                <c:pt idx="53">
                  <c:v>12698.791456824629</c:v>
                </c:pt>
                <c:pt idx="54">
                  <c:v>12753.305519500416</c:v>
                </c:pt>
              </c:numCache>
            </c:numRef>
          </c:xVal>
          <c:yVal>
            <c:numRef>
              <c:f>prix_km!$C$2:$C$56</c:f>
              <c:numCache>
                <c:formatCode>0.00</c:formatCode>
                <c:ptCount val="55"/>
                <c:pt idx="0">
                  <c:v>1.4047279161960089</c:v>
                </c:pt>
                <c:pt idx="1">
                  <c:v>1.3620324894805098</c:v>
                </c:pt>
                <c:pt idx="2">
                  <c:v>1.3070907171735153</c:v>
                </c:pt>
                <c:pt idx="3">
                  <c:v>1.2444825729544604</c:v>
                </c:pt>
                <c:pt idx="4">
                  <c:v>1.191141397234031</c:v>
                </c:pt>
                <c:pt idx="5">
                  <c:v>1.1553268827483911</c:v>
                </c:pt>
                <c:pt idx="6">
                  <c:v>1.1272629313831775</c:v>
                </c:pt>
                <c:pt idx="7">
                  <c:v>1.1092733284607115</c:v>
                </c:pt>
                <c:pt idx="8">
                  <c:v>1.0830263733982786</c:v>
                </c:pt>
                <c:pt idx="9">
                  <c:v>1.0859468669173864</c:v>
                </c:pt>
                <c:pt idx="10">
                  <c:v>1.0580757570932766</c:v>
                </c:pt>
                <c:pt idx="11">
                  <c:v>1.0279967703208692</c:v>
                </c:pt>
                <c:pt idx="12">
                  <c:v>0.98386566755231863</c:v>
                </c:pt>
                <c:pt idx="13">
                  <c:v>0.95930010768552965</c:v>
                </c:pt>
                <c:pt idx="14">
                  <c:v>1.1856506271634484</c:v>
                </c:pt>
                <c:pt idx="15">
                  <c:v>1.1010197036045948</c:v>
                </c:pt>
                <c:pt idx="16">
                  <c:v>1.090336091819758</c:v>
                </c:pt>
                <c:pt idx="17">
                  <c:v>1.1729589845512476</c:v>
                </c:pt>
                <c:pt idx="18">
                  <c:v>1.1745436832147456</c:v>
                </c:pt>
                <c:pt idx="19">
                  <c:v>1.2124011646806119</c:v>
                </c:pt>
                <c:pt idx="20">
                  <c:v>1.2645173363476305</c:v>
                </c:pt>
                <c:pt idx="21">
                  <c:v>1.2074484850378004</c:v>
                </c:pt>
                <c:pt idx="22">
                  <c:v>1.2574052546751753</c:v>
                </c:pt>
                <c:pt idx="23">
                  <c:v>1.2344932339991035</c:v>
                </c:pt>
                <c:pt idx="24">
                  <c:v>1.2397735541315271</c:v>
                </c:pt>
                <c:pt idx="25">
                  <c:v>1.2791303367197688</c:v>
                </c:pt>
                <c:pt idx="26">
                  <c:v>1.1833580912484203</c:v>
                </c:pt>
                <c:pt idx="27">
                  <c:v>1.0365724627437556</c:v>
                </c:pt>
                <c:pt idx="28">
                  <c:v>1.0167419543935112</c:v>
                </c:pt>
                <c:pt idx="29">
                  <c:v>1.0302149917328567</c:v>
                </c:pt>
                <c:pt idx="30">
                  <c:v>0.99869187437720941</c:v>
                </c:pt>
                <c:pt idx="31">
                  <c:v>1.0251070990053874</c:v>
                </c:pt>
                <c:pt idx="32">
                  <c:v>0.98698331239685688</c:v>
                </c:pt>
                <c:pt idx="33">
                  <c:v>0.99912225962265055</c:v>
                </c:pt>
                <c:pt idx="34">
                  <c:v>1.0180138828546721</c:v>
                </c:pt>
                <c:pt idx="35">
                  <c:v>1.0596654197648305</c:v>
                </c:pt>
                <c:pt idx="36">
                  <c:v>1.1051948784594736</c:v>
                </c:pt>
                <c:pt idx="37">
                  <c:v>1.133931251876342</c:v>
                </c:pt>
                <c:pt idx="38">
                  <c:v>1.1035431044873119</c:v>
                </c:pt>
                <c:pt idx="39">
                  <c:v>1.1514603831627741</c:v>
                </c:pt>
                <c:pt idx="40">
                  <c:v>1.2874534733914977</c:v>
                </c:pt>
                <c:pt idx="41">
                  <c:v>1.1944216743568106</c:v>
                </c:pt>
                <c:pt idx="42">
                  <c:v>1.1563375828656137</c:v>
                </c:pt>
                <c:pt idx="43">
                  <c:v>1.1373855495393856</c:v>
                </c:pt>
                <c:pt idx="44">
                  <c:v>1.156844894779866</c:v>
                </c:pt>
                <c:pt idx="45">
                  <c:v>1.2442981429310138</c:v>
                </c:pt>
                <c:pt idx="46">
                  <c:v>1.4126510751844295</c:v>
                </c:pt>
                <c:pt idx="47">
                  <c:v>1.3244018648496336</c:v>
                </c:pt>
                <c:pt idx="48">
                  <c:v>1.3688874269880189</c:v>
                </c:pt>
                <c:pt idx="49">
                  <c:v>1.2406657897399576</c:v>
                </c:pt>
                <c:pt idx="50">
                  <c:v>1.3642745283000002</c:v>
                </c:pt>
                <c:pt idx="51">
                  <c:v>1.4913832962717424</c:v>
                </c:pt>
                <c:pt idx="52">
                  <c:v>1.5418886198547217</c:v>
                </c:pt>
                <c:pt idx="53">
                  <c:v>1.5043971567246155</c:v>
                </c:pt>
                <c:pt idx="54">
                  <c:v>1.4560362975708696</c:v>
                </c:pt>
              </c:numCache>
            </c:numRef>
          </c:yVal>
          <c:smooth val="0"/>
        </c:ser>
        <c:ser>
          <c:idx val="1"/>
          <c:order val="1"/>
          <c:tx>
            <c:strRef>
              <c:f>prix_km!$D$1</c:f>
              <c:strCache>
                <c:ptCount val="1"/>
                <c:pt idx="0">
                  <c:v>pgaz10</c:v>
                </c:pt>
              </c:strCache>
            </c:strRef>
          </c:tx>
          <c:marker>
            <c:symbol val="none"/>
          </c:marker>
          <c:xVal>
            <c:numRef>
              <c:f>prix_km!$B$2:$B$56</c:f>
              <c:numCache>
                <c:formatCode>0</c:formatCode>
                <c:ptCount val="55"/>
                <c:pt idx="0">
                  <c:v>8652</c:v>
                </c:pt>
                <c:pt idx="1">
                  <c:v>8911.56</c:v>
                </c:pt>
                <c:pt idx="2">
                  <c:v>9178.9067999999988</c:v>
                </c:pt>
                <c:pt idx="3">
                  <c:v>9454.274003999999</c:v>
                </c:pt>
                <c:pt idx="4">
                  <c:v>9737.90222412</c:v>
                </c:pt>
                <c:pt idx="5">
                  <c:v>10030.039290843601</c:v>
                </c:pt>
                <c:pt idx="6">
                  <c:v>10330.940469568908</c:v>
                </c:pt>
                <c:pt idx="7">
                  <c:v>10640.868683655975</c:v>
                </c:pt>
                <c:pt idx="8">
                  <c:v>10960.094744165655</c:v>
                </c:pt>
                <c:pt idx="9">
                  <c:v>11288.897586490626</c:v>
                </c:pt>
                <c:pt idx="10">
                  <c:v>11627.564514085345</c:v>
                </c:pt>
                <c:pt idx="11">
                  <c:v>11976.391449507906</c:v>
                </c:pt>
                <c:pt idx="12">
                  <c:v>12335.683192993143</c:v>
                </c:pt>
                <c:pt idx="13">
                  <c:v>13000</c:v>
                </c:pt>
                <c:pt idx="14">
                  <c:v>13080</c:v>
                </c:pt>
                <c:pt idx="15">
                  <c:v>13200</c:v>
                </c:pt>
                <c:pt idx="16">
                  <c:v>13090</c:v>
                </c:pt>
                <c:pt idx="17">
                  <c:v>12980</c:v>
                </c:pt>
                <c:pt idx="18">
                  <c:v>12930</c:v>
                </c:pt>
                <c:pt idx="19">
                  <c:v>12720</c:v>
                </c:pt>
                <c:pt idx="20">
                  <c:v>13020</c:v>
                </c:pt>
                <c:pt idx="21">
                  <c:v>13270</c:v>
                </c:pt>
                <c:pt idx="22">
                  <c:v>12630</c:v>
                </c:pt>
                <c:pt idx="23">
                  <c:v>12620</c:v>
                </c:pt>
                <c:pt idx="24">
                  <c:v>12840</c:v>
                </c:pt>
                <c:pt idx="25">
                  <c:v>12760</c:v>
                </c:pt>
                <c:pt idx="26">
                  <c:v>13130</c:v>
                </c:pt>
                <c:pt idx="27">
                  <c:v>13270</c:v>
                </c:pt>
                <c:pt idx="28">
                  <c:v>13480</c:v>
                </c:pt>
                <c:pt idx="29">
                  <c:v>13280</c:v>
                </c:pt>
                <c:pt idx="30">
                  <c:v>13356.122792574084</c:v>
                </c:pt>
                <c:pt idx="31">
                  <c:v>13300.015763797346</c:v>
                </c:pt>
                <c:pt idx="32">
                  <c:v>13564.629248700265</c:v>
                </c:pt>
                <c:pt idx="33">
                  <c:v>13516.771143640439</c:v>
                </c:pt>
                <c:pt idx="34">
                  <c:v>13541.666333297981</c:v>
                </c:pt>
                <c:pt idx="35">
                  <c:v>13720.701604525326</c:v>
                </c:pt>
                <c:pt idx="36">
                  <c:v>13706.65381368626</c:v>
                </c:pt>
                <c:pt idx="37">
                  <c:v>13676.073996820331</c:v>
                </c:pt>
                <c:pt idx="38">
                  <c:v>13744.377360795395</c:v>
                </c:pt>
                <c:pt idx="39">
                  <c:v>13835.017094159381</c:v>
                </c:pt>
                <c:pt idx="40">
                  <c:v>13538.847175632825</c:v>
                </c:pt>
                <c:pt idx="41">
                  <c:v>13801.60977638341</c:v>
                </c:pt>
                <c:pt idx="42">
                  <c:v>13669.12212684893</c:v>
                </c:pt>
                <c:pt idx="43">
                  <c:v>13588.076930517738</c:v>
                </c:pt>
                <c:pt idx="44">
                  <c:v>13413.355260395268</c:v>
                </c:pt>
                <c:pt idx="45">
                  <c:v>13131.873376440235</c:v>
                </c:pt>
                <c:pt idx="46">
                  <c:v>12990.548540991718</c:v>
                </c:pt>
                <c:pt idx="47">
                  <c:v>12968.24239533422</c:v>
                </c:pt>
                <c:pt idx="48">
                  <c:v>12749.156148354399</c:v>
                </c:pt>
                <c:pt idx="49">
                  <c:v>12757.819179459715</c:v>
                </c:pt>
                <c:pt idx="50">
                  <c:v>12768.728522829348</c:v>
                </c:pt>
                <c:pt idx="51">
                  <c:v>12692.082858688451</c:v>
                </c:pt>
                <c:pt idx="52">
                  <c:v>12666.225076356928</c:v>
                </c:pt>
                <c:pt idx="53">
                  <c:v>12698.791456824629</c:v>
                </c:pt>
                <c:pt idx="54">
                  <c:v>12753.305519500416</c:v>
                </c:pt>
              </c:numCache>
            </c:numRef>
          </c:xVal>
          <c:yVal>
            <c:numRef>
              <c:f>prix_km!$D$2:$D$56</c:f>
              <c:numCache>
                <c:formatCode>0.00</c:formatCode>
                <c:ptCount val="55"/>
                <c:pt idx="0">
                  <c:v>0.93706616459944592</c:v>
                </c:pt>
                <c:pt idx="1">
                  <c:v>0.90732140936681727</c:v>
                </c:pt>
                <c:pt idx="2">
                  <c:v>0.86735238582082197</c:v>
                </c:pt>
                <c:pt idx="3">
                  <c:v>0.82619015333905543</c:v>
                </c:pt>
                <c:pt idx="4">
                  <c:v>0.79212525399601552</c:v>
                </c:pt>
                <c:pt idx="5">
                  <c:v>0.75843532604847774</c:v>
                </c:pt>
                <c:pt idx="6">
                  <c:v>0.73396742642479451</c:v>
                </c:pt>
                <c:pt idx="7">
                  <c:v>0.71712158926267755</c:v>
                </c:pt>
                <c:pt idx="8">
                  <c:v>0.6994511602269915</c:v>
                </c:pt>
                <c:pt idx="9">
                  <c:v>0.69331414759443744</c:v>
                </c:pt>
                <c:pt idx="10">
                  <c:v>0.67038094956457395</c:v>
                </c:pt>
                <c:pt idx="11">
                  <c:v>0.66094829616323758</c:v>
                </c:pt>
                <c:pt idx="12">
                  <c:v>0.64752006171328613</c:v>
                </c:pt>
                <c:pt idx="13">
                  <c:v>0.62417751322185933</c:v>
                </c:pt>
                <c:pt idx="14">
                  <c:v>0.73605776151318558</c:v>
                </c:pt>
                <c:pt idx="15">
                  <c:v>0.70236854833546081</c:v>
                </c:pt>
                <c:pt idx="16">
                  <c:v>0.70547367842125497</c:v>
                </c:pt>
                <c:pt idx="17">
                  <c:v>0.71644513409054811</c:v>
                </c:pt>
                <c:pt idx="18">
                  <c:v>0.71715035976078945</c:v>
                </c:pt>
                <c:pt idx="19">
                  <c:v>0.7986167565053236</c:v>
                </c:pt>
                <c:pt idx="20">
                  <c:v>0.89589248058529058</c:v>
                </c:pt>
                <c:pt idx="21">
                  <c:v>0.88409294747212097</c:v>
                </c:pt>
                <c:pt idx="22">
                  <c:v>0.92460943893147951</c:v>
                </c:pt>
                <c:pt idx="23">
                  <c:v>0.98326548436986339</c:v>
                </c:pt>
                <c:pt idx="24">
                  <c:v>0.9434955464204553</c:v>
                </c:pt>
                <c:pt idx="25">
                  <c:v>1.0088451949688306</c:v>
                </c:pt>
                <c:pt idx="26">
                  <c:v>0.93338456010361015</c:v>
                </c:pt>
                <c:pt idx="27">
                  <c:v>0.70507642843915586</c:v>
                </c:pt>
                <c:pt idx="28">
                  <c:v>0.68139911675175679</c:v>
                </c:pt>
                <c:pt idx="29">
                  <c:v>0.68611903875970925</c:v>
                </c:pt>
                <c:pt idx="30">
                  <c:v>0.71532576125514746</c:v>
                </c:pt>
                <c:pt idx="31">
                  <c:v>0.70218655976265909</c:v>
                </c:pt>
                <c:pt idx="32">
                  <c:v>0.66162460443710791</c:v>
                </c:pt>
                <c:pt idx="33">
                  <c:v>0.69140012266444562</c:v>
                </c:pt>
                <c:pt idx="34">
                  <c:v>0.72240180233127627</c:v>
                </c:pt>
                <c:pt idx="35">
                  <c:v>0.71206716653320712</c:v>
                </c:pt>
                <c:pt idx="36">
                  <c:v>0.78051636181168693</c:v>
                </c:pt>
                <c:pt idx="37">
                  <c:v>0.80192537968155364</c:v>
                </c:pt>
                <c:pt idx="38">
                  <c:v>0.76012873911397194</c:v>
                </c:pt>
                <c:pt idx="39">
                  <c:v>0.82064700285442427</c:v>
                </c:pt>
                <c:pt idx="40">
                  <c:v>0.98469696264942574</c:v>
                </c:pt>
                <c:pt idx="41">
                  <c:v>0.90819889099331397</c:v>
                </c:pt>
                <c:pt idx="42">
                  <c:v>0.87214751081151265</c:v>
                </c:pt>
                <c:pt idx="43">
                  <c:v>0.88139245568045488</c:v>
                </c:pt>
                <c:pt idx="44">
                  <c:v>0.96250924757387191</c:v>
                </c:pt>
                <c:pt idx="45">
                  <c:v>1.0971961018977605</c:v>
                </c:pt>
                <c:pt idx="46">
                  <c:v>1.1275048396379426</c:v>
                </c:pt>
                <c:pt idx="47">
                  <c:v>1.1218812439161843</c:v>
                </c:pt>
                <c:pt idx="48">
                  <c:v>1.2629826764746923</c:v>
                </c:pt>
                <c:pt idx="49">
                  <c:v>1.0142669229990893</c:v>
                </c:pt>
                <c:pt idx="50">
                  <c:v>1.1467490566</c:v>
                </c:pt>
                <c:pt idx="51">
                  <c:v>1.3116103476727854</c:v>
                </c:pt>
                <c:pt idx="52">
                  <c:v>1.3518644067796612</c:v>
                </c:pt>
                <c:pt idx="53">
                  <c:v>1.2974772435959039</c:v>
                </c:pt>
                <c:pt idx="54">
                  <c:v>1.2358092454988514</c:v>
                </c:pt>
              </c:numCache>
            </c:numRef>
          </c:yVal>
          <c:smooth val="0"/>
        </c:ser>
        <c:ser>
          <c:idx val="2"/>
          <c:order val="2"/>
          <c:tx>
            <c:strRef>
              <c:f>prix_km!$E$1</c:f>
              <c:strCache>
                <c:ptCount val="1"/>
                <c:pt idx="0">
                  <c:v>pcarbuv10</c:v>
                </c:pt>
              </c:strCache>
            </c:strRef>
          </c:tx>
          <c:marker>
            <c:symbol val="none"/>
          </c:marker>
          <c:xVal>
            <c:numRef>
              <c:f>prix_km!$B$2:$B$56</c:f>
              <c:numCache>
                <c:formatCode>0</c:formatCode>
                <c:ptCount val="55"/>
                <c:pt idx="0">
                  <c:v>8652</c:v>
                </c:pt>
                <c:pt idx="1">
                  <c:v>8911.56</c:v>
                </c:pt>
                <c:pt idx="2">
                  <c:v>9178.9067999999988</c:v>
                </c:pt>
                <c:pt idx="3">
                  <c:v>9454.274003999999</c:v>
                </c:pt>
                <c:pt idx="4">
                  <c:v>9737.90222412</c:v>
                </c:pt>
                <c:pt idx="5">
                  <c:v>10030.039290843601</c:v>
                </c:pt>
                <c:pt idx="6">
                  <c:v>10330.940469568908</c:v>
                </c:pt>
                <c:pt idx="7">
                  <c:v>10640.868683655975</c:v>
                </c:pt>
                <c:pt idx="8">
                  <c:v>10960.094744165655</c:v>
                </c:pt>
                <c:pt idx="9">
                  <c:v>11288.897586490626</c:v>
                </c:pt>
                <c:pt idx="10">
                  <c:v>11627.564514085345</c:v>
                </c:pt>
                <c:pt idx="11">
                  <c:v>11976.391449507906</c:v>
                </c:pt>
                <c:pt idx="12">
                  <c:v>12335.683192993143</c:v>
                </c:pt>
                <c:pt idx="13">
                  <c:v>13000</c:v>
                </c:pt>
                <c:pt idx="14">
                  <c:v>13080</c:v>
                </c:pt>
                <c:pt idx="15">
                  <c:v>13200</c:v>
                </c:pt>
                <c:pt idx="16">
                  <c:v>13090</c:v>
                </c:pt>
                <c:pt idx="17">
                  <c:v>12980</c:v>
                </c:pt>
                <c:pt idx="18">
                  <c:v>12930</c:v>
                </c:pt>
                <c:pt idx="19">
                  <c:v>12720</c:v>
                </c:pt>
                <c:pt idx="20">
                  <c:v>13020</c:v>
                </c:pt>
                <c:pt idx="21">
                  <c:v>13270</c:v>
                </c:pt>
                <c:pt idx="22">
                  <c:v>12630</c:v>
                </c:pt>
                <c:pt idx="23">
                  <c:v>12620</c:v>
                </c:pt>
                <c:pt idx="24">
                  <c:v>12840</c:v>
                </c:pt>
                <c:pt idx="25">
                  <c:v>12760</c:v>
                </c:pt>
                <c:pt idx="26">
                  <c:v>13130</c:v>
                </c:pt>
                <c:pt idx="27">
                  <c:v>13270</c:v>
                </c:pt>
                <c:pt idx="28">
                  <c:v>13480</c:v>
                </c:pt>
                <c:pt idx="29">
                  <c:v>13280</c:v>
                </c:pt>
                <c:pt idx="30">
                  <c:v>13356.122792574084</c:v>
                </c:pt>
                <c:pt idx="31">
                  <c:v>13300.015763797346</c:v>
                </c:pt>
                <c:pt idx="32">
                  <c:v>13564.629248700265</c:v>
                </c:pt>
                <c:pt idx="33">
                  <c:v>13516.771143640439</c:v>
                </c:pt>
                <c:pt idx="34">
                  <c:v>13541.666333297981</c:v>
                </c:pt>
                <c:pt idx="35">
                  <c:v>13720.701604525326</c:v>
                </c:pt>
                <c:pt idx="36">
                  <c:v>13706.65381368626</c:v>
                </c:pt>
                <c:pt idx="37">
                  <c:v>13676.073996820331</c:v>
                </c:pt>
                <c:pt idx="38">
                  <c:v>13744.377360795395</c:v>
                </c:pt>
                <c:pt idx="39">
                  <c:v>13835.017094159381</c:v>
                </c:pt>
                <c:pt idx="40">
                  <c:v>13538.847175632825</c:v>
                </c:pt>
                <c:pt idx="41">
                  <c:v>13801.60977638341</c:v>
                </c:pt>
                <c:pt idx="42">
                  <c:v>13669.12212684893</c:v>
                </c:pt>
                <c:pt idx="43">
                  <c:v>13588.076930517738</c:v>
                </c:pt>
                <c:pt idx="44">
                  <c:v>13413.355260395268</c:v>
                </c:pt>
                <c:pt idx="45">
                  <c:v>13131.873376440235</c:v>
                </c:pt>
                <c:pt idx="46">
                  <c:v>12990.548540991718</c:v>
                </c:pt>
                <c:pt idx="47">
                  <c:v>12968.24239533422</c:v>
                </c:pt>
                <c:pt idx="48">
                  <c:v>12749.156148354399</c:v>
                </c:pt>
                <c:pt idx="49">
                  <c:v>12757.819179459715</c:v>
                </c:pt>
                <c:pt idx="50">
                  <c:v>12768.728522829348</c:v>
                </c:pt>
                <c:pt idx="51">
                  <c:v>12692.082858688451</c:v>
                </c:pt>
                <c:pt idx="52">
                  <c:v>12666.225076356928</c:v>
                </c:pt>
                <c:pt idx="53">
                  <c:v>12698.791456824629</c:v>
                </c:pt>
                <c:pt idx="54">
                  <c:v>12753.305519500416</c:v>
                </c:pt>
              </c:numCache>
            </c:numRef>
          </c:xVal>
          <c:yVal>
            <c:numRef>
              <c:f>prix_km!$E$2:$E$56</c:f>
              <c:numCache>
                <c:formatCode>0.00</c:formatCode>
                <c:ptCount val="55"/>
                <c:pt idx="0">
                  <c:v>1.4025451308910075</c:v>
                </c:pt>
                <c:pt idx="1">
                  <c:v>1.3574394482672401</c:v>
                </c:pt>
                <c:pt idx="2">
                  <c:v>1.3023109527022905</c:v>
                </c:pt>
                <c:pt idx="3">
                  <c:v>1.2397215210238786</c:v>
                </c:pt>
                <c:pt idx="4">
                  <c:v>1.1866580697819185</c:v>
                </c:pt>
                <c:pt idx="5">
                  <c:v>1.1478099972048321</c:v>
                </c:pt>
                <c:pt idx="6">
                  <c:v>1.1196304843691449</c:v>
                </c:pt>
                <c:pt idx="7">
                  <c:v>1.1015441966715387</c:v>
                </c:pt>
                <c:pt idx="8">
                  <c:v>1.0755052907870768</c:v>
                </c:pt>
                <c:pt idx="9">
                  <c:v>1.0767445375582547</c:v>
                </c:pt>
                <c:pt idx="10">
                  <c:v>1.0495937723230064</c:v>
                </c:pt>
                <c:pt idx="11">
                  <c:v>1.0203990502990481</c:v>
                </c:pt>
                <c:pt idx="12">
                  <c:v>0.97417146895963524</c:v>
                </c:pt>
                <c:pt idx="13">
                  <c:v>0.94800208950435494</c:v>
                </c:pt>
                <c:pt idx="14">
                  <c:v>1.1666380611056231</c:v>
                </c:pt>
                <c:pt idx="15">
                  <c:v>1.0824618049972383</c:v>
                </c:pt>
                <c:pt idx="16">
                  <c:v>1.0705643368593114</c:v>
                </c:pt>
                <c:pt idx="17">
                  <c:v>1.1449769432143333</c:v>
                </c:pt>
                <c:pt idx="18">
                  <c:v>1.1416996125462844</c:v>
                </c:pt>
                <c:pt idx="19">
                  <c:v>1.1778619018679719</c:v>
                </c:pt>
                <c:pt idx="20">
                  <c:v>1.2292430786554274</c:v>
                </c:pt>
                <c:pt idx="21">
                  <c:v>1.1716416122776663</c:v>
                </c:pt>
                <c:pt idx="22">
                  <c:v>1.2150417211198767</c:v>
                </c:pt>
                <c:pt idx="23">
                  <c:v>1.1999410590279125</c:v>
                </c:pt>
                <c:pt idx="24">
                  <c:v>1.1953156274541812</c:v>
                </c:pt>
                <c:pt idx="25">
                  <c:v>1.2363559352377884</c:v>
                </c:pt>
                <c:pt idx="26">
                  <c:v>1.1380412522689518</c:v>
                </c:pt>
                <c:pt idx="27">
                  <c:v>0.97134910508139016</c:v>
                </c:pt>
                <c:pt idx="28">
                  <c:v>0.94751073545449394</c:v>
                </c:pt>
                <c:pt idx="29">
                  <c:v>0.95516473806019442</c:v>
                </c:pt>
                <c:pt idx="30">
                  <c:v>0.94033939712978787</c:v>
                </c:pt>
                <c:pt idx="31">
                  <c:v>0.95076004967958516</c:v>
                </c:pt>
                <c:pt idx="32">
                  <c:v>0.90427011330521545</c:v>
                </c:pt>
                <c:pt idx="33">
                  <c:v>0.91261857552666537</c:v>
                </c:pt>
                <c:pt idx="34">
                  <c:v>0.92572361109016443</c:v>
                </c:pt>
                <c:pt idx="35">
                  <c:v>0.93875021167591144</c:v>
                </c:pt>
                <c:pt idx="36">
                  <c:v>0.98267623332161025</c:v>
                </c:pt>
                <c:pt idx="37">
                  <c:v>1.0018340566465425</c:v>
                </c:pt>
                <c:pt idx="38">
                  <c:v>0.96119705454139215</c:v>
                </c:pt>
                <c:pt idx="39">
                  <c:v>1.0168493569698098</c:v>
                </c:pt>
                <c:pt idx="40">
                  <c:v>1.157900509265323</c:v>
                </c:pt>
                <c:pt idx="41">
                  <c:v>1.0643016413635342</c:v>
                </c:pt>
                <c:pt idx="42">
                  <c:v>1.0210667899386014</c:v>
                </c:pt>
                <c:pt idx="43">
                  <c:v>1.0086858715893079</c:v>
                </c:pt>
                <c:pt idx="44">
                  <c:v>1.0545343694284892</c:v>
                </c:pt>
                <c:pt idx="45">
                  <c:v>1.16419824143091</c:v>
                </c:pt>
                <c:pt idx="46">
                  <c:v>1.2487745326299637</c:v>
                </c:pt>
                <c:pt idx="47">
                  <c:v>1.2028894922895639</c:v>
                </c:pt>
                <c:pt idx="48">
                  <c:v>1.3035193803469625</c:v>
                </c:pt>
                <c:pt idx="49">
                  <c:v>1.0954438858262605</c:v>
                </c:pt>
                <c:pt idx="50">
                  <c:v>1.2186922044478332</c:v>
                </c:pt>
                <c:pt idx="51">
                  <c:v>1.3677416492897969</c:v>
                </c:pt>
                <c:pt idx="52">
                  <c:v>1.407278524930256</c:v>
                </c:pt>
                <c:pt idx="53">
                  <c:v>1.3564263271520687</c:v>
                </c:pt>
                <c:pt idx="54">
                  <c:v>1.2979624214035625</c:v>
                </c:pt>
              </c:numCache>
            </c:numRef>
          </c:yVal>
          <c:smooth val="0"/>
        </c:ser>
        <c:dLbls>
          <c:showLegendKey val="0"/>
          <c:showVal val="0"/>
          <c:showCatName val="0"/>
          <c:showSerName val="0"/>
          <c:showPercent val="0"/>
          <c:showBubbleSize val="0"/>
        </c:dLbls>
        <c:axId val="221851648"/>
        <c:axId val="221853184"/>
      </c:scatterChart>
      <c:valAx>
        <c:axId val="221851648"/>
        <c:scaling>
          <c:orientation val="minMax"/>
        </c:scaling>
        <c:delete val="0"/>
        <c:axPos val="b"/>
        <c:majorGridlines/>
        <c:numFmt formatCode="0" sourceLinked="1"/>
        <c:majorTickMark val="out"/>
        <c:minorTickMark val="none"/>
        <c:tickLblPos val="nextTo"/>
        <c:crossAx val="221853184"/>
        <c:crosses val="autoZero"/>
        <c:crossBetween val="midCat"/>
      </c:valAx>
      <c:valAx>
        <c:axId val="221853184"/>
        <c:scaling>
          <c:orientation val="minMax"/>
        </c:scaling>
        <c:delete val="0"/>
        <c:axPos val="l"/>
        <c:majorGridlines/>
        <c:numFmt formatCode="0.00" sourceLinked="1"/>
        <c:majorTickMark val="out"/>
        <c:minorTickMark val="none"/>
        <c:tickLblPos val="nextTo"/>
        <c:crossAx val="221851648"/>
        <c:crosses val="autoZero"/>
        <c:crossBetween val="midCat"/>
      </c:valAx>
      <c:spPr>
        <a:noFill/>
      </c:spPr>
    </c:plotArea>
    <c:legend>
      <c:legendPos val="r"/>
      <c:layout/>
      <c:overlay val="0"/>
    </c:legend>
    <c:plotVisOnly val="1"/>
    <c:dispBlanksAs val="gap"/>
    <c:showDLblsOverMax val="0"/>
  </c:chart>
  <c:spPr>
    <a:noFill/>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Minutes de travail au smic horaire net pour 1 litre de carburant</a:t>
            </a:r>
          </a:p>
        </c:rich>
      </c:tx>
      <c:layout>
        <c:manualLayout>
          <c:xMode val="edge"/>
          <c:yMode val="edge"/>
          <c:x val="4.408835476513509E-2"/>
          <c:y val="1.678089290536551E-2"/>
        </c:manualLayout>
      </c:layout>
      <c:overlay val="0"/>
    </c:title>
    <c:autoTitleDeleted val="0"/>
    <c:plotArea>
      <c:layout>
        <c:manualLayout>
          <c:layoutTarget val="inner"/>
          <c:xMode val="edge"/>
          <c:yMode val="edge"/>
          <c:x val="3.5349105862479906E-2"/>
          <c:y val="8.7831798699119321E-2"/>
          <c:w val="0.93773902165124812"/>
          <c:h val="0.85987591437868593"/>
        </c:manualLayout>
      </c:layout>
      <c:scatterChart>
        <c:scatterStyle val="lineMarker"/>
        <c:varyColors val="0"/>
        <c:ser>
          <c:idx val="0"/>
          <c:order val="0"/>
          <c:tx>
            <c:strRef>
              <c:f>data2018!#REF!</c:f>
              <c:strCache>
                <c:ptCount val="1"/>
                <c:pt idx="0">
                  <c:v>#REF!</c:v>
                </c:pt>
              </c:strCache>
            </c:strRef>
          </c:tx>
          <c:xVal>
            <c:numRef>
              <c:f>data2018!$A$2:$A$64</c:f>
              <c:numCache>
                <c:formatCode>General</c:formatCode>
                <c:ptCount val="6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xVal>
          <c:yVal>
            <c:numRef>
              <c:f>data2018!#REF!</c:f>
              <c:numCache>
                <c:formatCode>General</c:formatCode>
                <c:ptCount val="1"/>
                <c:pt idx="0">
                  <c:v>1</c:v>
                </c:pt>
              </c:numCache>
            </c:numRef>
          </c:yVal>
          <c:smooth val="0"/>
        </c:ser>
        <c:dLbls>
          <c:showLegendKey val="0"/>
          <c:showVal val="0"/>
          <c:showCatName val="0"/>
          <c:showSerName val="0"/>
          <c:showPercent val="0"/>
          <c:showBubbleSize val="0"/>
        </c:dLbls>
        <c:axId val="222413184"/>
        <c:axId val="222415488"/>
      </c:scatterChart>
      <c:valAx>
        <c:axId val="222413184"/>
        <c:scaling>
          <c:orientation val="minMax"/>
          <c:max val="2020"/>
          <c:min val="1960"/>
        </c:scaling>
        <c:delete val="0"/>
        <c:axPos val="b"/>
        <c:majorGridlines>
          <c:spPr>
            <a:ln>
              <a:prstDash val="dash"/>
            </a:ln>
          </c:spPr>
        </c:majorGridlines>
        <c:numFmt formatCode="General" sourceLinked="1"/>
        <c:majorTickMark val="out"/>
        <c:minorTickMark val="none"/>
        <c:tickLblPos val="nextTo"/>
        <c:crossAx val="222415488"/>
        <c:crosses val="autoZero"/>
        <c:crossBetween val="midCat"/>
      </c:valAx>
      <c:valAx>
        <c:axId val="222415488"/>
        <c:scaling>
          <c:orientation val="minMax"/>
        </c:scaling>
        <c:delete val="0"/>
        <c:axPos val="l"/>
        <c:majorGridlines>
          <c:spPr>
            <a:ln>
              <a:prstDash val="dash"/>
            </a:ln>
          </c:spPr>
        </c:majorGridlines>
        <c:numFmt formatCode="General" sourceLinked="1"/>
        <c:majorTickMark val="out"/>
        <c:minorTickMark val="none"/>
        <c:tickLblPos val="nextTo"/>
        <c:crossAx val="222413184"/>
        <c:crosses val="autoZero"/>
        <c:crossBetween val="midCat"/>
      </c:valAx>
      <c:spPr>
        <a:noFill/>
      </c:spPr>
    </c:plotArea>
    <c:legend>
      <c:legendPos val="r"/>
      <c:layout>
        <c:manualLayout>
          <c:xMode val="edge"/>
          <c:yMode val="edge"/>
          <c:x val="0.71043464027859049"/>
          <c:y val="2.4899304524878103E-2"/>
          <c:w val="0.27364160950768091"/>
          <c:h val="3.7754506685000334E-2"/>
        </c:manualLayout>
      </c:layout>
      <c:overlay val="0"/>
    </c:legend>
    <c:plotVisOnly val="1"/>
    <c:dispBlanksAs val="gap"/>
    <c:showDLblsOverMax val="0"/>
  </c:chart>
  <c:spPr>
    <a:noFill/>
  </c:sp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Evolution du prix relatif du coupon mensuel navigo en litres  de carburant</a:t>
            </a:r>
          </a:p>
        </c:rich>
      </c:tx>
      <c:layout>
        <c:manualLayout>
          <c:xMode val="edge"/>
          <c:yMode val="edge"/>
          <c:x val="0.27284017580696202"/>
          <c:y val="2.9189817262196695E-2"/>
        </c:manualLayout>
      </c:layout>
      <c:overlay val="0"/>
      <c:spPr>
        <a:noFill/>
        <a:ln w="25400">
          <a:noFill/>
        </a:ln>
      </c:spPr>
    </c:title>
    <c:autoTitleDeleted val="0"/>
    <c:plotArea>
      <c:layout>
        <c:manualLayout>
          <c:layoutTarget val="inner"/>
          <c:xMode val="edge"/>
          <c:yMode val="edge"/>
          <c:x val="6.58882402001668E-2"/>
          <c:y val="0.11486486486486487"/>
          <c:w val="0.93411175979983307"/>
          <c:h val="0.80945945945945941"/>
        </c:manualLayout>
      </c:layout>
      <c:lineChart>
        <c:grouping val="standard"/>
        <c:varyColors val="0"/>
        <c:ser>
          <c:idx val="0"/>
          <c:order val="0"/>
          <c:tx>
            <c:strRef>
              <c:f>data2018!$EV$1</c:f>
              <c:strCache>
                <c:ptCount val="1"/>
                <c:pt idx="0">
                  <c:v>PRELCOCARB</c:v>
                </c:pt>
              </c:strCache>
            </c:strRef>
          </c:tx>
          <c:spPr>
            <a:ln w="25400">
              <a:solidFill>
                <a:srgbClr val="FF0000"/>
              </a:solidFill>
              <a:prstDash val="solid"/>
            </a:ln>
          </c:spPr>
          <c:marker>
            <c:symbol val="none"/>
          </c:marker>
          <c:cat>
            <c:numRef>
              <c:f>data2018!$A$17:$A$60</c:f>
              <c:numCache>
                <c:formatCode>General</c:formatCode>
                <c:ptCount val="44"/>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numCache>
            </c:numRef>
          </c:cat>
          <c:val>
            <c:numRef>
              <c:f>data2018!$EV$17:$EV$60</c:f>
              <c:numCache>
                <c:formatCode>0.0</c:formatCode>
                <c:ptCount val="44"/>
                <c:pt idx="0">
                  <c:v>22.527694433333814</c:v>
                </c:pt>
                <c:pt idx="1">
                  <c:v>22.069869355750875</c:v>
                </c:pt>
                <c:pt idx="2">
                  <c:v>20.651207040823994</c:v>
                </c:pt>
                <c:pt idx="3">
                  <c:v>21.510895833710709</c:v>
                </c:pt>
                <c:pt idx="4">
                  <c:v>22.728803929021232</c:v>
                </c:pt>
                <c:pt idx="5">
                  <c:v>23.510605835721719</c:v>
                </c:pt>
                <c:pt idx="6">
                  <c:v>25.904377683979522</c:v>
                </c:pt>
                <c:pt idx="7">
                  <c:v>25.362241153444092</c:v>
                </c:pt>
                <c:pt idx="8">
                  <c:v>25.901520016115366</c:v>
                </c:pt>
                <c:pt idx="9">
                  <c:v>26.174379580207862</c:v>
                </c:pt>
                <c:pt idx="10">
                  <c:v>25.342178718992784</c:v>
                </c:pt>
                <c:pt idx="11">
                  <c:v>29.005786181465297</c:v>
                </c:pt>
                <c:pt idx="12">
                  <c:v>35.725553926091003</c:v>
                </c:pt>
                <c:pt idx="13">
                  <c:v>37.713504919530934</c:v>
                </c:pt>
                <c:pt idx="14">
                  <c:v>37.218358315383853</c:v>
                </c:pt>
                <c:pt idx="15">
                  <c:v>37.818060128048543</c:v>
                </c:pt>
                <c:pt idx="16">
                  <c:v>38.168055608600241</c:v>
                </c:pt>
                <c:pt idx="17">
                  <c:v>41.34298866025901</c:v>
                </c:pt>
                <c:pt idx="18">
                  <c:v>42.33468298665796</c:v>
                </c:pt>
                <c:pt idx="19">
                  <c:v>43.052310251363345</c:v>
                </c:pt>
                <c:pt idx="20">
                  <c:v>44.413256719392855</c:v>
                </c:pt>
                <c:pt idx="21">
                  <c:v>43.835342153122177</c:v>
                </c:pt>
                <c:pt idx="22">
                  <c:v>45.101658239245921</c:v>
                </c:pt>
                <c:pt idx="23">
                  <c:v>49.352055476642583</c:v>
                </c:pt>
                <c:pt idx="24">
                  <c:v>49.031135674497484</c:v>
                </c:pt>
                <c:pt idx="25">
                  <c:v>43.173568749400417</c:v>
                </c:pt>
                <c:pt idx="26">
                  <c:v>47.067068423417368</c:v>
                </c:pt>
                <c:pt idx="27">
                  <c:v>49.989639290715282</c:v>
                </c:pt>
                <c:pt idx="28">
                  <c:v>52.114320863057962</c:v>
                </c:pt>
                <c:pt idx="29">
                  <c:v>51.068528434077464</c:v>
                </c:pt>
                <c:pt idx="30">
                  <c:v>46.764430020145987</c:v>
                </c:pt>
                <c:pt idx="31">
                  <c:v>43.573299405057803</c:v>
                </c:pt>
                <c:pt idx="32">
                  <c:v>45.217327109384769</c:v>
                </c:pt>
                <c:pt idx="33">
                  <c:v>41.623053788544709</c:v>
                </c:pt>
                <c:pt idx="34">
                  <c:v>51.587472025476821</c:v>
                </c:pt>
                <c:pt idx="35">
                  <c:v>48.00227636354272</c:v>
                </c:pt>
                <c:pt idx="36">
                  <c:v>44.521247104504006</c:v>
                </c:pt>
                <c:pt idx="37">
                  <c:v>43.289296164964519</c:v>
                </c:pt>
                <c:pt idx="38">
                  <c:v>46.120351610258957</c:v>
                </c:pt>
                <c:pt idx="39">
                  <c:v>49.694231344108118</c:v>
                </c:pt>
                <c:pt idx="40">
                  <c:v>57.590072068509535</c:v>
                </c:pt>
                <c:pt idx="41">
                  <c:v>62.387696992759807</c:v>
                </c:pt>
                <c:pt idx="42">
                  <c:v>54.230772335991411</c:v>
                </c:pt>
                <c:pt idx="43">
                  <c:v>51.905374190444604</c:v>
                </c:pt>
              </c:numCache>
            </c:numRef>
          </c:val>
          <c:smooth val="0"/>
        </c:ser>
        <c:dLbls>
          <c:showLegendKey val="0"/>
          <c:showVal val="0"/>
          <c:showCatName val="0"/>
          <c:showSerName val="0"/>
          <c:showPercent val="0"/>
          <c:showBubbleSize val="0"/>
        </c:dLbls>
        <c:marker val="1"/>
        <c:smooth val="0"/>
        <c:axId val="234761216"/>
        <c:axId val="234944384"/>
      </c:lineChart>
      <c:catAx>
        <c:axId val="234761216"/>
        <c:scaling>
          <c:orientation val="minMax"/>
        </c:scaling>
        <c:delete val="0"/>
        <c:axPos val="b"/>
        <c:majorGridlines>
          <c:spPr>
            <a:ln w="3175">
              <a:solidFill>
                <a:srgbClr val="808080"/>
              </a:solidFill>
              <a:prstDash val="sysDash"/>
            </a:ln>
          </c:spPr>
        </c:majorGridlines>
        <c:numFmt formatCode="General" sourceLinked="1"/>
        <c:majorTickMark val="cross"/>
        <c:minorTickMark val="none"/>
        <c:tickLblPos val="low"/>
        <c:spPr>
          <a:ln w="3175">
            <a:solidFill>
              <a:srgbClr val="000000"/>
            </a:solidFill>
            <a:prstDash val="solid"/>
          </a:ln>
        </c:spPr>
        <c:txPr>
          <a:bodyPr rot="-5400000" vert="horz"/>
          <a:lstStyle/>
          <a:p>
            <a:pPr>
              <a:defRPr sz="900" b="0" i="0" u="none" strike="noStrike" baseline="0">
                <a:solidFill>
                  <a:srgbClr val="000000"/>
                </a:solidFill>
                <a:latin typeface="DejaVu Serif"/>
                <a:ea typeface="DejaVu Serif"/>
                <a:cs typeface="DejaVu Serif"/>
              </a:defRPr>
            </a:pPr>
            <a:endParaRPr lang="fr-FR"/>
          </a:p>
        </c:txPr>
        <c:crossAx val="234944384"/>
        <c:crosses val="autoZero"/>
        <c:auto val="1"/>
        <c:lblAlgn val="ctr"/>
        <c:lblOffset val="100"/>
        <c:tickLblSkip val="1"/>
        <c:tickMarkSkip val="5"/>
        <c:noMultiLvlLbl val="0"/>
      </c:catAx>
      <c:valAx>
        <c:axId val="234944384"/>
        <c:scaling>
          <c:orientation val="minMax"/>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Prix relatif: 
Prix du coupon mensuel / Prix du litre de carburant</a:t>
                </a:r>
              </a:p>
            </c:rich>
          </c:tx>
          <c:layout>
            <c:manualLayout>
              <c:xMode val="edge"/>
              <c:yMode val="edge"/>
              <c:x val="0"/>
              <c:y val="0"/>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234761216"/>
        <c:crosses val="autoZero"/>
        <c:crossBetween val="between"/>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fr-FR" sz="1200" b="0" i="0" u="none" strike="noStrike" baseline="0">
                <a:solidFill>
                  <a:srgbClr val="000000"/>
                </a:solidFill>
                <a:latin typeface="Arial"/>
                <a:cs typeface="Arial"/>
              </a:rPr>
              <a:t>Comparaison du prix réel et de l'indice de prix du carburant entre 1960 et 2014</a:t>
            </a:r>
          </a:p>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Source: INSEE, CPDP, SeOS</a:t>
            </a:r>
          </a:p>
        </c:rich>
      </c:tx>
      <c:layout>
        <c:manualLayout>
          <c:xMode val="edge"/>
          <c:yMode val="edge"/>
          <c:x val="0.11426192038495188"/>
          <c:y val="0"/>
        </c:manualLayout>
      </c:layout>
      <c:overlay val="0"/>
      <c:spPr>
        <a:noFill/>
        <a:ln w="25400">
          <a:noFill/>
        </a:ln>
      </c:spPr>
    </c:title>
    <c:autoTitleDeleted val="0"/>
    <c:plotArea>
      <c:layout>
        <c:manualLayout>
          <c:layoutTarget val="inner"/>
          <c:xMode val="edge"/>
          <c:yMode val="edge"/>
          <c:x val="2.7522935779816512E-2"/>
          <c:y val="0.13648648648648648"/>
          <c:w val="0.9416180150125103"/>
          <c:h val="0.81756756756756754"/>
        </c:manualLayout>
      </c:layout>
      <c:lineChart>
        <c:grouping val="standard"/>
        <c:varyColors val="0"/>
        <c:ser>
          <c:idx val="1"/>
          <c:order val="0"/>
          <c:tx>
            <c:v>Indice de prix réel du carburant</c:v>
          </c:tx>
          <c:spPr>
            <a:ln w="25400">
              <a:solidFill>
                <a:srgbClr val="80808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dLbls>
          <c:showLegendKey val="0"/>
          <c:showVal val="0"/>
          <c:showCatName val="0"/>
          <c:showSerName val="0"/>
          <c:showPercent val="0"/>
          <c:showBubbleSize val="0"/>
        </c:dLbls>
        <c:marker val="1"/>
        <c:smooth val="0"/>
        <c:axId val="257524480"/>
        <c:axId val="259441024"/>
      </c:lineChart>
      <c:lineChart>
        <c:grouping val="standard"/>
        <c:varyColors val="0"/>
        <c:ser>
          <c:idx val="0"/>
          <c:order val="1"/>
          <c:tx>
            <c:v>Prix réel par litre (€ 2010 / litre)</c:v>
          </c:tx>
          <c:spPr>
            <a:ln w="25400">
              <a:solidFill>
                <a:srgbClr val="333333"/>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data2018!$DF$2:$DF$60</c:f>
              <c:numCache>
                <c:formatCode>0.0000</c:formatCode>
                <c:ptCount val="59"/>
                <c:pt idx="0">
                  <c:v>1.4025451308910075</c:v>
                </c:pt>
                <c:pt idx="1">
                  <c:v>1.3574394482672401</c:v>
                </c:pt>
                <c:pt idx="2">
                  <c:v>1.3023109527022905</c:v>
                </c:pt>
                <c:pt idx="3">
                  <c:v>1.2397215210238786</c:v>
                </c:pt>
                <c:pt idx="4">
                  <c:v>1.1866580697819185</c:v>
                </c:pt>
                <c:pt idx="5">
                  <c:v>1.1478099972048321</c:v>
                </c:pt>
                <c:pt idx="6">
                  <c:v>1.1196304843691449</c:v>
                </c:pt>
                <c:pt idx="7">
                  <c:v>1.1015441966715387</c:v>
                </c:pt>
                <c:pt idx="8">
                  <c:v>1.0755052907870768</c:v>
                </c:pt>
                <c:pt idx="9">
                  <c:v>1.0767445375582547</c:v>
                </c:pt>
                <c:pt idx="10">
                  <c:v>1.0495937723230064</c:v>
                </c:pt>
                <c:pt idx="11">
                  <c:v>1.0203990502990481</c:v>
                </c:pt>
                <c:pt idx="12">
                  <c:v>0.97417146895963524</c:v>
                </c:pt>
                <c:pt idx="13">
                  <c:v>0.94800208950435494</c:v>
                </c:pt>
                <c:pt idx="14">
                  <c:v>1.1666380611056231</c:v>
                </c:pt>
                <c:pt idx="15">
                  <c:v>1.0824618049972383</c:v>
                </c:pt>
                <c:pt idx="16">
                  <c:v>1.0705643368593114</c:v>
                </c:pt>
                <c:pt idx="17">
                  <c:v>1.1449769432143333</c:v>
                </c:pt>
                <c:pt idx="18">
                  <c:v>1.1416996125462844</c:v>
                </c:pt>
                <c:pt idx="19">
                  <c:v>1.1778619018679719</c:v>
                </c:pt>
                <c:pt idx="20">
                  <c:v>1.2292430786554274</c:v>
                </c:pt>
                <c:pt idx="21">
                  <c:v>1.1716416122776663</c:v>
                </c:pt>
                <c:pt idx="22">
                  <c:v>1.2150417211198767</c:v>
                </c:pt>
                <c:pt idx="23">
                  <c:v>1.1999410590279125</c:v>
                </c:pt>
                <c:pt idx="24">
                  <c:v>1.1953156274541812</c:v>
                </c:pt>
                <c:pt idx="25">
                  <c:v>1.2363559352377884</c:v>
                </c:pt>
                <c:pt idx="26">
                  <c:v>1.1380412522689518</c:v>
                </c:pt>
                <c:pt idx="27">
                  <c:v>0.97134910508139016</c:v>
                </c:pt>
                <c:pt idx="28">
                  <c:v>0.94751073545449394</c:v>
                </c:pt>
                <c:pt idx="29">
                  <c:v>0.95516473806019442</c:v>
                </c:pt>
                <c:pt idx="30">
                  <c:v>0.94033939712978787</c:v>
                </c:pt>
                <c:pt idx="31">
                  <c:v>0.95076004967958516</c:v>
                </c:pt>
                <c:pt idx="32">
                  <c:v>0.90427011330521545</c:v>
                </c:pt>
                <c:pt idx="33">
                  <c:v>0.91261857552666537</c:v>
                </c:pt>
                <c:pt idx="34">
                  <c:v>0.92572361109016443</c:v>
                </c:pt>
                <c:pt idx="35">
                  <c:v>0.93875021167591144</c:v>
                </c:pt>
                <c:pt idx="36">
                  <c:v>0.98267623332161025</c:v>
                </c:pt>
                <c:pt idx="37">
                  <c:v>1.0018340566465425</c:v>
                </c:pt>
                <c:pt idx="38">
                  <c:v>0.96119705454139215</c:v>
                </c:pt>
                <c:pt idx="39">
                  <c:v>1.0168493569698098</c:v>
                </c:pt>
                <c:pt idx="40">
                  <c:v>1.157900509265323</c:v>
                </c:pt>
                <c:pt idx="41">
                  <c:v>1.0643016413635342</c:v>
                </c:pt>
                <c:pt idx="42">
                  <c:v>1.0210667899386014</c:v>
                </c:pt>
                <c:pt idx="43">
                  <c:v>1.0086858715893079</c:v>
                </c:pt>
                <c:pt idx="44">
                  <c:v>1.0545343694284892</c:v>
                </c:pt>
                <c:pt idx="45">
                  <c:v>1.16419824143091</c:v>
                </c:pt>
                <c:pt idx="46">
                  <c:v>1.2487745326299637</c:v>
                </c:pt>
                <c:pt idx="47">
                  <c:v>1.2028894922895639</c:v>
                </c:pt>
                <c:pt idx="48">
                  <c:v>1.3035193803469625</c:v>
                </c:pt>
                <c:pt idx="49">
                  <c:v>1.0954438858262605</c:v>
                </c:pt>
                <c:pt idx="50">
                  <c:v>1.2186922044478332</c:v>
                </c:pt>
                <c:pt idx="51">
                  <c:v>1.3677416492897969</c:v>
                </c:pt>
                <c:pt idx="52">
                  <c:v>1.407278524930256</c:v>
                </c:pt>
                <c:pt idx="53">
                  <c:v>1.3582928670993615</c:v>
                </c:pt>
                <c:pt idx="54">
                  <c:v>1.2978501387588306</c:v>
                </c:pt>
                <c:pt idx="55">
                  <c:v>1.1651973609705479</c:v>
                </c:pt>
                <c:pt idx="56">
                  <c:v>1.1222497664257256</c:v>
                </c:pt>
                <c:pt idx="57">
                  <c:v>1.3167893185718844</c:v>
                </c:pt>
              </c:numCache>
            </c:numRef>
          </c:val>
          <c:smooth val="0"/>
        </c:ser>
        <c:dLbls>
          <c:showLegendKey val="0"/>
          <c:showVal val="0"/>
          <c:showCatName val="0"/>
          <c:showSerName val="0"/>
          <c:showPercent val="0"/>
          <c:showBubbleSize val="0"/>
        </c:dLbls>
        <c:marker val="1"/>
        <c:smooth val="0"/>
        <c:axId val="260333952"/>
        <c:axId val="260336256"/>
      </c:lineChart>
      <c:catAx>
        <c:axId val="2575244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Arial"/>
                <a:ea typeface="Arial"/>
                <a:cs typeface="Arial"/>
              </a:defRPr>
            </a:pPr>
            <a:endParaRPr lang="fr-FR"/>
          </a:p>
        </c:txPr>
        <c:crossAx val="259441024"/>
        <c:crosses val="autoZero"/>
        <c:auto val="0"/>
        <c:lblAlgn val="ctr"/>
        <c:lblOffset val="100"/>
        <c:tickLblSkip val="1"/>
        <c:tickMarkSkip val="1"/>
        <c:noMultiLvlLbl val="0"/>
      </c:catAx>
      <c:valAx>
        <c:axId val="259441024"/>
        <c:scaling>
          <c:orientation val="minMax"/>
          <c:max val="140"/>
          <c:min val="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Arial"/>
                    <a:ea typeface="Arial"/>
                    <a:cs typeface="Arial"/>
                  </a:defRPr>
                </a:pPr>
                <a:r>
                  <a:rPr lang="fr-FR"/>
                  <a:t>Base 100 
en 2010</a:t>
                </a:r>
              </a:p>
            </c:rich>
          </c:tx>
          <c:layout>
            <c:manualLayout>
              <c:xMode val="edge"/>
              <c:yMode val="edge"/>
              <c:x val="4.1623309053069723E-3"/>
              <c:y val="2.3957156870542697E-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57524480"/>
        <c:crosses val="autoZero"/>
        <c:crossBetween val="between"/>
        <c:majorUnit val="10"/>
      </c:valAx>
      <c:catAx>
        <c:axId val="260333952"/>
        <c:scaling>
          <c:orientation val="minMax"/>
        </c:scaling>
        <c:delete val="1"/>
        <c:axPos val="b"/>
        <c:numFmt formatCode="General" sourceLinked="1"/>
        <c:majorTickMark val="out"/>
        <c:minorTickMark val="none"/>
        <c:tickLblPos val="nextTo"/>
        <c:crossAx val="260336256"/>
        <c:crosses val="autoZero"/>
        <c:auto val="0"/>
        <c:lblAlgn val="ctr"/>
        <c:lblOffset val="100"/>
        <c:noMultiLvlLbl val="0"/>
      </c:catAx>
      <c:valAx>
        <c:axId val="260336256"/>
        <c:scaling>
          <c:orientation val="minMax"/>
          <c:max val="1.4"/>
          <c:min val="0"/>
        </c:scaling>
        <c:delete val="0"/>
        <c:axPos val="r"/>
        <c:title>
          <c:tx>
            <c:rich>
              <a:bodyPr rot="0" vert="horz"/>
              <a:lstStyle/>
              <a:p>
                <a:pPr algn="ctr">
                  <a:defRPr sz="1000" b="0" i="0" u="none" strike="noStrike" baseline="0">
                    <a:solidFill>
                      <a:srgbClr val="000000"/>
                    </a:solidFill>
                    <a:latin typeface="Arial"/>
                    <a:ea typeface="Arial"/>
                    <a:cs typeface="Arial"/>
                  </a:defRPr>
                </a:pPr>
                <a:r>
                  <a:rPr lang="fr-FR"/>
                  <a:t>prix en €2010/l</a:t>
                </a:r>
              </a:p>
            </c:rich>
          </c:tx>
          <c:layout>
            <c:manualLayout>
              <c:xMode val="edge"/>
              <c:yMode val="edge"/>
              <c:x val="0.90048654855643051"/>
              <c:y val="8.2432402526412707E-2"/>
            </c:manualLayout>
          </c:layout>
          <c:overlay val="0"/>
          <c:spPr>
            <a:noFill/>
            <a:ln w="25400">
              <a:noFill/>
            </a:ln>
          </c:spPr>
        </c:title>
        <c:numFmt formatCode="0.0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260333952"/>
        <c:crosses val="max"/>
        <c:crossBetween val="between"/>
        <c:majorUnit val="0.1"/>
      </c:valAx>
      <c:spPr>
        <a:noFill/>
        <a:ln w="12700">
          <a:solidFill>
            <a:srgbClr val="808080"/>
          </a:solidFill>
          <a:prstDash val="solid"/>
        </a:ln>
      </c:spPr>
    </c:plotArea>
    <c:legend>
      <c:legendPos val="r"/>
      <c:layout>
        <c:manualLayout>
          <c:xMode val="edge"/>
          <c:yMode val="edge"/>
          <c:x val="0.73020833333333335"/>
          <c:y val="0"/>
          <c:w val="0.26979166666666665"/>
          <c:h val="7.5885328836424959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fr-FR"/>
              <a:t>Evolution comparées des prix nominaux et réels
des carburants et du navigo mensuel</a:t>
            </a:r>
          </a:p>
        </c:rich>
      </c:tx>
      <c:layout>
        <c:manualLayout>
          <c:xMode val="edge"/>
          <c:yMode val="edge"/>
          <c:x val="0.16537563528097471"/>
          <c:y val="0"/>
        </c:manualLayout>
      </c:layout>
      <c:overlay val="0"/>
      <c:spPr>
        <a:noFill/>
        <a:ln w="25400">
          <a:noFill/>
        </a:ln>
      </c:spPr>
    </c:title>
    <c:autoTitleDeleted val="0"/>
    <c:plotArea>
      <c:layout>
        <c:manualLayout>
          <c:layoutTarget val="inner"/>
          <c:xMode val="edge"/>
          <c:yMode val="edge"/>
          <c:x val="4.7539616346955783E-2"/>
          <c:y val="9.864864864864864E-2"/>
          <c:w val="0.90075062552126761"/>
          <c:h val="0.8472972972972973"/>
        </c:manualLayout>
      </c:layout>
      <c:lineChart>
        <c:grouping val="standard"/>
        <c:varyColors val="0"/>
        <c:ser>
          <c:idx val="1"/>
          <c:order val="0"/>
          <c:tx>
            <c:v>Prix nominal du carburant</c:v>
          </c:tx>
          <c:spPr>
            <a:ln w="25400">
              <a:solidFill>
                <a:srgbClr val="9933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data2018!$CC$2:$CC$60</c:f>
              <c:numCache>
                <c:formatCode>0.00</c:formatCode>
                <c:ptCount val="59"/>
                <c:pt idx="0">
                  <c:v>0.15282131746188418</c:v>
                </c:pt>
                <c:pt idx="1">
                  <c:v>0.15231828049006704</c:v>
                </c:pt>
                <c:pt idx="2">
                  <c:v>0.15237038146616799</c:v>
                </c:pt>
                <c:pt idx="3">
                  <c:v>0.15206424176878894</c:v>
                </c:pt>
                <c:pt idx="4">
                  <c:v>0.15034957744136906</c:v>
                </c:pt>
                <c:pt idx="5">
                  <c:v>0.14927269013648842</c:v>
                </c:pt>
                <c:pt idx="6">
                  <c:v>0.14999689599093433</c:v>
                </c:pt>
                <c:pt idx="7">
                  <c:v>0.15221137709607321</c:v>
                </c:pt>
                <c:pt idx="8">
                  <c:v>0.15609883790483631</c:v>
                </c:pt>
                <c:pt idx="9">
                  <c:v>0.16736917091805514</c:v>
                </c:pt>
                <c:pt idx="10">
                  <c:v>0.17133568739400759</c:v>
                </c:pt>
                <c:pt idx="11">
                  <c:v>0.17598822420507684</c:v>
                </c:pt>
                <c:pt idx="12">
                  <c:v>0.17786422680265021</c:v>
                </c:pt>
                <c:pt idx="13">
                  <c:v>0.18567568925032296</c:v>
                </c:pt>
                <c:pt idx="14">
                  <c:v>0.26136192482949266</c:v>
                </c:pt>
                <c:pt idx="15">
                  <c:v>0.27077782052005916</c:v>
                </c:pt>
                <c:pt idx="16">
                  <c:v>0.29361297502703471</c:v>
                </c:pt>
                <c:pt idx="17">
                  <c:v>0.34332133642281787</c:v>
                </c:pt>
                <c:pt idx="18">
                  <c:v>0.37213698870946132</c:v>
                </c:pt>
                <c:pt idx="19">
                  <c:v>0.42589130647742135</c:v>
                </c:pt>
                <c:pt idx="20">
                  <c:v>0.50253915541591176</c:v>
                </c:pt>
                <c:pt idx="21">
                  <c:v>0.54430954381583541</c:v>
                </c:pt>
                <c:pt idx="22">
                  <c:v>0.6310562186980303</c:v>
                </c:pt>
                <c:pt idx="23">
                  <c:v>0.6827784619974725</c:v>
                </c:pt>
                <c:pt idx="24">
                  <c:v>0.73392379525686724</c:v>
                </c:pt>
                <c:pt idx="25">
                  <c:v>0.80616588757179997</c:v>
                </c:pt>
                <c:pt idx="26">
                  <c:v>0.76208932458190359</c:v>
                </c:pt>
                <c:pt idx="27">
                  <c:v>0.6699686182477872</c:v>
                </c:pt>
                <c:pt idx="28">
                  <c:v>0.67111237881506336</c:v>
                </c:pt>
                <c:pt idx="29">
                  <c:v>0.70247590660636994</c:v>
                </c:pt>
                <c:pt idx="30">
                  <c:v>0.7114325776864836</c:v>
                </c:pt>
                <c:pt idx="31">
                  <c:v>0.73896874101296084</c:v>
                </c:pt>
                <c:pt idx="32">
                  <c:v>0.72092030513144989</c:v>
                </c:pt>
                <c:pt idx="33">
                  <c:v>0.73850007750193292</c:v>
                </c:pt>
                <c:pt idx="34">
                  <c:v>0.75605698764955898</c:v>
                </c:pt>
                <c:pt idx="35">
                  <c:v>0.77373669946751966</c:v>
                </c:pt>
                <c:pt idx="36">
                  <c:v>0.82250983405252098</c:v>
                </c:pt>
                <c:pt idx="37">
                  <c:v>0.84501697175965917</c:v>
                </c:pt>
                <c:pt idx="38">
                  <c:v>0.81232685473402133</c:v>
                </c:pt>
                <c:pt idx="39">
                  <c:v>0.85496693934021617</c:v>
                </c:pt>
                <c:pt idx="40">
                  <c:v>0.99574812194780715</c:v>
                </c:pt>
                <c:pt idx="41">
                  <c:v>0.93281781658948326</c:v>
                </c:pt>
                <c:pt idx="42">
                  <c:v>0.90428738117332352</c:v>
                </c:pt>
                <c:pt idx="43">
                  <c:v>0.90809971647442222</c:v>
                </c:pt>
                <c:pt idx="44">
                  <c:v>0.96928581100389022</c:v>
                </c:pt>
                <c:pt idx="45">
                  <c:v>1.0895032822607029</c:v>
                </c:pt>
                <c:pt idx="46">
                  <c:v>1.193391382107825</c:v>
                </c:pt>
                <c:pt idx="47">
                  <c:v>1.1739599999999999</c:v>
                </c:pt>
                <c:pt idx="48">
                  <c:v>1.3077688535268936</c:v>
                </c:pt>
                <c:pt idx="49">
                  <c:v>1.0826271923620934</c:v>
                </c:pt>
                <c:pt idx="50">
                  <c:v>1.2186922044478332</c:v>
                </c:pt>
                <c:pt idx="51">
                  <c:v>1.3925935150573927</c:v>
                </c:pt>
                <c:pt idx="52">
                  <c:v>1.453015076990489</c:v>
                </c:pt>
                <c:pt idx="53">
                  <c:v>1.4115243645609854</c:v>
                </c:pt>
                <c:pt idx="54">
                  <c:v>1.3502573273619123</c:v>
                </c:pt>
                <c:pt idx="55">
                  <c:v>1.2154872790700371</c:v>
                </c:pt>
                <c:pt idx="56">
                  <c:v>1.1701024964661184</c:v>
                </c:pt>
                <c:pt idx="57">
                  <c:v>1.3866665872669477</c:v>
                </c:pt>
                <c:pt idx="58">
                  <c:v>1.4487902490421458</c:v>
                </c:pt>
              </c:numCache>
            </c:numRef>
          </c:val>
          <c:smooth val="0"/>
        </c:ser>
        <c:ser>
          <c:idx val="0"/>
          <c:order val="1"/>
          <c:tx>
            <c:v>Prix réel du carburant €2010</c:v>
          </c:tx>
          <c:spPr>
            <a:ln w="25400">
              <a:solidFill>
                <a:srgbClr val="80808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data2018!$CJ$2:$CJ$60</c:f>
              <c:numCache>
                <c:formatCode>0.00</c:formatCode>
                <c:ptCount val="59"/>
                <c:pt idx="0">
                  <c:v>1.4025451308910075</c:v>
                </c:pt>
                <c:pt idx="1">
                  <c:v>1.3574394482672401</c:v>
                </c:pt>
                <c:pt idx="2">
                  <c:v>1.3023109527022905</c:v>
                </c:pt>
                <c:pt idx="3">
                  <c:v>1.2397215210238786</c:v>
                </c:pt>
                <c:pt idx="4">
                  <c:v>1.1866580697819185</c:v>
                </c:pt>
                <c:pt idx="5">
                  <c:v>1.1478099972048321</c:v>
                </c:pt>
                <c:pt idx="6">
                  <c:v>1.1196304843691449</c:v>
                </c:pt>
                <c:pt idx="7">
                  <c:v>1.1015441966715387</c:v>
                </c:pt>
                <c:pt idx="8">
                  <c:v>1.0755052907870768</c:v>
                </c:pt>
                <c:pt idx="9">
                  <c:v>1.0767445375582547</c:v>
                </c:pt>
                <c:pt idx="10">
                  <c:v>1.0495937723230064</c:v>
                </c:pt>
                <c:pt idx="11">
                  <c:v>1.0203990502990481</c:v>
                </c:pt>
                <c:pt idx="12">
                  <c:v>0.97417146895963524</c:v>
                </c:pt>
                <c:pt idx="13">
                  <c:v>0.94800208950435494</c:v>
                </c:pt>
                <c:pt idx="14">
                  <c:v>1.1666380611056231</c:v>
                </c:pt>
                <c:pt idx="15">
                  <c:v>1.0824618049972383</c:v>
                </c:pt>
                <c:pt idx="16">
                  <c:v>1.0705643368593114</c:v>
                </c:pt>
                <c:pt idx="17">
                  <c:v>1.1449769432143333</c:v>
                </c:pt>
                <c:pt idx="18">
                  <c:v>1.1416996125462844</c:v>
                </c:pt>
                <c:pt idx="19">
                  <c:v>1.1778619018679719</c:v>
                </c:pt>
                <c:pt idx="20">
                  <c:v>1.2292430786554274</c:v>
                </c:pt>
                <c:pt idx="21">
                  <c:v>1.1716416122776663</c:v>
                </c:pt>
                <c:pt idx="22">
                  <c:v>1.2150417211198767</c:v>
                </c:pt>
                <c:pt idx="23">
                  <c:v>1.1999410590279125</c:v>
                </c:pt>
                <c:pt idx="24">
                  <c:v>1.1953156274541812</c:v>
                </c:pt>
                <c:pt idx="25">
                  <c:v>1.2363559352377884</c:v>
                </c:pt>
                <c:pt idx="26">
                  <c:v>1.1380412522689518</c:v>
                </c:pt>
                <c:pt idx="27">
                  <c:v>0.97134910508139016</c:v>
                </c:pt>
                <c:pt idx="28">
                  <c:v>0.94751073545449394</c:v>
                </c:pt>
                <c:pt idx="29">
                  <c:v>0.95516473806019442</c:v>
                </c:pt>
                <c:pt idx="30">
                  <c:v>0.94033939712978787</c:v>
                </c:pt>
                <c:pt idx="31">
                  <c:v>0.95076004967958516</c:v>
                </c:pt>
                <c:pt idx="32">
                  <c:v>0.90427011330521545</c:v>
                </c:pt>
                <c:pt idx="33">
                  <c:v>0.91261857552666537</c:v>
                </c:pt>
                <c:pt idx="34">
                  <c:v>0.92572361109016443</c:v>
                </c:pt>
                <c:pt idx="35">
                  <c:v>0.93875021167591144</c:v>
                </c:pt>
                <c:pt idx="36">
                  <c:v>0.98267623332161025</c:v>
                </c:pt>
                <c:pt idx="37">
                  <c:v>1.0018340566465425</c:v>
                </c:pt>
                <c:pt idx="38">
                  <c:v>0.96119705454139215</c:v>
                </c:pt>
                <c:pt idx="39">
                  <c:v>1.0168493569698098</c:v>
                </c:pt>
                <c:pt idx="40">
                  <c:v>1.157900509265323</c:v>
                </c:pt>
                <c:pt idx="41">
                  <c:v>1.0643016413635342</c:v>
                </c:pt>
                <c:pt idx="42">
                  <c:v>1.0210667899386014</c:v>
                </c:pt>
                <c:pt idx="43">
                  <c:v>1.0086858715893079</c:v>
                </c:pt>
                <c:pt idx="44">
                  <c:v>1.0545343694284892</c:v>
                </c:pt>
                <c:pt idx="45">
                  <c:v>1.16419824143091</c:v>
                </c:pt>
                <c:pt idx="46">
                  <c:v>1.2487745326299637</c:v>
                </c:pt>
                <c:pt idx="47">
                  <c:v>1.2028894922895639</c:v>
                </c:pt>
                <c:pt idx="48">
                  <c:v>1.3035193803469625</c:v>
                </c:pt>
                <c:pt idx="49">
                  <c:v>1.0954438858262605</c:v>
                </c:pt>
                <c:pt idx="50">
                  <c:v>1.2186922044478332</c:v>
                </c:pt>
                <c:pt idx="51">
                  <c:v>1.3677416492897969</c:v>
                </c:pt>
                <c:pt idx="52">
                  <c:v>1.407278524930256</c:v>
                </c:pt>
                <c:pt idx="53">
                  <c:v>1.3582928670993615</c:v>
                </c:pt>
                <c:pt idx="54">
                  <c:v>1.2978501387588306</c:v>
                </c:pt>
                <c:pt idx="55">
                  <c:v>1.1651973609705479</c:v>
                </c:pt>
                <c:pt idx="56">
                  <c:v>1.1222497664257256</c:v>
                </c:pt>
                <c:pt idx="57">
                  <c:v>1.3167893185718844</c:v>
                </c:pt>
              </c:numCache>
            </c:numRef>
          </c:val>
          <c:smooth val="0"/>
        </c:ser>
        <c:dLbls>
          <c:showLegendKey val="0"/>
          <c:showVal val="0"/>
          <c:showCatName val="0"/>
          <c:showSerName val="0"/>
          <c:showPercent val="0"/>
          <c:showBubbleSize val="0"/>
        </c:dLbls>
        <c:marker val="1"/>
        <c:smooth val="0"/>
        <c:axId val="299081088"/>
        <c:axId val="300389504"/>
      </c:lineChart>
      <c:lineChart>
        <c:grouping val="standard"/>
        <c:varyColors val="0"/>
        <c:ser>
          <c:idx val="2"/>
          <c:order val="2"/>
          <c:tx>
            <c:v>Prix nominal du coupon</c:v>
          </c:tx>
          <c:spPr>
            <a:ln w="254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data2018!$ER$2:$ER$60</c:f>
              <c:numCache>
                <c:formatCode>General</c:formatCode>
                <c:ptCount val="59"/>
                <c:pt idx="15" formatCode="0.00">
                  <c:v>6.1</c:v>
                </c:pt>
                <c:pt idx="16" formatCode="0.00">
                  <c:v>6.48</c:v>
                </c:pt>
                <c:pt idx="17" formatCode="0.00">
                  <c:v>7.09</c:v>
                </c:pt>
                <c:pt idx="18" formatCode="0.00">
                  <c:v>8.0050000000000008</c:v>
                </c:pt>
                <c:pt idx="19" formatCode="0.00">
                  <c:v>9.68</c:v>
                </c:pt>
                <c:pt idx="20" formatCode="0.00">
                  <c:v>11.815</c:v>
                </c:pt>
                <c:pt idx="21" formatCode="0.00">
                  <c:v>14.1</c:v>
                </c:pt>
                <c:pt idx="22" formatCode="0.00">
                  <c:v>16.004999999999999</c:v>
                </c:pt>
                <c:pt idx="23" formatCode="0.00">
                  <c:v>17.684999999999999</c:v>
                </c:pt>
                <c:pt idx="24" formatCode="0.00">
                  <c:v>19.21</c:v>
                </c:pt>
                <c:pt idx="25" formatCode="0.00">
                  <c:v>20.43</c:v>
                </c:pt>
                <c:pt idx="26" formatCode="0.00">
                  <c:v>22.105</c:v>
                </c:pt>
                <c:pt idx="27" formatCode="0.00">
                  <c:v>23.934999999999999</c:v>
                </c:pt>
                <c:pt idx="28" formatCode="0.00">
                  <c:v>25.31</c:v>
                </c:pt>
                <c:pt idx="29" formatCode="0.00">
                  <c:v>26.145</c:v>
                </c:pt>
                <c:pt idx="30" formatCode="0.00">
                  <c:v>26.905000000000001</c:v>
                </c:pt>
                <c:pt idx="31" formatCode="0.00">
                  <c:v>28.204999999999998</c:v>
                </c:pt>
                <c:pt idx="32" formatCode="0.00">
                  <c:v>29.805</c:v>
                </c:pt>
                <c:pt idx="33" formatCode="0.00">
                  <c:v>31.264166666666664</c:v>
                </c:pt>
                <c:pt idx="34" formatCode="0.00">
                  <c:v>32.549999999999997</c:v>
                </c:pt>
                <c:pt idx="35" formatCode="0.00">
                  <c:v>34.364166666666669</c:v>
                </c:pt>
                <c:pt idx="36" formatCode="0.00">
                  <c:v>36.055</c:v>
                </c:pt>
                <c:pt idx="37" formatCode="0.00">
                  <c:v>38.111666666666672</c:v>
                </c:pt>
                <c:pt idx="38" formatCode="0.00">
                  <c:v>40.090000000000003</c:v>
                </c:pt>
                <c:pt idx="39" formatCode="0.00">
                  <c:v>41.92</c:v>
                </c:pt>
                <c:pt idx="40" formatCode="0.00">
                  <c:v>42.99</c:v>
                </c:pt>
                <c:pt idx="41" formatCode="0.00">
                  <c:v>43.905000000000001</c:v>
                </c:pt>
                <c:pt idx="42" formatCode="0.00">
                  <c:v>45.204999999999998</c:v>
                </c:pt>
                <c:pt idx="43" formatCode="0.00">
                  <c:v>47.325000000000003</c:v>
                </c:pt>
                <c:pt idx="44" formatCode="0.00">
                  <c:v>49.5</c:v>
                </c:pt>
                <c:pt idx="45" formatCode="0.00">
                  <c:v>50.95</c:v>
                </c:pt>
                <c:pt idx="46" formatCode="0.00">
                  <c:v>52</c:v>
                </c:pt>
                <c:pt idx="47" formatCode="0.00">
                  <c:v>53.083333333333336</c:v>
                </c:pt>
                <c:pt idx="48" formatCode="0.00">
                  <c:v>54.433333333333344</c:v>
                </c:pt>
                <c:pt idx="49" formatCode="0.00">
                  <c:v>55.85</c:v>
                </c:pt>
                <c:pt idx="50" formatCode="0.00">
                  <c:v>58.5</c:v>
                </c:pt>
                <c:pt idx="51" formatCode="0.00">
                  <c:v>62</c:v>
                </c:pt>
                <c:pt idx="52" formatCode="0.00">
                  <c:v>62.9</c:v>
                </c:pt>
                <c:pt idx="53" formatCode="0.00">
                  <c:v>65.099999999999994</c:v>
                </c:pt>
                <c:pt idx="54" formatCode="0.00">
                  <c:v>67.099999999999994</c:v>
                </c:pt>
                <c:pt idx="55" formatCode="0.00">
                  <c:v>70</c:v>
                </c:pt>
                <c:pt idx="56" formatCode="0.00">
                  <c:v>73</c:v>
                </c:pt>
                <c:pt idx="57" formatCode="0.00">
                  <c:v>75.2</c:v>
                </c:pt>
                <c:pt idx="58" formatCode="0.00">
                  <c:v>75.2</c:v>
                </c:pt>
              </c:numCache>
            </c:numRef>
          </c:val>
          <c:smooth val="0"/>
        </c:ser>
        <c:ser>
          <c:idx val="3"/>
          <c:order val="3"/>
          <c:tx>
            <c:v>Prix réel du coupon €2010</c:v>
          </c:tx>
          <c:spPr>
            <a:ln w="25400">
              <a:solidFill>
                <a:srgbClr val="FF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data2018!$ET$2:$ET$60</c:f>
              <c:numCache>
                <c:formatCode>General</c:formatCode>
                <c:ptCount val="59"/>
                <c:pt idx="15" formatCode="0.00">
                  <c:v>24.385368778732762</c:v>
                </c:pt>
                <c:pt idx="16" formatCode="0.00">
                  <c:v>23.627215051411071</c:v>
                </c:pt>
                <c:pt idx="17" formatCode="0.00">
                  <c:v>23.645155911288978</c:v>
                </c:pt>
                <c:pt idx="18" formatCode="0.00">
                  <c:v>24.558981438870997</c:v>
                </c:pt>
                <c:pt idx="19" formatCode="0.00">
                  <c:v>26.771392223021184</c:v>
                </c:pt>
                <c:pt idx="20" formatCode="0.00">
                  <c:v>28.900249498556825</c:v>
                </c:pt>
                <c:pt idx="21" formatCode="0.00">
                  <c:v>30.350646834707362</c:v>
                </c:pt>
                <c:pt idx="22" formatCode="0.00">
                  <c:v>30.816181142538078</c:v>
                </c:pt>
                <c:pt idx="23" formatCode="0.00">
                  <c:v>31.080297358570142</c:v>
                </c:pt>
                <c:pt idx="24" formatCode="0.00">
                  <c:v>31.286644951140065</c:v>
                </c:pt>
                <c:pt idx="25" formatCode="0.00">
                  <c:v>31.331953071083507</c:v>
                </c:pt>
                <c:pt idx="26" formatCode="0.00">
                  <c:v>33.009781229000225</c:v>
                </c:pt>
                <c:pt idx="27" formatCode="0.00">
                  <c:v>34.701984834645444</c:v>
                </c:pt>
                <c:pt idx="28" formatCode="0.00">
                  <c:v>35.733950782871425</c:v>
                </c:pt>
                <c:pt idx="29" formatCode="0.00">
                  <c:v>35.549663471344076</c:v>
                </c:pt>
                <c:pt idx="30" formatCode="0.00">
                  <c:v>35.56181186142723</c:v>
                </c:pt>
                <c:pt idx="31" formatCode="0.00">
                  <c:v>36.28866244660594</c:v>
                </c:pt>
                <c:pt idx="32" formatCode="0.00">
                  <c:v>37.385229040188648</c:v>
                </c:pt>
                <c:pt idx="33" formatCode="0.00">
                  <c:v>38.635418082656741</c:v>
                </c:pt>
                <c:pt idx="34" formatCode="0.00">
                  <c:v>39.854540111666175</c:v>
                </c:pt>
                <c:pt idx="35" formatCode="0.00">
                  <c:v>41.69295414654664</c:v>
                </c:pt>
                <c:pt idx="36" formatCode="0.00">
                  <c:v>43.075948913394107</c:v>
                </c:pt>
                <c:pt idx="37" formatCode="0.00">
                  <c:v>45.184377235309697</c:v>
                </c:pt>
                <c:pt idx="38" formatCode="0.00">
                  <c:v>47.437050359712238</c:v>
                </c:pt>
                <c:pt idx="39" formatCode="0.00">
                  <c:v>49.857278782112274</c:v>
                </c:pt>
                <c:pt idx="40" formatCode="0.00">
                  <c:v>49.990697241732178</c:v>
                </c:pt>
                <c:pt idx="41" formatCode="0.00">
                  <c:v>50.093558177212877</c:v>
                </c:pt>
                <c:pt idx="42" formatCode="0.00">
                  <c:v>51.042760520759231</c:v>
                </c:pt>
                <c:pt idx="43" formatCode="0.00">
                  <c:v>52.566979162038471</c:v>
                </c:pt>
                <c:pt idx="44" formatCode="0.00">
                  <c:v>53.853518429870753</c:v>
                </c:pt>
                <c:pt idx="45" formatCode="0.00">
                  <c:v>54.443067190972812</c:v>
                </c:pt>
                <c:pt idx="46" formatCode="0.00">
                  <c:v>54.413226599696543</c:v>
                </c:pt>
                <c:pt idx="47" formatCode="0.00">
                  <c:v>54.391447649298982</c:v>
                </c:pt>
                <c:pt idx="48" formatCode="0.00">
                  <c:v>54.256457282592102</c:v>
                </c:pt>
                <c:pt idx="49" formatCode="0.00">
                  <c:v>56.511180815541842</c:v>
                </c:pt>
                <c:pt idx="50" formatCode="0.00">
                  <c:v>58.5</c:v>
                </c:pt>
                <c:pt idx="51" formatCode="0.00">
                  <c:v>60.893563943152913</c:v>
                </c:pt>
                <c:pt idx="52" formatCode="0.00">
                  <c:v>60.92009685230024</c:v>
                </c:pt>
                <c:pt idx="53" formatCode="0.00">
                  <c:v>62.644944620329291</c:v>
                </c:pt>
                <c:pt idx="54" formatCode="0.00">
                  <c:v>64.49566504546415</c:v>
                </c:pt>
                <c:pt idx="55" formatCode="0.00">
                  <c:v>67.103799992330991</c:v>
                </c:pt>
                <c:pt idx="56" formatCode="0.00">
                  <c:v>70.01457837796363</c:v>
                </c:pt>
                <c:pt idx="57" formatCode="0.00">
                  <c:v>71.41050174993714</c:v>
                </c:pt>
              </c:numCache>
            </c:numRef>
          </c:val>
          <c:smooth val="0"/>
        </c:ser>
        <c:dLbls>
          <c:showLegendKey val="0"/>
          <c:showVal val="0"/>
          <c:showCatName val="0"/>
          <c:showSerName val="0"/>
          <c:showPercent val="0"/>
          <c:showBubbleSize val="0"/>
        </c:dLbls>
        <c:marker val="1"/>
        <c:smooth val="0"/>
        <c:axId val="301045632"/>
        <c:axId val="301047168"/>
      </c:lineChart>
      <c:catAx>
        <c:axId val="2990810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fr-FR"/>
          </a:p>
        </c:txPr>
        <c:crossAx val="300389504"/>
        <c:crosses val="autoZero"/>
        <c:auto val="0"/>
        <c:lblAlgn val="ctr"/>
        <c:lblOffset val="100"/>
        <c:tickLblSkip val="2"/>
        <c:tickMarkSkip val="2"/>
        <c:noMultiLvlLbl val="0"/>
      </c:catAx>
      <c:valAx>
        <c:axId val="300389504"/>
        <c:scaling>
          <c:orientation val="minMax"/>
          <c:max val="1.5"/>
          <c:min val="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Arial"/>
                    <a:ea typeface="Arial"/>
                    <a:cs typeface="Arial"/>
                  </a:defRPr>
                </a:pPr>
                <a:r>
                  <a:rPr lang="fr-FR"/>
                  <a:t>Prix du carburant
€/litre</a:t>
                </a:r>
              </a:p>
            </c:rich>
          </c:tx>
          <c:layout>
            <c:manualLayout>
              <c:xMode val="edge"/>
              <c:yMode val="edge"/>
              <c:x val="0"/>
              <c:y val="6.7566933559949187E-3"/>
            </c:manualLayout>
          </c:layout>
          <c:overlay val="0"/>
          <c:spPr>
            <a:noFill/>
            <a:ln w="25400">
              <a:noFill/>
            </a:ln>
          </c:sp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299081088"/>
        <c:crosses val="autoZero"/>
        <c:crossBetween val="between"/>
        <c:majorUnit val="0.1"/>
      </c:valAx>
      <c:catAx>
        <c:axId val="301045632"/>
        <c:scaling>
          <c:orientation val="minMax"/>
        </c:scaling>
        <c:delete val="1"/>
        <c:axPos val="b"/>
        <c:numFmt formatCode="General" sourceLinked="1"/>
        <c:majorTickMark val="out"/>
        <c:minorTickMark val="none"/>
        <c:tickLblPos val="nextTo"/>
        <c:crossAx val="301047168"/>
        <c:crosses val="autoZero"/>
        <c:auto val="0"/>
        <c:lblAlgn val="ctr"/>
        <c:lblOffset val="100"/>
        <c:noMultiLvlLbl val="0"/>
      </c:catAx>
      <c:valAx>
        <c:axId val="301047168"/>
        <c:scaling>
          <c:orientation val="minMax"/>
          <c:min val="0"/>
        </c:scaling>
        <c:delete val="0"/>
        <c:axPos val="r"/>
        <c:title>
          <c:tx>
            <c:rich>
              <a:bodyPr rot="0" vert="horz"/>
              <a:lstStyle/>
              <a:p>
                <a:pPr algn="ctr">
                  <a:defRPr sz="1000" b="0" i="0" u="none" strike="noStrike" baseline="0">
                    <a:solidFill>
                      <a:srgbClr val="000000"/>
                    </a:solidFill>
                    <a:latin typeface="Arial"/>
                    <a:ea typeface="Arial"/>
                    <a:cs typeface="Arial"/>
                  </a:defRPr>
                </a:pPr>
                <a:r>
                  <a:rPr lang="fr-FR"/>
                  <a:t>Navigo €/mois</a:t>
                </a:r>
              </a:p>
            </c:rich>
          </c:tx>
          <c:layout>
            <c:manualLayout>
              <c:xMode val="edge"/>
              <c:yMode val="edge"/>
              <c:x val="0.88566767221861886"/>
              <c:y val="2.5239025883995316E-2"/>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01045632"/>
        <c:crosses val="max"/>
        <c:crossBetween val="between"/>
        <c:majorUnit val="4"/>
      </c:valAx>
      <c:spPr>
        <a:noFill/>
        <a:ln w="12700">
          <a:solidFill>
            <a:srgbClr val="808080"/>
          </a:solidFill>
          <a:prstDash val="solid"/>
        </a:ln>
      </c:spPr>
    </c:plotArea>
    <c:legend>
      <c:legendPos val="r"/>
      <c:layout>
        <c:manualLayout>
          <c:xMode val="edge"/>
          <c:yMode val="edge"/>
          <c:x val="0.59093882158985023"/>
          <c:y val="1.6863263297809332E-3"/>
          <c:w val="0.27604166666666663"/>
          <c:h val="8.7680482708701893E-2"/>
        </c:manualLayout>
      </c:layout>
      <c:overlay val="0"/>
      <c:spPr>
        <a:no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fr-FR"/>
              <a:t>Evolution du temps de travail au SMIC pour obtenir 
un litre de carburant ou 100 kilomètres</a:t>
            </a:r>
          </a:p>
        </c:rich>
      </c:tx>
      <c:layout>
        <c:manualLayout>
          <c:xMode val="edge"/>
          <c:yMode val="edge"/>
          <c:x val="0.20266885389326333"/>
          <c:y val="0"/>
        </c:manualLayout>
      </c:layout>
      <c:overlay val="0"/>
      <c:spPr>
        <a:noFill/>
        <a:ln w="25400">
          <a:noFill/>
        </a:ln>
      </c:spPr>
    </c:title>
    <c:autoTitleDeleted val="0"/>
    <c:plotArea>
      <c:layout>
        <c:manualLayout>
          <c:layoutTarget val="inner"/>
          <c:xMode val="edge"/>
          <c:yMode val="edge"/>
          <c:x val="2.8356964136780644E-2"/>
          <c:y val="0.11216216216216215"/>
          <c:w val="0.95079232693911586"/>
          <c:h val="0.83378378378378371"/>
        </c:manualLayout>
      </c:layout>
      <c:lineChart>
        <c:grouping val="standard"/>
        <c:varyColors val="0"/>
        <c:ser>
          <c:idx val="1"/>
          <c:order val="0"/>
          <c:tx>
            <c:v>Minutes de SMIC pour un litre (gauche)</c:v>
          </c:tx>
          <c:spPr>
            <a:ln w="254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data2018!$FA$2:$FA$60</c:f>
              <c:numCache>
                <c:formatCode>0</c:formatCode>
                <c:ptCount val="59"/>
                <c:pt idx="0">
                  <c:v>25.65282785365731</c:v>
                </c:pt>
                <c:pt idx="1">
                  <c:v>25.074142952429529</c:v>
                </c:pt>
                <c:pt idx="2">
                  <c:v>23.901008205968079</c:v>
                </c:pt>
                <c:pt idx="3">
                  <c:v>22.296958805589504</c:v>
                </c:pt>
                <c:pt idx="4">
                  <c:v>21.46497307544541</c:v>
                </c:pt>
                <c:pt idx="5">
                  <c:v>20.438437179143104</c:v>
                </c:pt>
                <c:pt idx="6">
                  <c:v>19.73157922580349</c:v>
                </c:pt>
                <c:pt idx="7">
                  <c:v>19.142034853330212</c:v>
                </c:pt>
                <c:pt idx="8">
                  <c:v>15.738898101134035</c:v>
                </c:pt>
                <c:pt idx="9">
                  <c:v>14.309497332867696</c:v>
                </c:pt>
                <c:pt idx="10">
                  <c:v>13.849406307943278</c:v>
                </c:pt>
                <c:pt idx="11">
                  <c:v>13.313377798736896</c:v>
                </c:pt>
                <c:pt idx="12">
                  <c:v>12.739462366957072</c:v>
                </c:pt>
                <c:pt idx="13">
                  <c:v>12.388293004922529</c:v>
                </c:pt>
                <c:pt idx="14">
                  <c:v>15.517181753131247</c:v>
                </c:pt>
                <c:pt idx="15">
                  <c:v>14.271682340421558</c:v>
                </c:pt>
                <c:pt idx="16">
                  <c:v>14.094623863605079</c:v>
                </c:pt>
                <c:pt idx="17">
                  <c:v>15.026833962469112</c:v>
                </c:pt>
                <c:pt idx="18">
                  <c:v>14.908437656271778</c:v>
                </c:pt>
                <c:pt idx="19">
                  <c:v>15.495014984355803</c:v>
                </c:pt>
                <c:pt idx="20">
                  <c:v>16.105657621596066</c:v>
                </c:pt>
                <c:pt idx="21">
                  <c:v>15.103225830874191</c:v>
                </c:pt>
                <c:pt idx="22">
                  <c:v>14.772671574518546</c:v>
                </c:pt>
                <c:pt idx="23">
                  <c:v>14.379638070472437</c:v>
                </c:pt>
                <c:pt idx="24">
                  <c:v>14.315323239751397</c:v>
                </c:pt>
                <c:pt idx="25">
                  <c:v>14.564037682652662</c:v>
                </c:pt>
                <c:pt idx="26">
                  <c:v>13.243637125601039</c:v>
                </c:pt>
                <c:pt idx="27">
                  <c:v>11.303882406154518</c:v>
                </c:pt>
                <c:pt idx="28">
                  <c:v>11.043617861874401</c:v>
                </c:pt>
                <c:pt idx="29">
                  <c:v>11.201609001877785</c:v>
                </c:pt>
                <c:pt idx="30">
                  <c:v>10.882075856503173</c:v>
                </c:pt>
                <c:pt idx="31">
                  <c:v>10.740385585044711</c:v>
                </c:pt>
                <c:pt idx="32">
                  <c:v>10.131664746492492</c:v>
                </c:pt>
                <c:pt idx="33">
                  <c:v>10.161621633113901</c:v>
                </c:pt>
                <c:pt idx="34">
                  <c:v>10.185085507668424</c:v>
                </c:pt>
                <c:pt idx="35">
                  <c:v>10.125584766728085</c:v>
                </c:pt>
                <c:pt idx="36">
                  <c:v>10.416240085839172</c:v>
                </c:pt>
                <c:pt idx="37">
                  <c:v>10.290752627578728</c:v>
                </c:pt>
                <c:pt idx="38">
                  <c:v>9.1859460182286323</c:v>
                </c:pt>
                <c:pt idx="39">
                  <c:v>9.5035515803405417</c:v>
                </c:pt>
                <c:pt idx="40">
                  <c:v>10.804247047116423</c:v>
                </c:pt>
                <c:pt idx="41">
                  <c:v>9.7632617718905426</c:v>
                </c:pt>
                <c:pt idx="42">
                  <c:v>9.1886546362143164</c:v>
                </c:pt>
                <c:pt idx="43">
                  <c:v>8.9089901499836621</c:v>
                </c:pt>
                <c:pt idx="44">
                  <c:v>9.0088109523587061</c:v>
                </c:pt>
                <c:pt idx="45">
                  <c:v>9.6040229051461825</c:v>
                </c:pt>
                <c:pt idx="46">
                  <c:v>11.015920450226076</c:v>
                </c:pt>
                <c:pt idx="47">
                  <c:v>10.624072398190044</c:v>
                </c:pt>
                <c:pt idx="48">
                  <c:v>11.471656609885031</c:v>
                </c:pt>
                <c:pt idx="49">
                  <c:v>9.3869409742378043</c:v>
                </c:pt>
                <c:pt idx="50">
                  <c:v>10.5059672797227</c:v>
                </c:pt>
                <c:pt idx="51">
                  <c:v>11.556792656077947</c:v>
                </c:pt>
                <c:pt idx="52">
                  <c:v>11.829159378484306</c:v>
                </c:pt>
                <c:pt idx="53">
                  <c:v>11.475807841959231</c:v>
                </c:pt>
                <c:pt idx="54">
                  <c:v>10.874555656606004</c:v>
                </c:pt>
                <c:pt idx="55">
                  <c:v>9.7891592945237882</c:v>
                </c:pt>
                <c:pt idx="56">
                  <c:v>9.3235258682559241</c:v>
                </c:pt>
                <c:pt idx="57">
                  <c:v>11.049136153521495</c:v>
                </c:pt>
                <c:pt idx="58">
                  <c:v>11.333430892115873</c:v>
                </c:pt>
              </c:numCache>
            </c:numRef>
          </c:val>
          <c:smooth val="0"/>
        </c:ser>
        <c:dLbls>
          <c:showLegendKey val="0"/>
          <c:showVal val="0"/>
          <c:showCatName val="0"/>
          <c:showSerName val="0"/>
          <c:showPercent val="0"/>
          <c:showBubbleSize val="0"/>
        </c:dLbls>
        <c:marker val="1"/>
        <c:smooth val="0"/>
        <c:axId val="304151936"/>
        <c:axId val="305247744"/>
      </c:lineChart>
      <c:lineChart>
        <c:grouping val="standard"/>
        <c:varyColors val="0"/>
        <c:ser>
          <c:idx val="0"/>
          <c:order val="1"/>
          <c:tx>
            <c:v>Heures de SMIC pour 100 km (droite)</c:v>
          </c:tx>
          <c:spPr>
            <a:ln w="254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data2018!$FB$2:$FB$60</c:f>
              <c:numCache>
                <c:formatCode>0.00</c:formatCode>
                <c:ptCount val="59"/>
                <c:pt idx="0">
                  <c:v>4.2777274732578361</c:v>
                </c:pt>
                <c:pt idx="1">
                  <c:v>4.2749051284521391</c:v>
                </c:pt>
                <c:pt idx="2">
                  <c:v>4.0127190805290871</c:v>
                </c:pt>
                <c:pt idx="3">
                  <c:v>3.6079998373032769</c:v>
                </c:pt>
                <c:pt idx="4">
                  <c:v>3.4737511657053082</c:v>
                </c:pt>
                <c:pt idx="5">
                  <c:v>3.2329251898395004</c:v>
                </c:pt>
                <c:pt idx="6">
                  <c:v>3.0949244461040024</c:v>
                </c:pt>
                <c:pt idx="7">
                  <c:v>2.9462377857899416</c:v>
                </c:pt>
                <c:pt idx="8">
                  <c:v>2.4262119321714124</c:v>
                </c:pt>
                <c:pt idx="9">
                  <c:v>2.1710431789204065</c:v>
                </c:pt>
                <c:pt idx="10">
                  <c:v>2.0962810978083346</c:v>
                </c:pt>
                <c:pt idx="11">
                  <c:v>2.0815301471060801</c:v>
                </c:pt>
                <c:pt idx="12">
                  <c:v>2.046719259283369</c:v>
                </c:pt>
                <c:pt idx="13">
                  <c:v>1.9629401788303786</c:v>
                </c:pt>
                <c:pt idx="14">
                  <c:v>2.2386345136908852</c:v>
                </c:pt>
                <c:pt idx="15">
                  <c:v>2.0655107790964244</c:v>
                </c:pt>
                <c:pt idx="16">
                  <c:v>2.1382316884116532</c:v>
                </c:pt>
                <c:pt idx="17">
                  <c:v>2.2692557856804392</c:v>
                </c:pt>
                <c:pt idx="18">
                  <c:v>2.2839669999313852</c:v>
                </c:pt>
                <c:pt idx="19">
                  <c:v>2.3471837493782339</c:v>
                </c:pt>
                <c:pt idx="20">
                  <c:v>2.3250651140932836</c:v>
                </c:pt>
                <c:pt idx="21">
                  <c:v>2.1401508387249106</c:v>
                </c:pt>
                <c:pt idx="22">
                  <c:v>2.1711061263491578</c:v>
                </c:pt>
                <c:pt idx="23">
                  <c:v>2.1086049596025851</c:v>
                </c:pt>
                <c:pt idx="24">
                  <c:v>2.0588677483599849</c:v>
                </c:pt>
                <c:pt idx="25">
                  <c:v>2.0752487934115997</c:v>
                </c:pt>
                <c:pt idx="26">
                  <c:v>1.9082657804328289</c:v>
                </c:pt>
                <c:pt idx="27">
                  <c:v>1.6277358225507725</c:v>
                </c:pt>
                <c:pt idx="28">
                  <c:v>1.5804709991834585</c:v>
                </c:pt>
                <c:pt idx="29">
                  <c:v>1.7029702600991554</c:v>
                </c:pt>
                <c:pt idx="30">
                  <c:v>1.4890852633989784</c:v>
                </c:pt>
                <c:pt idx="31">
                  <c:v>1.4495470116871687</c:v>
                </c:pt>
                <c:pt idx="32">
                  <c:v>1.3545319126415141</c:v>
                </c:pt>
                <c:pt idx="33">
                  <c:v>1.3523399962092577</c:v>
                </c:pt>
                <c:pt idx="34">
                  <c:v>1.3207524809513478</c:v>
                </c:pt>
                <c:pt idx="35">
                  <c:v>1.3123823000302928</c:v>
                </c:pt>
                <c:pt idx="36">
                  <c:v>1.3349659457896377</c:v>
                </c:pt>
                <c:pt idx="37">
                  <c:v>1.3113856514535451</c:v>
                </c:pt>
                <c:pt idx="38">
                  <c:v>1.1660203605566124</c:v>
                </c:pt>
                <c:pt idx="39">
                  <c:v>1.1964660793498672</c:v>
                </c:pt>
                <c:pt idx="40">
                  <c:v>1.3429811719821712</c:v>
                </c:pt>
                <c:pt idx="41">
                  <c:v>1.2007471781466112</c:v>
                </c:pt>
                <c:pt idx="42">
                  <c:v>1.1200358630729865</c:v>
                </c:pt>
                <c:pt idx="43">
                  <c:v>1.0710458070858313</c:v>
                </c:pt>
                <c:pt idx="44">
                  <c:v>1.0684843881149</c:v>
                </c:pt>
                <c:pt idx="45">
                  <c:v>1.1312531481664749</c:v>
                </c:pt>
                <c:pt idx="46">
                  <c:v>1.2839991657358296</c:v>
                </c:pt>
                <c:pt idx="47">
                  <c:v>1.2357503027332617</c:v>
                </c:pt>
                <c:pt idx="48">
                  <c:v>1.3348984584836252</c:v>
                </c:pt>
                <c:pt idx="49">
                  <c:v>1.0866921311638069</c:v>
                </c:pt>
                <c:pt idx="50">
                  <c:v>1.2129513904603</c:v>
                </c:pt>
                <c:pt idx="51">
                  <c:v>1.3059326728503713</c:v>
                </c:pt>
                <c:pt idx="52">
                  <c:v>1.3197285357949617</c:v>
                </c:pt>
                <c:pt idx="53">
                  <c:v>1.2490360990803431</c:v>
                </c:pt>
                <c:pt idx="54">
                  <c:v>1.1771304397252564</c:v>
                </c:pt>
                <c:pt idx="55">
                  <c:v>1.055556055679947</c:v>
                </c:pt>
                <c:pt idx="56">
                  <c:v>0.987862307033052</c:v>
                </c:pt>
                <c:pt idx="57">
                  <c:v>1.1776096117665678</c:v>
                </c:pt>
                <c:pt idx="58">
                  <c:v>1.2070103900103404</c:v>
                </c:pt>
              </c:numCache>
            </c:numRef>
          </c:val>
          <c:smooth val="0"/>
        </c:ser>
        <c:dLbls>
          <c:showLegendKey val="0"/>
          <c:showVal val="0"/>
          <c:showCatName val="0"/>
          <c:showSerName val="0"/>
          <c:showPercent val="0"/>
          <c:showBubbleSize val="0"/>
        </c:dLbls>
        <c:marker val="1"/>
        <c:smooth val="0"/>
        <c:axId val="305249664"/>
        <c:axId val="307131520"/>
      </c:lineChart>
      <c:catAx>
        <c:axId val="304151936"/>
        <c:scaling>
          <c:orientation val="minMax"/>
        </c:scaling>
        <c:delete val="0"/>
        <c:axPos val="b"/>
        <c:majorGridlines>
          <c:spPr>
            <a:ln w="3175">
              <a:solidFill>
                <a:srgbClr val="808080"/>
              </a:solidFill>
              <a:prstDash val="sysDash"/>
            </a:ln>
          </c:spPr>
        </c:majorGridlines>
        <c:numFmt formatCode="General" sourceLinked="1"/>
        <c:majorTickMark val="cross"/>
        <c:minorTickMark val="none"/>
        <c:tickLblPos val="low"/>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05247744"/>
        <c:crosses val="autoZero"/>
        <c:auto val="0"/>
        <c:lblAlgn val="ctr"/>
        <c:lblOffset val="100"/>
        <c:tickLblSkip val="5"/>
        <c:tickMarkSkip val="5"/>
        <c:noMultiLvlLbl val="0"/>
      </c:catAx>
      <c:valAx>
        <c:axId val="305247744"/>
        <c:scaling>
          <c:orientation val="minMax"/>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Arial"/>
                    <a:ea typeface="Arial"/>
                    <a:cs typeface="Arial"/>
                  </a:defRPr>
                </a:pPr>
                <a:r>
                  <a:rPr lang="fr-FR"/>
                  <a:t>Minutes</a:t>
                </a:r>
              </a:p>
            </c:rich>
          </c:tx>
          <c:layout>
            <c:manualLayout>
              <c:xMode val="edge"/>
              <c:yMode val="edge"/>
              <c:x val="4.1701662292213471E-3"/>
              <c:y val="4.594601054294857E-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04151936"/>
        <c:crosses val="autoZero"/>
        <c:crossBetween val="between"/>
      </c:valAx>
      <c:catAx>
        <c:axId val="305249664"/>
        <c:scaling>
          <c:orientation val="minMax"/>
        </c:scaling>
        <c:delete val="1"/>
        <c:axPos val="b"/>
        <c:numFmt formatCode="General" sourceLinked="1"/>
        <c:majorTickMark val="out"/>
        <c:minorTickMark val="none"/>
        <c:tickLblPos val="nextTo"/>
        <c:crossAx val="307131520"/>
        <c:crosses val="autoZero"/>
        <c:auto val="0"/>
        <c:lblAlgn val="ctr"/>
        <c:lblOffset val="100"/>
        <c:noMultiLvlLbl val="0"/>
      </c:catAx>
      <c:valAx>
        <c:axId val="307131520"/>
        <c:scaling>
          <c:orientation val="minMax"/>
          <c:max val="8"/>
          <c:min val="0"/>
        </c:scaling>
        <c:delete val="0"/>
        <c:axPos val="r"/>
        <c:title>
          <c:tx>
            <c:rich>
              <a:bodyPr rot="0" vert="horz"/>
              <a:lstStyle/>
              <a:p>
                <a:pPr algn="ctr">
                  <a:defRPr sz="1000" b="0" i="0" u="none" strike="noStrike" baseline="0">
                    <a:solidFill>
                      <a:srgbClr val="000000"/>
                    </a:solidFill>
                    <a:latin typeface="Arial"/>
                    <a:ea typeface="Arial"/>
                    <a:cs typeface="Arial"/>
                  </a:defRPr>
                </a:pPr>
                <a:r>
                  <a:rPr lang="fr-FR"/>
                  <a:t>Heures</a:t>
                </a:r>
              </a:p>
            </c:rich>
          </c:tx>
          <c:layout>
            <c:manualLayout>
              <c:xMode val="edge"/>
              <c:yMode val="edge"/>
              <c:x val="0.94685848643919512"/>
              <c:y val="4.1891888303169526E-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305249664"/>
        <c:crosses val="max"/>
        <c:crossBetween val="between"/>
      </c:valAx>
      <c:spPr>
        <a:noFill/>
        <a:ln w="12700">
          <a:solidFill>
            <a:srgbClr val="808080"/>
          </a:solidFill>
          <a:prstDash val="solid"/>
        </a:ln>
      </c:spPr>
    </c:plotArea>
    <c:legend>
      <c:legendPos val="r"/>
      <c:layout>
        <c:manualLayout>
          <c:xMode val="edge"/>
          <c:yMode val="edge"/>
          <c:x val="0.61145833333333333"/>
          <c:y val="0"/>
          <c:w val="0.31145833333333328"/>
          <c:h val="6.0708263069139963E-2"/>
        </c:manualLayout>
      </c:layout>
      <c:overlay val="0"/>
      <c:spPr>
        <a:no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DejaVu Serif"/>
                <a:ea typeface="DejaVu Serif"/>
                <a:cs typeface="DejaVu Serif"/>
              </a:defRPr>
            </a:pPr>
            <a:r>
              <a:rPr lang="fr-FR"/>
              <a:t>Indices de prix réels du logement ancien, 
du carburant et de leur prix relatif</a:t>
            </a:r>
          </a:p>
        </c:rich>
      </c:tx>
      <c:layout>
        <c:manualLayout>
          <c:xMode val="edge"/>
          <c:yMode val="edge"/>
          <c:x val="0.29691404199475063"/>
          <c:y val="0"/>
        </c:manualLayout>
      </c:layout>
      <c:overlay val="0"/>
      <c:spPr>
        <a:noFill/>
        <a:ln w="25400">
          <a:noFill/>
        </a:ln>
      </c:spPr>
    </c:title>
    <c:autoTitleDeleted val="0"/>
    <c:plotArea>
      <c:layout>
        <c:manualLayout>
          <c:layoutTarget val="inner"/>
          <c:xMode val="edge"/>
          <c:yMode val="edge"/>
          <c:x val="4.0867389491242696E-2"/>
          <c:y val="0.11216216216216215"/>
          <c:w val="0.9591326105087572"/>
          <c:h val="0.83648648648648638"/>
        </c:manualLayout>
      </c:layout>
      <c:lineChart>
        <c:grouping val="standard"/>
        <c:varyColors val="0"/>
        <c:ser>
          <c:idx val="0"/>
          <c:order val="0"/>
          <c:tx>
            <c:v>Prix relatif logement/carburant</c:v>
          </c:tx>
          <c:spPr>
            <a:ln w="38100">
              <a:solidFill>
                <a:srgbClr val="FF66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data2018!$CX$2:$CX$60</c:f>
              <c:numCache>
                <c:formatCode>0.00</c:formatCode>
                <c:ptCount val="59"/>
                <c:pt idx="0">
                  <c:v>11.226588710346009</c:v>
                </c:pt>
                <c:pt idx="1">
                  <c:v>11.190467874848268</c:v>
                </c:pt>
                <c:pt idx="2">
                  <c:v>13.171384477895533</c:v>
                </c:pt>
                <c:pt idx="3">
                  <c:v>15.825986840697379</c:v>
                </c:pt>
                <c:pt idx="4">
                  <c:v>20.59170453139529</c:v>
                </c:pt>
                <c:pt idx="5">
                  <c:v>26.855522178560769</c:v>
                </c:pt>
                <c:pt idx="6">
                  <c:v>33.975484529434794</c:v>
                </c:pt>
                <c:pt idx="7">
                  <c:v>37.362395447755723</c:v>
                </c:pt>
                <c:pt idx="8">
                  <c:v>39.255334633736211</c:v>
                </c:pt>
                <c:pt idx="9">
                  <c:v>39.509778151246309</c:v>
                </c:pt>
                <c:pt idx="10">
                  <c:v>43.685236482715446</c:v>
                </c:pt>
                <c:pt idx="11">
                  <c:v>43.617181564411673</c:v>
                </c:pt>
                <c:pt idx="12">
                  <c:v>46.284437649986359</c:v>
                </c:pt>
                <c:pt idx="13">
                  <c:v>49.037752314226985</c:v>
                </c:pt>
                <c:pt idx="14">
                  <c:v>39.381293183939107</c:v>
                </c:pt>
                <c:pt idx="15">
                  <c:v>44.277238218597319</c:v>
                </c:pt>
                <c:pt idx="16">
                  <c:v>46.415172085139538</c:v>
                </c:pt>
                <c:pt idx="17">
                  <c:v>47.124724533422963</c:v>
                </c:pt>
                <c:pt idx="18">
                  <c:v>50.402355392300542</c:v>
                </c:pt>
                <c:pt idx="19">
                  <c:v>49.512368739636187</c:v>
                </c:pt>
                <c:pt idx="20">
                  <c:v>48.797925662699974</c:v>
                </c:pt>
                <c:pt idx="21">
                  <c:v>53.24499755707145</c:v>
                </c:pt>
                <c:pt idx="22">
                  <c:v>52.63210760615241</c:v>
                </c:pt>
                <c:pt idx="23">
                  <c:v>51.927842256643984</c:v>
                </c:pt>
                <c:pt idx="24">
                  <c:v>50.539913271031097</c:v>
                </c:pt>
                <c:pt idx="25">
                  <c:v>47.419313866529706</c:v>
                </c:pt>
                <c:pt idx="26">
                  <c:v>55.991113452966886</c:v>
                </c:pt>
                <c:pt idx="27">
                  <c:v>58.16922797231237</c:v>
                </c:pt>
                <c:pt idx="28">
                  <c:v>62.028805844315549</c:v>
                </c:pt>
                <c:pt idx="29">
                  <c:v>65.292703199824984</c:v>
                </c:pt>
                <c:pt idx="30">
                  <c:v>71.560978341119934</c:v>
                </c:pt>
                <c:pt idx="31">
                  <c:v>77.959041701809284</c:v>
                </c:pt>
                <c:pt idx="32">
                  <c:v>83.801087232865498</c:v>
                </c:pt>
                <c:pt idx="33">
                  <c:v>78.851308866031744</c:v>
                </c:pt>
                <c:pt idx="34">
                  <c:v>74.709091617043171</c:v>
                </c:pt>
                <c:pt idx="35">
                  <c:v>71.847343170576536</c:v>
                </c:pt>
                <c:pt idx="36">
                  <c:v>66.481591247383591</c:v>
                </c:pt>
                <c:pt idx="37">
                  <c:v>63.878789134390601</c:v>
                </c:pt>
                <c:pt idx="38">
                  <c:v>67.231472932485204</c:v>
                </c:pt>
                <c:pt idx="39">
                  <c:v>68.983378276598984</c:v>
                </c:pt>
                <c:pt idx="40">
                  <c:v>63.891825698797859</c:v>
                </c:pt>
                <c:pt idx="41">
                  <c:v>72.345957039112292</c:v>
                </c:pt>
                <c:pt idx="42">
                  <c:v>80.758368100321931</c:v>
                </c:pt>
                <c:pt idx="43">
                  <c:v>88.256320867744122</c:v>
                </c:pt>
                <c:pt idx="44">
                  <c:v>94.464650157552555</c:v>
                </c:pt>
                <c:pt idx="45">
                  <c:v>96.888025949810853</c:v>
                </c:pt>
                <c:pt idx="46">
                  <c:v>102.67086344556546</c:v>
                </c:pt>
                <c:pt idx="47">
                  <c:v>107.35032583785983</c:v>
                </c:pt>
                <c:pt idx="48">
                  <c:v>96.301215480819081</c:v>
                </c:pt>
                <c:pt idx="49">
                  <c:v>107.13487818671852</c:v>
                </c:pt>
                <c:pt idx="50">
                  <c:v>100</c:v>
                </c:pt>
                <c:pt idx="51">
                  <c:v>92.960960466030713</c:v>
                </c:pt>
                <c:pt idx="52">
                  <c:v>88.105897714263975</c:v>
                </c:pt>
                <c:pt idx="53">
                  <c:v>88.35177630108231</c:v>
                </c:pt>
                <c:pt idx="54">
                  <c:v>90.267164123736279</c:v>
                </c:pt>
                <c:pt idx="55">
                  <c:v>97.937181475362777</c:v>
                </c:pt>
                <c:pt idx="56">
                  <c:v>103.4581457781036</c:v>
                </c:pt>
              </c:numCache>
            </c:numRef>
          </c:val>
          <c:smooth val="0"/>
        </c:ser>
        <c:ser>
          <c:idx val="1"/>
          <c:order val="1"/>
          <c:tx>
            <c:v>Prix réel du logement ancien</c:v>
          </c:tx>
          <c:spPr>
            <a:ln w="25400">
              <a:solidFill>
                <a:srgbClr val="0000FF"/>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data2018!$CU$2:$CU$60</c:f>
              <c:numCache>
                <c:formatCode>0.0</c:formatCode>
                <c:ptCount val="59"/>
                <c:pt idx="0">
                  <c:v>9.895388947702191</c:v>
                </c:pt>
                <c:pt idx="1">
                  <c:v>9.6087833503398148</c:v>
                </c:pt>
                <c:pt idx="2">
                  <c:v>10.836559571301059</c:v>
                </c:pt>
                <c:pt idx="3">
                  <c:v>12.437837367057128</c:v>
                </c:pt>
                <c:pt idx="4">
                  <c:v>15.675374128279996</c:v>
                </c:pt>
                <c:pt idx="5">
                  <c:v>19.78697527988999</c:v>
                </c:pt>
                <c:pt idx="6">
                  <c:v>24.330879941434453</c:v>
                </c:pt>
                <c:pt idx="7">
                  <c:v>26.298064707256639</c:v>
                </c:pt>
                <c:pt idx="8">
                  <c:v>26.5651024371336</c:v>
                </c:pt>
                <c:pt idx="9">
                  <c:v>26.828725449459906</c:v>
                </c:pt>
                <c:pt idx="10">
                  <c:v>28.53028094475798</c:v>
                </c:pt>
                <c:pt idx="11">
                  <c:v>28.155046231611013</c:v>
                </c:pt>
                <c:pt idx="12">
                  <c:v>28.28070908222411</c:v>
                </c:pt>
                <c:pt idx="13">
                  <c:v>28.993013979309122</c:v>
                </c:pt>
                <c:pt idx="14">
                  <c:v>28.350734119116634</c:v>
                </c:pt>
                <c:pt idx="15">
                  <c:v>29.801953223526805</c:v>
                </c:pt>
                <c:pt idx="16">
                  <c:v>30.863906268383637</c:v>
                </c:pt>
                <c:pt idx="17">
                  <c:v>33.55858739243557</c:v>
                </c:pt>
                <c:pt idx="18">
                  <c:v>36.417422053814086</c:v>
                </c:pt>
                <c:pt idx="19">
                  <c:v>37.163717229761772</c:v>
                </c:pt>
                <c:pt idx="20">
                  <c:v>37.836833950930156</c:v>
                </c:pt>
                <c:pt idx="21">
                  <c:v>41.52942476872127</c:v>
                </c:pt>
                <c:pt idx="22">
                  <c:v>41.742286701292407</c:v>
                </c:pt>
                <c:pt idx="23">
                  <c:v>40.365202559772591</c:v>
                </c:pt>
                <c:pt idx="24">
                  <c:v>39.421955477027566</c:v>
                </c:pt>
                <c:pt idx="25">
                  <c:v>38.628505400635817</c:v>
                </c:pt>
                <c:pt idx="26">
                  <c:v>38.896536964563872</c:v>
                </c:pt>
                <c:pt idx="27">
                  <c:v>39.603450282745669</c:v>
                </c:pt>
                <c:pt idx="28">
                  <c:v>41.516887131845252</c:v>
                </c:pt>
                <c:pt idx="29">
                  <c:v>44.821982547414017</c:v>
                </c:pt>
                <c:pt idx="30">
                  <c:v>49.546071975686907</c:v>
                </c:pt>
                <c:pt idx="31">
                  <c:v>52.887452406631141</c:v>
                </c:pt>
                <c:pt idx="32">
                  <c:v>54.391240515586581</c:v>
                </c:pt>
                <c:pt idx="33">
                  <c:v>52.346994767638691</c:v>
                </c:pt>
                <c:pt idx="34">
                  <c:v>51.128783020411049</c:v>
                </c:pt>
                <c:pt idx="35">
                  <c:v>50.569992469906779</c:v>
                </c:pt>
                <c:pt idx="36">
                  <c:v>49.347496237902725</c:v>
                </c:pt>
                <c:pt idx="37">
                  <c:v>48.740454445458774</c:v>
                </c:pt>
                <c:pt idx="38">
                  <c:v>49.674219434521028</c:v>
                </c:pt>
                <c:pt idx="39">
                  <c:v>53.319359983820341</c:v>
                </c:pt>
                <c:pt idx="40">
                  <c:v>56.73783726150166</c:v>
                </c:pt>
                <c:pt idx="41">
                  <c:v>60.079187676468834</c:v>
                </c:pt>
                <c:pt idx="42">
                  <c:v>64.639157223213076</c:v>
                </c:pt>
                <c:pt idx="43">
                  <c:v>71.099726569232658</c:v>
                </c:pt>
                <c:pt idx="44">
                  <c:v>80.177175000993344</c:v>
                </c:pt>
                <c:pt idx="45">
                  <c:v>90.879113073542442</c:v>
                </c:pt>
                <c:pt idx="46">
                  <c:v>99.712086090581039</c:v>
                </c:pt>
                <c:pt idx="47">
                  <c:v>104.04825423413777</c:v>
                </c:pt>
                <c:pt idx="48">
                  <c:v>102.05859333355868</c:v>
                </c:pt>
                <c:pt idx="49">
                  <c:v>96.246861223171024</c:v>
                </c:pt>
                <c:pt idx="50">
                  <c:v>100</c:v>
                </c:pt>
                <c:pt idx="51">
                  <c:v>104.05141477897328</c:v>
                </c:pt>
                <c:pt idx="52">
                  <c:v>102.04582938554937</c:v>
                </c:pt>
                <c:pt idx="53">
                  <c:v>99.250470672694576</c:v>
                </c:pt>
                <c:pt idx="54">
                  <c:v>97.395665444798013</c:v>
                </c:pt>
                <c:pt idx="55">
                  <c:v>95.399467207868753</c:v>
                </c:pt>
                <c:pt idx="56">
                  <c:v>96.281049480119407</c:v>
                </c:pt>
                <c:pt idx="57">
                  <c:v>98.194944878546409</c:v>
                </c:pt>
              </c:numCache>
            </c:numRef>
          </c:val>
          <c:smooth val="0"/>
        </c:ser>
        <c:ser>
          <c:idx val="2"/>
          <c:order val="2"/>
          <c:tx>
            <c:v>Prix réel du carburant</c:v>
          </c:tx>
          <c:spPr>
            <a:ln w="12700">
              <a:solidFill>
                <a:srgbClr val="000000"/>
              </a:solidFill>
              <a:prstDash val="solid"/>
            </a:ln>
          </c:spPr>
          <c:marker>
            <c:symbol val="none"/>
          </c:marker>
          <c:cat>
            <c:numRef>
              <c:f>data2018!$A$2:$A$60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cat>
          <c:val>
            <c:numRef>
              <c:f>data2018!$CY$2:$CY$60</c:f>
              <c:numCache>
                <c:formatCode>0.0</c:formatCode>
                <c:ptCount val="59"/>
                <c:pt idx="0">
                  <c:v>88.142437591776783</c:v>
                </c:pt>
                <c:pt idx="1">
                  <c:v>85.865787362980129</c:v>
                </c:pt>
                <c:pt idx="2">
                  <c:v>82.273504273504273</c:v>
                </c:pt>
                <c:pt idx="3">
                  <c:v>78.591227784118701</c:v>
                </c:pt>
                <c:pt idx="4">
                  <c:v>76.124704025256506</c:v>
                </c:pt>
                <c:pt idx="5">
                  <c:v>73.679354094579011</c:v>
                </c:pt>
                <c:pt idx="6">
                  <c:v>71.613047697245648</c:v>
                </c:pt>
                <c:pt idx="7">
                  <c:v>70.386452453321766</c:v>
                </c:pt>
                <c:pt idx="8">
                  <c:v>67.672591980157094</c:v>
                </c:pt>
                <c:pt idx="9">
                  <c:v>67.904014410705088</c:v>
                </c:pt>
                <c:pt idx="10">
                  <c:v>65.308747855917659</c:v>
                </c:pt>
                <c:pt idx="11">
                  <c:v>64.550356583753697</c:v>
                </c:pt>
                <c:pt idx="12">
                  <c:v>61.101982692518355</c:v>
                </c:pt>
                <c:pt idx="13">
                  <c:v>59.123863984478717</c:v>
                </c:pt>
                <c:pt idx="14">
                  <c:v>71.990358434138287</c:v>
                </c:pt>
                <c:pt idx="15">
                  <c:v>67.307615430741549</c:v>
                </c:pt>
                <c:pt idx="16">
                  <c:v>66.495296434040682</c:v>
                </c:pt>
                <c:pt idx="17">
                  <c:v>71.212272803068203</c:v>
                </c:pt>
                <c:pt idx="18">
                  <c:v>72.253413100168743</c:v>
                </c:pt>
                <c:pt idx="19">
                  <c:v>75.059461253387909</c:v>
                </c:pt>
                <c:pt idx="20">
                  <c:v>77.537791693165701</c:v>
                </c:pt>
                <c:pt idx="21">
                  <c:v>77.996857308909313</c:v>
                </c:pt>
                <c:pt idx="22">
                  <c:v>79.309548106359642</c:v>
                </c:pt>
                <c:pt idx="23">
                  <c:v>77.733256006045593</c:v>
                </c:pt>
                <c:pt idx="24">
                  <c:v>78.001628664495115</c:v>
                </c:pt>
                <c:pt idx="25">
                  <c:v>81.46154436009509</c:v>
                </c:pt>
                <c:pt idx="26">
                  <c:v>69.469125662659593</c:v>
                </c:pt>
                <c:pt idx="27">
                  <c:v>68.083162976817022</c:v>
                </c:pt>
                <c:pt idx="28">
                  <c:v>66.931624052294964</c:v>
                </c:pt>
                <c:pt idx="29">
                  <c:v>68.647766673465227</c:v>
                </c:pt>
                <c:pt idx="30">
                  <c:v>69.236157923258915</c:v>
                </c:pt>
                <c:pt idx="31">
                  <c:v>67.840049405588999</c:v>
                </c:pt>
                <c:pt idx="32">
                  <c:v>64.9051728463198</c:v>
                </c:pt>
                <c:pt idx="33">
                  <c:v>66.386970007785365</c:v>
                </c:pt>
                <c:pt idx="34">
                  <c:v>68.437163287295519</c:v>
                </c:pt>
                <c:pt idx="35">
                  <c:v>70.385334012763593</c:v>
                </c:pt>
                <c:pt idx="36">
                  <c:v>74.227309112196991</c:v>
                </c:pt>
                <c:pt idx="37">
                  <c:v>76.301468931912225</c:v>
                </c:pt>
                <c:pt idx="38">
                  <c:v>73.885365391897011</c:v>
                </c:pt>
                <c:pt idx="39">
                  <c:v>77.293054234062808</c:v>
                </c:pt>
                <c:pt idx="40">
                  <c:v>88.802967579887451</c:v>
                </c:pt>
                <c:pt idx="41">
                  <c:v>83.044291810236629</c:v>
                </c:pt>
                <c:pt idx="42">
                  <c:v>80.040197373621027</c:v>
                </c:pt>
                <c:pt idx="43">
                  <c:v>80.560492291287147</c:v>
                </c:pt>
                <c:pt idx="44">
                  <c:v>84.875320945210845</c:v>
                </c:pt>
                <c:pt idx="45">
                  <c:v>93.798085142759447</c:v>
                </c:pt>
                <c:pt idx="46">
                  <c:v>97.11819180662377</c:v>
                </c:pt>
                <c:pt idx="47">
                  <c:v>96.924022747066971</c:v>
                </c:pt>
                <c:pt idx="48">
                  <c:v>105.97851005721348</c:v>
                </c:pt>
                <c:pt idx="49">
                  <c:v>89.837093999797631</c:v>
                </c:pt>
                <c:pt idx="50">
                  <c:v>100</c:v>
                </c:pt>
                <c:pt idx="51">
                  <c:v>111.93022776157224</c:v>
                </c:pt>
                <c:pt idx="52">
                  <c:v>115.82179176755449</c:v>
                </c:pt>
                <c:pt idx="53">
                  <c:v>112.33556904897083</c:v>
                </c:pt>
                <c:pt idx="54">
                  <c:v>107.89711451584998</c:v>
                </c:pt>
                <c:pt idx="55">
                  <c:v>97.408834694581842</c:v>
                </c:pt>
                <c:pt idx="56">
                  <c:v>93.062802117701224</c:v>
                </c:pt>
              </c:numCache>
            </c:numRef>
          </c:val>
          <c:smooth val="0"/>
        </c:ser>
        <c:dLbls>
          <c:showLegendKey val="0"/>
          <c:showVal val="0"/>
          <c:showCatName val="0"/>
          <c:showSerName val="0"/>
          <c:showPercent val="0"/>
          <c:showBubbleSize val="0"/>
        </c:dLbls>
        <c:marker val="1"/>
        <c:smooth val="0"/>
        <c:axId val="309418624"/>
        <c:axId val="311226752"/>
      </c:lineChart>
      <c:catAx>
        <c:axId val="309418624"/>
        <c:scaling>
          <c:orientation val="minMax"/>
        </c:scaling>
        <c:delete val="0"/>
        <c:axPos val="b"/>
        <c:majorGridlines>
          <c:spPr>
            <a:ln w="3175">
              <a:solidFill>
                <a:srgbClr val="80808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DejaVu Serif"/>
                <a:ea typeface="DejaVu Serif"/>
                <a:cs typeface="DejaVu Serif"/>
              </a:defRPr>
            </a:pPr>
            <a:endParaRPr lang="fr-FR"/>
          </a:p>
        </c:txPr>
        <c:crossAx val="311226752"/>
        <c:crosses val="autoZero"/>
        <c:auto val="1"/>
        <c:lblAlgn val="ctr"/>
        <c:lblOffset val="100"/>
        <c:tickLblSkip val="5"/>
        <c:tickMarkSkip val="1"/>
        <c:noMultiLvlLbl val="0"/>
      </c:catAx>
      <c:valAx>
        <c:axId val="311226752"/>
        <c:scaling>
          <c:orientation val="minMax"/>
          <c:max val="120"/>
        </c:scaling>
        <c:delete val="0"/>
        <c:axPos val="l"/>
        <c:majorGridlines>
          <c:spPr>
            <a:ln w="3175">
              <a:solidFill>
                <a:srgbClr val="808080"/>
              </a:solidFill>
              <a:prstDash val="sysDash"/>
            </a:ln>
          </c:spPr>
        </c:majorGridlines>
        <c:title>
          <c:tx>
            <c:rich>
              <a:bodyPr rot="0" vert="horz"/>
              <a:lstStyle/>
              <a:p>
                <a:pPr algn="ctr">
                  <a:defRPr sz="1000" b="0" i="0" u="none" strike="noStrike" baseline="0">
                    <a:solidFill>
                      <a:srgbClr val="000000"/>
                    </a:solidFill>
                    <a:latin typeface="DejaVu Serif"/>
                    <a:ea typeface="DejaVu Serif"/>
                    <a:cs typeface="DejaVu Serif"/>
                  </a:defRPr>
                </a:pPr>
                <a:r>
                  <a:rPr lang="fr-FR"/>
                  <a:t>Base 100 en 2010</a:t>
                </a:r>
              </a:p>
            </c:rich>
          </c:tx>
          <c:layout>
            <c:manualLayout>
              <c:xMode val="edge"/>
              <c:yMode val="edge"/>
              <c:x val="0"/>
              <c:y val="3.9189140143316821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DejaVu Serif"/>
                <a:ea typeface="DejaVu Serif"/>
                <a:cs typeface="DejaVu Serif"/>
              </a:defRPr>
            </a:pPr>
            <a:endParaRPr lang="fr-FR"/>
          </a:p>
        </c:txPr>
        <c:crossAx val="309418624"/>
        <c:crosses val="autoZero"/>
        <c:crossBetween val="between"/>
      </c:valAx>
      <c:spPr>
        <a:noFill/>
        <a:ln w="12700">
          <a:solidFill>
            <a:srgbClr val="808080"/>
          </a:solidFill>
          <a:prstDash val="solid"/>
        </a:ln>
      </c:spPr>
    </c:plotArea>
    <c:legend>
      <c:legendPos val="r"/>
      <c:layout>
        <c:manualLayout>
          <c:xMode val="edge"/>
          <c:yMode val="edge"/>
          <c:x val="0.73750000000000004"/>
          <c:y val="0"/>
          <c:w val="0.26249999999999996"/>
          <c:h val="7.7571669477234401E-2"/>
        </c:manualLayout>
      </c:layout>
      <c:overlay val="0"/>
      <c:spPr>
        <a:noFill/>
        <a:ln w="3175">
          <a:solidFill>
            <a:srgbClr val="000000"/>
          </a:solidFill>
          <a:prstDash val="solid"/>
        </a:ln>
      </c:spPr>
      <c:txPr>
        <a:bodyPr/>
        <a:lstStyle/>
        <a:p>
          <a:pPr>
            <a:defRPr sz="920" b="0" i="0" u="none" strike="noStrike" baseline="0">
              <a:solidFill>
                <a:srgbClr val="000000"/>
              </a:solidFill>
              <a:latin typeface="DejaVu Serif"/>
              <a:ea typeface="DejaVu Serif"/>
              <a:cs typeface="DejaVu Serif"/>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DejaVu Serif"/>
          <a:ea typeface="DejaVu Serif"/>
          <a:cs typeface="DejaVu Serif"/>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chart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chart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chartsheets/_rels/sheet24.xml.rels><?xml version="1.0" encoding="UTF-8" standalone="yes"?>
<Relationships xmlns="http://schemas.openxmlformats.org/package/2006/relationships"><Relationship Id="rId1" Type="http://schemas.openxmlformats.org/officeDocument/2006/relationships/drawing" Target="../drawings/drawing25.xml"/></Relationships>
</file>

<file path=xl/chart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chart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chart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7.bin"/></Relationships>
</file>

<file path=xl/chart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chart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chart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chart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chart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chart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chart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chart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chart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chart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chartsheets/sheet1.xml><?xml version="1.0" encoding="utf-8"?>
<chartsheet xmlns="http://schemas.openxmlformats.org/spreadsheetml/2006/main" xmlns:r="http://schemas.openxmlformats.org/officeDocument/2006/relationships">
  <sheetPr/>
  <sheetViews>
    <sheetView workbookViewId="0" zoomToFit="1"/>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sheetPr/>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sheetPr/>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12.xml><?xml version="1.0" encoding="utf-8"?>
<chartsheet xmlns="http://schemas.openxmlformats.org/spreadsheetml/2006/main" xmlns:r="http://schemas.openxmlformats.org/officeDocument/2006/relationships">
  <sheetPr/>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13.xml><?xml version="1.0" encoding="utf-8"?>
<chartsheet xmlns="http://schemas.openxmlformats.org/spreadsheetml/2006/main" xmlns:r="http://schemas.openxmlformats.org/officeDocument/2006/relationships">
  <sheetPr/>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14.xml><?xml version="1.0" encoding="utf-8"?>
<chartsheet xmlns="http://schemas.openxmlformats.org/spreadsheetml/2006/main" xmlns:r="http://schemas.openxmlformats.org/officeDocument/2006/relationships">
  <sheetPr codeName="Graph14"/>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15.xml><?xml version="1.0" encoding="utf-8"?>
<chartsheet xmlns="http://schemas.openxmlformats.org/spreadsheetml/2006/main" xmlns:r="http://schemas.openxmlformats.org/officeDocument/2006/relationships">
  <sheetPr codeName="Graph21"/>
  <sheetViews>
    <sheetView workbookViewId="0"/>
  </sheetViews>
  <pageMargins left="0.78740157499999996" right="0.78740157499999996" top="0.984251969" bottom="0.984251969" header="0.5" footer="0.5"/>
  <pageSetup paperSize="9" orientation="landscape" r:id="rId1"/>
  <headerFooter alignWithMargins="0">
    <oddHeader>&amp;A</oddHeader>
    <oddFooter>Page &amp;P</oddFooter>
  </headerFooter>
  <drawing r:id="rId2"/>
</chartsheet>
</file>

<file path=xl/chartsheets/sheet16.xml><?xml version="1.0" encoding="utf-8"?>
<chartsheet xmlns="http://schemas.openxmlformats.org/spreadsheetml/2006/main" xmlns:r="http://schemas.openxmlformats.org/officeDocument/2006/relationships">
  <sheetPr codeName="Graph23"/>
  <sheetViews>
    <sheetView workbookViewId="0"/>
  </sheetViews>
  <pageMargins left="0.78740157499999996" right="0.78740157499999996" top="0.984251969" bottom="0.984251969" header="0.5" footer="0.5"/>
  <headerFooter alignWithMargins="0">
    <oddHeader>&amp;A</oddHeader>
    <oddFooter>Page &amp;P</oddFooter>
  </headerFooter>
  <drawing r:id="rId1"/>
</chartsheet>
</file>

<file path=xl/chartsheets/sheet17.xml><?xml version="1.0" encoding="utf-8"?>
<chartsheet xmlns="http://schemas.openxmlformats.org/spreadsheetml/2006/main" xmlns:r="http://schemas.openxmlformats.org/officeDocument/2006/relationships">
  <sheetPr codeName="Graph22"/>
  <sheetViews>
    <sheetView workbookViewId="0"/>
  </sheetViews>
  <pageMargins left="0.78740157499999996" right="0.78740157499999996" top="0.984251969" bottom="0.984251969" header="0.5" footer="0.5"/>
  <pageSetup paperSize="9" orientation="landscape" r:id="rId1"/>
  <headerFooter alignWithMargins="0">
    <oddHeader>&amp;A</oddHeader>
    <oddFooter>Page &amp;P</oddFooter>
  </headerFooter>
  <drawing r:id="rId2"/>
</chartsheet>
</file>

<file path=xl/chartsheets/sheet18.xml><?xml version="1.0" encoding="utf-8"?>
<chartsheet xmlns="http://schemas.openxmlformats.org/spreadsheetml/2006/main" xmlns:r="http://schemas.openxmlformats.org/officeDocument/2006/relationships">
  <sheetPr/>
  <sheetViews>
    <sheetView zoomScale="93" workbookViewId="0"/>
  </sheetViews>
  <pageMargins left="0.78740157499999996" right="0.78740157499999996" top="0.984251969" bottom="0.984251969" header="0.4921259845" footer="0.4921259845"/>
  <headerFooter alignWithMargins="0"/>
  <drawing r:id="rId1"/>
</chartsheet>
</file>

<file path=xl/chartsheets/sheet19.xml><?xml version="1.0" encoding="utf-8"?>
<chartsheet xmlns="http://schemas.openxmlformats.org/spreadsheetml/2006/main" xmlns:r="http://schemas.openxmlformats.org/officeDocument/2006/relationships">
  <sheetPr/>
  <sheetViews>
    <sheetView zoomScale="93" workbookViewId="0"/>
  </sheetViews>
  <pageMargins left="0.78740157499999996" right="0.78740157499999996" top="0.984251969" bottom="0.984251969" header="0.4921259845" footer="0.4921259845"/>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workbookViewId="0" zoomToFit="1"/>
  </sheetViews>
  <pageMargins left="0.7" right="0.7" top="0.75" bottom="0.75" header="0.3" footer="0.3"/>
  <drawing r:id="rId1"/>
</chartsheet>
</file>

<file path=xl/chartsheets/sheet20.xml><?xml version="1.0" encoding="utf-8"?>
<chartsheet xmlns="http://schemas.openxmlformats.org/spreadsheetml/2006/main" xmlns:r="http://schemas.openxmlformats.org/officeDocument/2006/relationships">
  <sheetPr/>
  <sheetViews>
    <sheetView zoomScale="93" workbookViewId="0"/>
  </sheetViews>
  <pageMargins left="0.78740157499999996" right="0.78740157499999996" top="0.984251969" bottom="0.984251969" header="0.4921259845" footer="0.4921259845"/>
  <headerFooter alignWithMargins="0"/>
  <drawing r:id="rId1"/>
</chartsheet>
</file>

<file path=xl/chartsheets/sheet21.xml><?xml version="1.0" encoding="utf-8"?>
<chartsheet xmlns="http://schemas.openxmlformats.org/spreadsheetml/2006/main" xmlns:r="http://schemas.openxmlformats.org/officeDocument/2006/relationships">
  <sheetPr/>
  <sheetViews>
    <sheetView zoomScale="93" workbookViewId="0"/>
  </sheetViews>
  <pageMargins left="0.78740157499999996" right="0.78740157499999996" top="0.984251969" bottom="0.984251969" header="0.4921259845" footer="0.4921259845"/>
  <headerFooter alignWithMargins="0"/>
  <drawing r:id="rId1"/>
</chartsheet>
</file>

<file path=xl/chartsheets/sheet22.xml><?xml version="1.0" encoding="utf-8"?>
<chartsheet xmlns="http://schemas.openxmlformats.org/spreadsheetml/2006/main" xmlns:r="http://schemas.openxmlformats.org/officeDocument/2006/relationships">
  <sheetPr codeName="Graph17"/>
  <sheetViews>
    <sheetView zoomScale="110"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3.xml><?xml version="1.0" encoding="utf-8"?>
<chartsheet xmlns="http://schemas.openxmlformats.org/spreadsheetml/2006/main" xmlns:r="http://schemas.openxmlformats.org/officeDocument/2006/relationships">
  <sheetPr codeName="Graph18"/>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4.xml><?xml version="1.0" encoding="utf-8"?>
<chartsheet xmlns="http://schemas.openxmlformats.org/spreadsheetml/2006/main" xmlns:r="http://schemas.openxmlformats.org/officeDocument/2006/relationships">
  <sheetPr codeName="Graph19"/>
  <sheetViews>
    <sheetView workbookViewId="0"/>
  </sheetViews>
  <pageMargins left="0.78740157499999996" right="0.78740157499999996" top="0.984251969" bottom="0.984251969" header="0.4921259845" footer="0.4921259845"/>
  <headerFooter alignWithMargins="0"/>
  <drawing r:id="rId1"/>
</chartsheet>
</file>

<file path=xl/chartsheets/sheet25.xml><?xml version="1.0" encoding="utf-8"?>
<chartsheet xmlns="http://schemas.openxmlformats.org/spreadsheetml/2006/main" xmlns:r="http://schemas.openxmlformats.org/officeDocument/2006/relationships">
  <sheetPr codeName="Graph24"/>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6.xml><?xml version="1.0" encoding="utf-8"?>
<chartsheet xmlns="http://schemas.openxmlformats.org/spreadsheetml/2006/main" xmlns:r="http://schemas.openxmlformats.org/officeDocument/2006/relationships">
  <sheetPr codeName="Graph25"/>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7.xml><?xml version="1.0" encoding="utf-8"?>
<chartsheet xmlns="http://schemas.openxmlformats.org/spreadsheetml/2006/main" xmlns:r="http://schemas.openxmlformats.org/officeDocument/2006/relationships">
  <sheetPr codeName="Graph26"/>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8.xml><?xml version="1.0" encoding="utf-8"?>
<chartsheet xmlns="http://schemas.openxmlformats.org/spreadsheetml/2006/main" xmlns:r="http://schemas.openxmlformats.org/officeDocument/2006/relationships">
  <sheetPr codeName="Graph27"/>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29.xml><?xml version="1.0" encoding="utf-8"?>
<chartsheet xmlns="http://schemas.openxmlformats.org/spreadsheetml/2006/main" xmlns:r="http://schemas.openxmlformats.org/officeDocument/2006/relationships">
  <sheetPr codeName="Graph28"/>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workbookViewId="0" zoomToFit="1"/>
  </sheetViews>
  <pageMargins left="0.7" right="0.7" top="0.75" bottom="0.75" header="0.3" footer="0.3"/>
  <drawing r:id="rId1"/>
</chartsheet>
</file>

<file path=xl/chartsheets/sheet30.xml><?xml version="1.0" encoding="utf-8"?>
<chartsheet xmlns="http://schemas.openxmlformats.org/spreadsheetml/2006/main" xmlns:r="http://schemas.openxmlformats.org/officeDocument/2006/relationships">
  <sheetPr codeName="Graph29"/>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1.xml><?xml version="1.0" encoding="utf-8"?>
<chartsheet xmlns="http://schemas.openxmlformats.org/spreadsheetml/2006/main" xmlns:r="http://schemas.openxmlformats.org/officeDocument/2006/relationships">
  <sheetPr codeName="Graph30"/>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2.xml><?xml version="1.0" encoding="utf-8"?>
<chartsheet xmlns="http://schemas.openxmlformats.org/spreadsheetml/2006/main" xmlns:r="http://schemas.openxmlformats.org/officeDocument/2006/relationships">
  <sheetPr codeName="Graph32"/>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3.xml><?xml version="1.0" encoding="utf-8"?>
<chartsheet xmlns="http://schemas.openxmlformats.org/spreadsheetml/2006/main" xmlns:r="http://schemas.openxmlformats.org/officeDocument/2006/relationships">
  <sheetPr codeName="Graph20"/>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4.xml><?xml version="1.0" encoding="utf-8"?>
<chartsheet xmlns="http://schemas.openxmlformats.org/spreadsheetml/2006/main" xmlns:r="http://schemas.openxmlformats.org/officeDocument/2006/relationships">
  <sheetPr codeName="Graph43"/>
  <sheetViews>
    <sheetView workbookViewId="0"/>
  </sheetViews>
  <pageMargins left="0.78740157499999996" right="0.78740157499999996" top="0.984251969" bottom="0.984251969" header="0.5" footer="0.5"/>
  <pageSetup paperSize="9" orientation="landscape" r:id="rId1"/>
  <headerFooter alignWithMargins="0">
    <oddHeader>&amp;A</oddHeader>
    <oddFooter>Page &amp;P</oddFooter>
  </headerFooter>
  <drawing r:id="rId2"/>
</chartsheet>
</file>

<file path=xl/chartsheets/sheet35.xml><?xml version="1.0" encoding="utf-8"?>
<chartsheet xmlns="http://schemas.openxmlformats.org/spreadsheetml/2006/main" xmlns:r="http://schemas.openxmlformats.org/officeDocument/2006/relationships">
  <sheetPr codeName="Graph34"/>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6.xml><?xml version="1.0" encoding="utf-8"?>
<chartsheet xmlns="http://schemas.openxmlformats.org/spreadsheetml/2006/main" xmlns:r="http://schemas.openxmlformats.org/officeDocument/2006/relationships">
  <sheetPr codeName="Graph35"/>
  <sheetViews>
    <sheetView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7.xml><?xml version="1.0" encoding="utf-8"?>
<chartsheet xmlns="http://schemas.openxmlformats.org/spreadsheetml/2006/main" xmlns:r="http://schemas.openxmlformats.org/officeDocument/2006/relationships">
  <sheetPr codeName="Graph49"/>
  <sheetViews>
    <sheetView zoomScale="97" workbookViewId="0"/>
  </sheetViews>
  <pageMargins left="0.78740157499999996" right="0.78740157499999996" top="0.984251969" bottom="0.984251969" header="0.5" footer="0.5"/>
  <headerFooter alignWithMargins="0">
    <oddHeader>&amp;A</oddHeader>
    <oddFooter>Page &amp;P</oddFooter>
  </headerFooter>
  <drawing r:id="rId1"/>
</chartsheet>
</file>

<file path=xl/chartsheets/sheet38.xml><?xml version="1.0" encoding="utf-8"?>
<chartsheet xmlns="http://schemas.openxmlformats.org/spreadsheetml/2006/main" xmlns:r="http://schemas.openxmlformats.org/officeDocument/2006/relationships">
  <sheetPr codeName="Graph15"/>
  <sheetViews>
    <sheetView zoomScale="120"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39.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codeName="Graph5"/>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sheetPr codeName="Graph16"/>
  <sheetViews>
    <sheetView zoomScale="130" workbookViewId="0"/>
  </sheetViews>
  <pageMargins left="0.78740157499999996" right="0.78740157499999996" top="0.984251969" bottom="0.984251969" header="0.5" footer="0.5"/>
  <pageSetup paperSize="9" orientation="landscape" horizontalDpi="300" verticalDpi="300" r:id="rId1"/>
  <headerFooter alignWithMargins="0">
    <oddHeader>&amp;A</oddHeader>
    <oddFooter>Page &amp;P</oddFooter>
  </headerFooter>
  <drawing r:id="rId2"/>
</chartsheet>
</file>

<file path=xl/chartsheets/sheet7.xml><?xml version="1.0" encoding="utf-8"?>
<chartsheet xmlns="http://schemas.openxmlformats.org/spreadsheetml/2006/main" xmlns:r="http://schemas.openxmlformats.org/officeDocument/2006/relationships">
  <sheetPr codeName="Graph2"/>
  <sheetViews>
    <sheetView zoomScale="97" workbookViewId="0"/>
  </sheetViews>
  <pageMargins left="0.78740157499999996" right="0.78740157499999996" top="0.984251969" bottom="0.984251969" header="0.5" footer="0.5"/>
  <pageSetup paperSize="9" orientation="landscape" r:id="rId1"/>
  <headerFooter alignWithMargins="0">
    <oddHeader>&amp;A</oddHeader>
    <oddFooter>Page &amp;P</oddFooter>
  </headerFooter>
  <drawing r:id="rId2"/>
</chartsheet>
</file>

<file path=xl/chartsheets/sheet8.xml><?xml version="1.0" encoding="utf-8"?>
<chartsheet xmlns="http://schemas.openxmlformats.org/spreadsheetml/2006/main" xmlns:r="http://schemas.openxmlformats.org/officeDocument/2006/relationships">
  <sheetPr/>
  <sheetViews>
    <sheetView zoomScale="120" workbookViewId="0"/>
  </sheetViews>
  <pageMargins left="0.78740157499999996" right="0.78740157499999996" top="0.984251969" bottom="0.984251969" header="0.5" footer="0.5"/>
  <pageSetup paperSize="9" orientation="landscape" r:id="rId1"/>
  <headerFooter alignWithMargins="0">
    <oddHeader>&amp;A</oddHeader>
    <oddFooter>Page &amp;P</oddFooter>
  </headerFooter>
  <drawing r:id="rId2"/>
</chartsheet>
</file>

<file path=xl/chartsheets/sheet9.xml><?xml version="1.0" encoding="utf-8"?>
<chartsheet xmlns="http://schemas.openxmlformats.org/spreadsheetml/2006/main" xmlns:r="http://schemas.openxmlformats.org/officeDocument/2006/relationships">
  <sheetPr/>
  <sheetViews>
    <sheetView zoomScale="97" workbookViewId="0"/>
  </sheetViews>
  <pageMargins left="0.78740157499999996" right="0.78740157499999996" top="0.984251969" bottom="0.984251969" header="0.4921259845" footer="0.492125984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9124950" cy="56292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99677" cy="60734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99677" cy="60734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299677" cy="60734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99677" cy="6073468"/>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144000" cy="564572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0.02525</cdr:x>
      <cdr:y>0.88075</cdr:y>
    </cdr:from>
    <cdr:to>
      <cdr:x>0.04525</cdr:x>
      <cdr:y>0.91525</cdr:y>
    </cdr:to>
    <cdr:sp macro="" textlink="">
      <cdr:nvSpPr>
        <cdr:cNvPr id="19457" name="Line 1"/>
        <cdr:cNvSpPr>
          <a:spLocks xmlns:a="http://schemas.openxmlformats.org/drawingml/2006/main" noChangeShapeType="1"/>
        </cdr:cNvSpPr>
      </cdr:nvSpPr>
      <cdr:spPr bwMode="auto">
        <a:xfrm xmlns:a="http://schemas.openxmlformats.org/drawingml/2006/main" flipV="1">
          <a:off x="212421" y="4997387"/>
          <a:ext cx="171307" cy="188899"/>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0.02525</cdr:x>
      <cdr:y>0.895</cdr:y>
    </cdr:from>
    <cdr:to>
      <cdr:x>0.04525</cdr:x>
      <cdr:y>0.9305</cdr:y>
    </cdr:to>
    <cdr:sp macro="" textlink="">
      <cdr:nvSpPr>
        <cdr:cNvPr id="19458" name="Line 2"/>
        <cdr:cNvSpPr>
          <a:spLocks xmlns:a="http://schemas.openxmlformats.org/drawingml/2006/main" noChangeShapeType="1"/>
        </cdr:cNvSpPr>
      </cdr:nvSpPr>
      <cdr:spPr bwMode="auto">
        <a:xfrm xmlns:a="http://schemas.openxmlformats.org/drawingml/2006/main" flipV="1">
          <a:off x="212421" y="5077739"/>
          <a:ext cx="171307" cy="193129"/>
        </a:xfrm>
        <a:prstGeom xmlns:a="http://schemas.openxmlformats.org/drawingml/2006/main" prst="line">
          <a:avLst/>
        </a:prstGeom>
        <a:noFill xmlns:a="http://schemas.openxmlformats.org/drawingml/2006/main"/>
        <a:ln xmlns:a="http://schemas.openxmlformats.org/drawingml/2006/main" w="952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24.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9305925" cy="60769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7.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9.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xdr:wsDr xmlns:xdr="http://schemas.openxmlformats.org/drawingml/2006/spreadsheetDrawing" xmlns:a="http://schemas.openxmlformats.org/drawingml/2006/main">
  <xdr:absoluteAnchor>
    <xdr:pos x="0" y="0"/>
    <xdr:ext cx="9153525" cy="565785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xdr:wsDr xmlns:xdr="http://schemas.openxmlformats.org/drawingml/2006/spreadsheetDrawing" xmlns:a="http://schemas.openxmlformats.org/drawingml/2006/main">
  <xdr:absoluteAnchor>
    <xdr:pos x="0" y="0"/>
    <xdr:ext cx="9124950" cy="56292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xdr:wsDr xmlns:xdr="http://schemas.openxmlformats.org/drawingml/2006/spreadsheetDrawing" xmlns:a="http://schemas.openxmlformats.org/drawingml/2006/main">
  <xdr:absoluteAnchor>
    <xdr:pos x="0" y="0"/>
    <xdr:ext cx="9124950" cy="56292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xdr:wsDr xmlns:xdr="http://schemas.openxmlformats.org/drawingml/2006/spreadsheetDrawing" xmlns:a="http://schemas.openxmlformats.org/drawingml/2006/main">
  <xdr:absoluteAnchor>
    <xdr:pos x="0" y="0"/>
    <xdr:ext cx="9124950" cy="56292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absoluteAnchor>
    <xdr:pos x="0" y="0"/>
    <xdr:ext cx="9289330" cy="6048866"/>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absoluteAnchor>
    <xdr:pos x="0" y="0"/>
    <xdr:ext cx="9128125" cy="563562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86875" cy="604837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absoluteAnchor>
    <xdr:pos x="0" y="0"/>
    <xdr:ext cx="9291544" cy="6051176"/>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29346" cy="562707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128125" cy="5635625"/>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122397" cy="5626624"/>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RowHeight="13.5" x14ac:dyDescent="0.25"/>
  <cols>
    <col min="1" max="1" width="62.75" customWidth="1"/>
  </cols>
  <sheetData>
    <row r="1" spans="1:1" x14ac:dyDescent="0.25">
      <c r="A1" t="s">
        <v>743</v>
      </c>
    </row>
    <row r="2" spans="1:1" x14ac:dyDescent="0.25">
      <c r="A2" t="s">
        <v>744</v>
      </c>
    </row>
    <row r="3" spans="1:1" x14ac:dyDescent="0.25">
      <c r="A3" t="s">
        <v>745</v>
      </c>
    </row>
    <row r="4" spans="1:1" x14ac:dyDescent="0.25">
      <c r="A4" t="s">
        <v>746</v>
      </c>
    </row>
    <row r="5" spans="1:1" x14ac:dyDescent="0.25">
      <c r="A5" t="s">
        <v>747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7"/>
  <dimension ref="A1:I65"/>
  <sheetViews>
    <sheetView workbookViewId="0">
      <pane xSplit="1" ySplit="1" topLeftCell="B2" activePane="bottomRight" state="frozen"/>
      <selection pane="topRight" activeCell="B1" sqref="B1"/>
      <selection pane="bottomLeft" activeCell="A2" sqref="A2"/>
      <selection pane="bottomRight" activeCell="C75" sqref="C75"/>
    </sheetView>
  </sheetViews>
  <sheetFormatPr baseColWidth="10" defaultRowHeight="13.5" x14ac:dyDescent="0.25"/>
  <cols>
    <col min="1" max="1" width="4.875" bestFit="1" customWidth="1"/>
    <col min="2" max="2" width="9.875" bestFit="1" customWidth="1"/>
    <col min="3" max="3" width="14.125" customWidth="1"/>
    <col min="4" max="4" width="11.875" customWidth="1"/>
    <col min="5" max="5" width="13.875" customWidth="1"/>
    <col min="7" max="7" width="12.625" customWidth="1"/>
  </cols>
  <sheetData>
    <row r="1" spans="1:9" x14ac:dyDescent="0.25">
      <c r="A1" s="5"/>
      <c r="B1" s="5" t="s">
        <v>19</v>
      </c>
      <c r="C1" s="52" t="s">
        <v>52</v>
      </c>
      <c r="D1" s="53" t="s">
        <v>336</v>
      </c>
      <c r="E1" s="13" t="s">
        <v>386</v>
      </c>
      <c r="F1" t="s">
        <v>337</v>
      </c>
    </row>
    <row r="2" spans="1:9" x14ac:dyDescent="0.25">
      <c r="A2" s="5">
        <v>1948</v>
      </c>
      <c r="B2" s="5"/>
      <c r="C2" s="52"/>
      <c r="D2" s="53"/>
      <c r="E2" s="13"/>
      <c r="G2" s="7"/>
    </row>
    <row r="3" spans="1:9" x14ac:dyDescent="0.25">
      <c r="A3" s="5">
        <v>1949</v>
      </c>
      <c r="B3" s="5">
        <v>1525</v>
      </c>
      <c r="C3" s="52"/>
      <c r="D3" s="53"/>
      <c r="E3" s="13"/>
      <c r="G3" s="7"/>
    </row>
    <row r="4" spans="1:9" x14ac:dyDescent="0.25">
      <c r="A4" s="5">
        <v>1950</v>
      </c>
      <c r="B4" s="5">
        <v>1675</v>
      </c>
      <c r="C4" s="52"/>
      <c r="D4" s="53"/>
      <c r="E4" s="13"/>
      <c r="F4">
        <f>20/67</f>
        <v>0.29850746268656714</v>
      </c>
      <c r="G4" s="7"/>
    </row>
    <row r="5" spans="1:9" x14ac:dyDescent="0.25">
      <c r="A5" s="5">
        <v>1951</v>
      </c>
      <c r="B5" s="5">
        <v>1885</v>
      </c>
      <c r="C5" s="52">
        <f>(20/67.5)*(58.5*1000000000)</f>
        <v>17333333333.333332</v>
      </c>
      <c r="D5" s="53">
        <f>$C5/($B5*1000)</f>
        <v>9195.4022988505749</v>
      </c>
      <c r="E5" s="59">
        <f>$C5/($B5*1000)</f>
        <v>9195.4022988505749</v>
      </c>
      <c r="F5">
        <f>61-5/2</f>
        <v>58.5</v>
      </c>
      <c r="G5" s="7"/>
      <c r="H5" s="6"/>
      <c r="I5" s="6"/>
    </row>
    <row r="6" spans="1:9" x14ac:dyDescent="0.25">
      <c r="A6" s="5">
        <v>1952</v>
      </c>
      <c r="B6" s="27">
        <v>2320</v>
      </c>
      <c r="C6" s="52">
        <f>(20/67.5)*(67.5*1000000000)</f>
        <v>20000000000</v>
      </c>
      <c r="D6" s="53">
        <f>C6/(B6*1000)</f>
        <v>8620.689655172413</v>
      </c>
      <c r="E6" s="59">
        <f t="shared" ref="E6:E65" si="0">$C6/($B6*1000)</f>
        <v>8620.689655172413</v>
      </c>
      <c r="G6" s="7"/>
      <c r="H6" s="6"/>
      <c r="I6" s="6"/>
    </row>
    <row r="7" spans="1:9" x14ac:dyDescent="0.25">
      <c r="A7" s="5">
        <v>1953</v>
      </c>
      <c r="B7" s="27">
        <v>2560</v>
      </c>
      <c r="C7" s="52">
        <f>(20/67.5)*(80.5*1000000000)</f>
        <v>23851851851.851852</v>
      </c>
      <c r="D7" s="53">
        <f>C7/(B7*1000)</f>
        <v>9317.1296296296296</v>
      </c>
      <c r="E7" s="59">
        <f t="shared" si="0"/>
        <v>9317.1296296296296</v>
      </c>
      <c r="F7">
        <f>83-5/2</f>
        <v>80.5</v>
      </c>
      <c r="G7" s="7"/>
      <c r="H7" s="6"/>
      <c r="I7" s="6"/>
    </row>
    <row r="8" spans="1:9" x14ac:dyDescent="0.25">
      <c r="A8" s="5">
        <v>1954</v>
      </c>
      <c r="B8" s="27">
        <v>2860</v>
      </c>
      <c r="C8" s="52">
        <f>(20/67.5)*(93.5*1000000000)</f>
        <v>27703703703.703701</v>
      </c>
      <c r="D8" s="53">
        <f t="shared" ref="D8:D13" si="1">C8/(B8*1000)</f>
        <v>9686.609686609685</v>
      </c>
      <c r="E8" s="59">
        <f t="shared" si="0"/>
        <v>9686.609686609685</v>
      </c>
      <c r="F8">
        <f>96-5/2</f>
        <v>93.5</v>
      </c>
      <c r="G8" s="7"/>
      <c r="H8" s="6"/>
      <c r="I8" s="6"/>
    </row>
    <row r="9" spans="1:9" x14ac:dyDescent="0.25">
      <c r="A9" s="5">
        <v>1955</v>
      </c>
      <c r="B9" s="27">
        <v>3240</v>
      </c>
      <c r="C9" s="52">
        <f>(20/67.5)*(99.5*1000000000)</f>
        <v>29481481481.48148</v>
      </c>
      <c r="D9" s="53">
        <f t="shared" si="1"/>
        <v>9099.2226794695925</v>
      </c>
      <c r="E9" s="59">
        <f t="shared" si="0"/>
        <v>9099.2226794695925</v>
      </c>
      <c r="F9">
        <f>102-5/2</f>
        <v>99.5</v>
      </c>
      <c r="G9" s="7"/>
      <c r="H9" s="6"/>
      <c r="I9" s="6"/>
    </row>
    <row r="10" spans="1:9" x14ac:dyDescent="0.25">
      <c r="A10" s="5">
        <v>1956</v>
      </c>
      <c r="B10" s="27">
        <v>3610</v>
      </c>
      <c r="C10" s="52">
        <f>(20/67.5)*(109.5*1000000000)</f>
        <v>32444444444.444443</v>
      </c>
      <c r="D10" s="53">
        <f t="shared" si="1"/>
        <v>8987.3807325330872</v>
      </c>
      <c r="E10" s="59">
        <f t="shared" si="0"/>
        <v>8987.3807325330872</v>
      </c>
      <c r="F10">
        <f>112-5/2</f>
        <v>109.5</v>
      </c>
      <c r="G10" s="7"/>
      <c r="H10" s="6"/>
      <c r="I10" s="6"/>
    </row>
    <row r="11" spans="1:9" x14ac:dyDescent="0.25">
      <c r="A11" s="5">
        <v>1957</v>
      </c>
      <c r="B11" s="27">
        <v>4040</v>
      </c>
      <c r="C11" s="52">
        <f>(20/67.5)*(110*1000000000)</f>
        <v>32592592592.59259</v>
      </c>
      <c r="D11" s="53">
        <f t="shared" si="1"/>
        <v>8067.4734140080673</v>
      </c>
      <c r="E11" s="59">
        <f t="shared" si="0"/>
        <v>8067.4734140080673</v>
      </c>
      <c r="F11">
        <f>112.5-5/2</f>
        <v>110</v>
      </c>
      <c r="G11" s="7"/>
      <c r="H11" s="6"/>
      <c r="I11" s="6"/>
    </row>
    <row r="12" spans="1:9" x14ac:dyDescent="0.25">
      <c r="A12" s="5">
        <v>1958</v>
      </c>
      <c r="B12" s="27">
        <v>4540</v>
      </c>
      <c r="C12" s="52">
        <f>(20/67.5)*(132*1000000000)</f>
        <v>39111111111.111107</v>
      </c>
      <c r="D12" s="53">
        <f t="shared" si="1"/>
        <v>8614.7821830641205</v>
      </c>
      <c r="E12" s="59">
        <f t="shared" si="0"/>
        <v>8614.7821830641205</v>
      </c>
      <c r="F12">
        <f>134.5-5/2</f>
        <v>132</v>
      </c>
      <c r="G12" s="7"/>
      <c r="H12" s="6"/>
      <c r="I12" s="6"/>
    </row>
    <row r="13" spans="1:9" x14ac:dyDescent="0.25">
      <c r="A13" s="5">
        <v>1959</v>
      </c>
      <c r="B13" s="27">
        <v>4950</v>
      </c>
      <c r="C13" s="52">
        <f>(20/67.5)*(140.5*1000000000)</f>
        <v>41629629629.629631</v>
      </c>
      <c r="D13" s="53">
        <f t="shared" si="1"/>
        <v>8410.0261878039655</v>
      </c>
      <c r="E13" s="59">
        <f t="shared" si="0"/>
        <v>8410.0261878039655</v>
      </c>
      <c r="F13">
        <f>143-5/2</f>
        <v>140.5</v>
      </c>
      <c r="G13" s="7"/>
      <c r="H13" s="6"/>
      <c r="I13" s="6"/>
    </row>
    <row r="14" spans="1:9" x14ac:dyDescent="0.25">
      <c r="A14" s="5">
        <v>1960</v>
      </c>
      <c r="B14" s="18">
        <v>5430</v>
      </c>
      <c r="C14" s="18">
        <v>46980360000</v>
      </c>
      <c r="D14">
        <v>8652</v>
      </c>
      <c r="E14" s="59">
        <f t="shared" si="0"/>
        <v>8652</v>
      </c>
      <c r="G14" s="7"/>
      <c r="H14" s="6"/>
      <c r="I14" s="6"/>
    </row>
    <row r="15" spans="1:9" x14ac:dyDescent="0.25">
      <c r="A15" s="5">
        <v>1961</v>
      </c>
      <c r="B15" s="18">
        <v>5970</v>
      </c>
      <c r="C15" s="18">
        <v>53202013200</v>
      </c>
      <c r="D15">
        <v>8911.56</v>
      </c>
      <c r="E15" s="59">
        <f t="shared" si="0"/>
        <v>8911.56</v>
      </c>
      <c r="G15" s="7"/>
      <c r="H15" s="6"/>
      <c r="I15" s="6"/>
    </row>
    <row r="16" spans="1:9" x14ac:dyDescent="0.25">
      <c r="A16" s="5">
        <v>1962</v>
      </c>
      <c r="B16" s="18">
        <v>6700</v>
      </c>
      <c r="C16" s="18">
        <v>61498675559.999992</v>
      </c>
      <c r="D16">
        <v>9178.9067999999988</v>
      </c>
      <c r="E16" s="59">
        <f t="shared" si="0"/>
        <v>9178.9067999999988</v>
      </c>
      <c r="G16" s="7"/>
      <c r="H16" s="6"/>
      <c r="I16" s="6"/>
    </row>
    <row r="17" spans="1:9" x14ac:dyDescent="0.25">
      <c r="A17" s="5">
        <v>1963</v>
      </c>
      <c r="B17" s="18">
        <v>7530</v>
      </c>
      <c r="C17" s="18">
        <v>71190683250.119995</v>
      </c>
      <c r="D17">
        <v>9454.274003999999</v>
      </c>
      <c r="E17" s="59">
        <f t="shared" si="0"/>
        <v>9454.274003999999</v>
      </c>
      <c r="G17" s="7"/>
      <c r="H17" s="6"/>
      <c r="I17" s="6"/>
    </row>
    <row r="18" spans="1:9" x14ac:dyDescent="0.25">
      <c r="A18" s="5">
        <v>1964</v>
      </c>
      <c r="B18" s="18">
        <v>8320</v>
      </c>
      <c r="C18" s="18">
        <v>81019346504.678406</v>
      </c>
      <c r="D18">
        <v>9737.90222412</v>
      </c>
      <c r="E18" s="59">
        <f t="shared" si="0"/>
        <v>9737.90222412</v>
      </c>
      <c r="G18" s="7"/>
      <c r="H18" s="6"/>
      <c r="I18" s="6"/>
    </row>
    <row r="19" spans="1:9" x14ac:dyDescent="0.25">
      <c r="A19" s="5">
        <v>1965</v>
      </c>
      <c r="B19" s="18">
        <v>9010</v>
      </c>
      <c r="C19" s="18">
        <v>90370654010.500839</v>
      </c>
      <c r="D19">
        <v>10030.039290843601</v>
      </c>
      <c r="E19" s="59">
        <f t="shared" si="0"/>
        <v>10030.039290843601</v>
      </c>
      <c r="G19" s="7"/>
      <c r="H19" s="6"/>
      <c r="I19" s="6"/>
    </row>
    <row r="20" spans="1:9" x14ac:dyDescent="0.25">
      <c r="A20" s="5">
        <v>1966</v>
      </c>
      <c r="B20" s="18">
        <v>9810</v>
      </c>
      <c r="C20" s="18">
        <v>101346526006.47099</v>
      </c>
      <c r="D20">
        <v>10330.940469568908</v>
      </c>
      <c r="E20" s="59">
        <f t="shared" si="0"/>
        <v>10330.940469568908</v>
      </c>
      <c r="G20" s="7"/>
      <c r="H20" s="6"/>
      <c r="I20" s="6"/>
    </row>
    <row r="21" spans="1:9" x14ac:dyDescent="0.25">
      <c r="A21" s="5">
        <v>1967</v>
      </c>
      <c r="B21" s="18">
        <v>10565</v>
      </c>
      <c r="C21" s="18">
        <v>112420777642.82538</v>
      </c>
      <c r="D21">
        <v>10640.868683655975</v>
      </c>
      <c r="E21" s="59">
        <f t="shared" si="0"/>
        <v>10640.868683655975</v>
      </c>
      <c r="G21" s="7"/>
      <c r="H21" s="6"/>
      <c r="I21" s="6"/>
    </row>
    <row r="22" spans="1:9" x14ac:dyDescent="0.25">
      <c r="A22" s="5">
        <v>1968</v>
      </c>
      <c r="B22" s="18">
        <v>11210</v>
      </c>
      <c r="C22" s="18">
        <v>122862662082.097</v>
      </c>
      <c r="D22">
        <v>10960.094744165655</v>
      </c>
      <c r="E22" s="59">
        <f t="shared" si="0"/>
        <v>10960.094744165655</v>
      </c>
      <c r="G22" s="7"/>
      <c r="H22" s="6"/>
      <c r="I22" s="6"/>
    </row>
    <row r="23" spans="1:9" x14ac:dyDescent="0.25">
      <c r="A23" s="5">
        <v>1969</v>
      </c>
      <c r="B23" s="18">
        <v>11860</v>
      </c>
      <c r="C23" s="18">
        <v>133886325375.77882</v>
      </c>
      <c r="D23">
        <v>11288.897586490626</v>
      </c>
      <c r="E23" s="59">
        <f t="shared" si="0"/>
        <v>11288.897586490626</v>
      </c>
      <c r="G23" s="7"/>
      <c r="H23" s="6"/>
      <c r="I23" s="6"/>
    </row>
    <row r="24" spans="1:9" x14ac:dyDescent="0.25">
      <c r="A24" s="5">
        <v>1970</v>
      </c>
      <c r="B24" s="18">
        <v>12470</v>
      </c>
      <c r="C24" s="18">
        <v>144995729490.64426</v>
      </c>
      <c r="D24">
        <v>11627.564514085345</v>
      </c>
      <c r="E24" s="59">
        <f t="shared" si="0"/>
        <v>11627.564514085345</v>
      </c>
      <c r="G24" s="7"/>
      <c r="H24" s="6"/>
      <c r="I24" s="6"/>
    </row>
    <row r="25" spans="1:9" x14ac:dyDescent="0.25">
      <c r="A25" s="5">
        <v>1971</v>
      </c>
      <c r="B25" s="18">
        <v>13130</v>
      </c>
      <c r="C25" s="18">
        <v>157250019732.03882</v>
      </c>
      <c r="D25">
        <v>11976.391449507906</v>
      </c>
      <c r="E25" s="59">
        <f t="shared" si="0"/>
        <v>11976.391449507906</v>
      </c>
      <c r="G25" s="7"/>
      <c r="H25" s="6"/>
      <c r="I25" s="6"/>
    </row>
    <row r="26" spans="1:9" x14ac:dyDescent="0.25">
      <c r="A26" s="5">
        <v>1972</v>
      </c>
      <c r="B26" s="18">
        <v>13920</v>
      </c>
      <c r="C26" s="18">
        <v>171712710046.46454</v>
      </c>
      <c r="D26">
        <v>12335.683192993143</v>
      </c>
      <c r="E26" s="59">
        <f t="shared" si="0"/>
        <v>12335.683192993141</v>
      </c>
      <c r="G26" s="7"/>
      <c r="H26" s="6"/>
      <c r="I26" s="6"/>
    </row>
    <row r="27" spans="1:9" x14ac:dyDescent="0.25">
      <c r="A27" s="5">
        <v>1973</v>
      </c>
      <c r="B27" s="18">
        <v>14620</v>
      </c>
      <c r="C27" s="18">
        <v>190060000000</v>
      </c>
      <c r="D27">
        <v>13000</v>
      </c>
      <c r="E27" s="59">
        <f t="shared" si="0"/>
        <v>13000</v>
      </c>
      <c r="G27" s="7"/>
      <c r="H27" s="6"/>
      <c r="I27" s="6"/>
    </row>
    <row r="28" spans="1:9" x14ac:dyDescent="0.25">
      <c r="A28" s="5">
        <v>1974</v>
      </c>
      <c r="B28" s="18">
        <v>15180</v>
      </c>
      <c r="C28" s="18">
        <v>198554400000</v>
      </c>
      <c r="D28">
        <v>13080</v>
      </c>
      <c r="E28" s="59">
        <f t="shared" si="0"/>
        <v>13080</v>
      </c>
      <c r="G28" s="7"/>
      <c r="H28" s="6"/>
      <c r="I28" s="6"/>
    </row>
    <row r="29" spans="1:9" x14ac:dyDescent="0.25">
      <c r="A29" s="5">
        <v>1975</v>
      </c>
      <c r="B29" s="18">
        <v>15520</v>
      </c>
      <c r="C29" s="18">
        <v>204864000000</v>
      </c>
      <c r="D29">
        <v>13200</v>
      </c>
      <c r="E29" s="59">
        <f t="shared" si="0"/>
        <v>13200</v>
      </c>
      <c r="G29" s="7"/>
      <c r="H29" s="6"/>
      <c r="I29" s="6"/>
    </row>
    <row r="30" spans="1:9" x14ac:dyDescent="0.25">
      <c r="A30" s="5">
        <v>1976</v>
      </c>
      <c r="B30" s="18">
        <v>16230</v>
      </c>
      <c r="C30" s="18">
        <v>212450700000</v>
      </c>
      <c r="D30">
        <v>13090</v>
      </c>
      <c r="E30" s="59">
        <f t="shared" si="0"/>
        <v>13090</v>
      </c>
      <c r="G30" s="7"/>
      <c r="H30" s="6"/>
      <c r="I30" s="6"/>
    </row>
    <row r="31" spans="1:9" x14ac:dyDescent="0.25">
      <c r="A31" s="5">
        <v>1977</v>
      </c>
      <c r="B31" s="18">
        <v>16990</v>
      </c>
      <c r="C31" s="18">
        <v>220530200000</v>
      </c>
      <c r="D31">
        <v>12980</v>
      </c>
      <c r="E31" s="59">
        <f t="shared" si="0"/>
        <v>12980</v>
      </c>
      <c r="G31" s="7"/>
      <c r="H31" s="6"/>
      <c r="I31" s="6"/>
    </row>
    <row r="32" spans="1:9" x14ac:dyDescent="0.25">
      <c r="A32" s="5">
        <v>1978</v>
      </c>
      <c r="B32" s="18">
        <v>17720</v>
      </c>
      <c r="C32" s="18">
        <v>229119600000</v>
      </c>
      <c r="D32">
        <v>12930</v>
      </c>
      <c r="E32" s="59">
        <f t="shared" si="0"/>
        <v>12930</v>
      </c>
      <c r="G32" s="7"/>
      <c r="H32" s="6"/>
      <c r="I32" s="6"/>
    </row>
    <row r="33" spans="1:9" x14ac:dyDescent="0.25">
      <c r="A33" s="5">
        <v>1979</v>
      </c>
      <c r="B33" s="18">
        <v>18440</v>
      </c>
      <c r="C33" s="18">
        <v>234556800000</v>
      </c>
      <c r="D33">
        <v>12720</v>
      </c>
      <c r="E33" s="59">
        <f t="shared" si="0"/>
        <v>12720</v>
      </c>
      <c r="G33" s="7"/>
      <c r="H33" s="6"/>
      <c r="I33" s="6"/>
    </row>
    <row r="34" spans="1:9" x14ac:dyDescent="0.25">
      <c r="A34" s="5">
        <v>1980</v>
      </c>
      <c r="B34" s="18">
        <v>19130</v>
      </c>
      <c r="C34" s="18">
        <v>249072600000</v>
      </c>
      <c r="D34">
        <v>13020</v>
      </c>
      <c r="E34" s="59">
        <f t="shared" si="0"/>
        <v>13020</v>
      </c>
      <c r="G34" s="7"/>
      <c r="H34" s="6"/>
      <c r="I34" s="6"/>
    </row>
    <row r="35" spans="1:9" x14ac:dyDescent="0.25">
      <c r="A35" s="5">
        <v>1981</v>
      </c>
      <c r="B35" s="18">
        <v>19750</v>
      </c>
      <c r="C35" s="18">
        <v>262082500000</v>
      </c>
      <c r="D35">
        <v>13270</v>
      </c>
      <c r="E35" s="59">
        <f t="shared" si="0"/>
        <v>13270</v>
      </c>
      <c r="G35" s="7"/>
      <c r="H35" s="6"/>
      <c r="I35" s="6"/>
    </row>
    <row r="36" spans="1:9" x14ac:dyDescent="0.25">
      <c r="A36" s="5">
        <v>1982</v>
      </c>
      <c r="B36" s="18">
        <v>20300</v>
      </c>
      <c r="C36" s="18">
        <v>256389000000</v>
      </c>
      <c r="D36">
        <v>12630</v>
      </c>
      <c r="E36" s="59">
        <f t="shared" si="0"/>
        <v>12630</v>
      </c>
      <c r="G36" s="7"/>
      <c r="H36" s="6"/>
      <c r="I36" s="6"/>
    </row>
    <row r="37" spans="1:9" x14ac:dyDescent="0.25">
      <c r="A37" s="5">
        <v>1983</v>
      </c>
      <c r="B37" s="18">
        <v>20600</v>
      </c>
      <c r="C37" s="18">
        <v>259972000000</v>
      </c>
      <c r="D37">
        <v>12620</v>
      </c>
      <c r="E37" s="59">
        <f t="shared" si="0"/>
        <v>12620</v>
      </c>
      <c r="G37" s="7"/>
      <c r="H37" s="6"/>
      <c r="I37" s="6"/>
    </row>
    <row r="38" spans="1:9" x14ac:dyDescent="0.25">
      <c r="A38" s="5">
        <v>1984</v>
      </c>
      <c r="B38" s="18">
        <v>20800</v>
      </c>
      <c r="C38" s="18">
        <v>267072000000</v>
      </c>
      <c r="D38">
        <v>12840</v>
      </c>
      <c r="E38" s="59">
        <f t="shared" si="0"/>
        <v>12840</v>
      </c>
      <c r="G38" s="7"/>
      <c r="H38" s="6"/>
      <c r="I38" s="6"/>
    </row>
    <row r="39" spans="1:9" x14ac:dyDescent="0.25">
      <c r="A39" s="5">
        <v>1985</v>
      </c>
      <c r="B39" s="18">
        <v>21090</v>
      </c>
      <c r="C39" s="18">
        <v>269108400000</v>
      </c>
      <c r="D39">
        <v>12760</v>
      </c>
      <c r="E39" s="59">
        <f t="shared" si="0"/>
        <v>12760</v>
      </c>
      <c r="G39" s="7"/>
      <c r="H39" s="6"/>
      <c r="I39" s="6"/>
    </row>
    <row r="40" spans="1:9" x14ac:dyDescent="0.25">
      <c r="A40" s="5">
        <v>1986</v>
      </c>
      <c r="B40" s="18">
        <v>21500</v>
      </c>
      <c r="C40" s="18">
        <v>282295000000</v>
      </c>
      <c r="D40">
        <v>13130</v>
      </c>
      <c r="E40" s="59">
        <f t="shared" si="0"/>
        <v>13130</v>
      </c>
      <c r="G40" s="7"/>
      <c r="H40" s="6"/>
      <c r="I40" s="6"/>
    </row>
    <row r="41" spans="1:9" x14ac:dyDescent="0.25">
      <c r="A41" s="5">
        <v>1987</v>
      </c>
      <c r="B41" s="18">
        <v>21970</v>
      </c>
      <c r="C41" s="18">
        <v>291541900000</v>
      </c>
      <c r="D41">
        <v>13270</v>
      </c>
      <c r="E41" s="59">
        <f t="shared" si="0"/>
        <v>13270</v>
      </c>
      <c r="G41" s="7"/>
      <c r="H41" s="6"/>
      <c r="I41" s="6"/>
    </row>
    <row r="42" spans="1:9" x14ac:dyDescent="0.25">
      <c r="A42" s="5">
        <v>1988</v>
      </c>
      <c r="B42" s="18">
        <v>22520</v>
      </c>
      <c r="C42" s="18">
        <v>303569600000</v>
      </c>
      <c r="D42">
        <v>13480</v>
      </c>
      <c r="E42" s="59">
        <f t="shared" si="0"/>
        <v>13480</v>
      </c>
      <c r="G42" s="7"/>
      <c r="H42" s="6"/>
      <c r="I42" s="6"/>
    </row>
    <row r="43" spans="1:9" x14ac:dyDescent="0.25">
      <c r="A43" s="27">
        <v>1989</v>
      </c>
      <c r="B43" s="18">
        <v>23010</v>
      </c>
      <c r="C43" s="18">
        <v>305572800000</v>
      </c>
      <c r="D43">
        <v>13280</v>
      </c>
      <c r="E43" s="59">
        <f t="shared" si="0"/>
        <v>13280</v>
      </c>
      <c r="G43" s="7"/>
      <c r="H43" s="6"/>
      <c r="I43" s="6"/>
    </row>
    <row r="44" spans="1:9" x14ac:dyDescent="0.25">
      <c r="A44" s="5">
        <v>1990</v>
      </c>
      <c r="B44" s="18">
        <v>23550</v>
      </c>
      <c r="C44" s="18">
        <v>324000900000</v>
      </c>
      <c r="D44">
        <v>13758</v>
      </c>
      <c r="E44" s="59">
        <f t="shared" si="0"/>
        <v>13758</v>
      </c>
      <c r="G44" s="7"/>
      <c r="H44" s="6"/>
      <c r="I44" s="6"/>
    </row>
    <row r="45" spans="1:9" x14ac:dyDescent="0.25">
      <c r="A45" s="5">
        <v>1991</v>
      </c>
      <c r="B45" s="18">
        <v>23270</v>
      </c>
      <c r="C45" s="18">
        <v>317821660000</v>
      </c>
      <c r="D45">
        <v>13658</v>
      </c>
      <c r="E45" s="59">
        <f t="shared" si="0"/>
        <v>13658</v>
      </c>
      <c r="G45" s="7"/>
      <c r="H45" s="6"/>
      <c r="I45" s="6"/>
    </row>
    <row r="46" spans="1:9" x14ac:dyDescent="0.25">
      <c r="A46" s="5">
        <v>1992</v>
      </c>
      <c r="B46" s="18">
        <v>24020</v>
      </c>
      <c r="C46" s="18">
        <v>333085340000</v>
      </c>
      <c r="D46">
        <v>13867</v>
      </c>
      <c r="E46" s="59">
        <f t="shared" si="0"/>
        <v>13867</v>
      </c>
      <c r="G46" s="7"/>
      <c r="H46" s="6"/>
      <c r="I46" s="6"/>
    </row>
    <row r="47" spans="1:9" x14ac:dyDescent="0.25">
      <c r="A47" s="5">
        <v>1993</v>
      </c>
      <c r="B47" s="18">
        <v>24385</v>
      </c>
      <c r="C47" s="18">
        <v>336756850000</v>
      </c>
      <c r="D47">
        <v>13810</v>
      </c>
      <c r="E47" s="59">
        <f t="shared" si="0"/>
        <v>13810</v>
      </c>
      <c r="G47" s="7"/>
      <c r="H47" s="6"/>
      <c r="I47" s="6"/>
    </row>
    <row r="48" spans="1:9" x14ac:dyDescent="0.25">
      <c r="A48" s="5">
        <v>1994</v>
      </c>
      <c r="B48" s="18">
        <v>24900</v>
      </c>
      <c r="C48" s="18">
        <v>344416800000</v>
      </c>
      <c r="D48">
        <v>13832</v>
      </c>
      <c r="E48" s="59">
        <f t="shared" si="0"/>
        <v>13832</v>
      </c>
      <c r="G48" s="7"/>
      <c r="H48" s="6"/>
      <c r="I48" s="6"/>
    </row>
    <row r="49" spans="1:9" x14ac:dyDescent="0.25">
      <c r="A49" s="15">
        <v>1995</v>
      </c>
      <c r="B49" s="18">
        <v>25100</v>
      </c>
      <c r="C49" s="18">
        <v>351525500000</v>
      </c>
      <c r="D49">
        <v>14005</v>
      </c>
      <c r="E49" s="59">
        <f t="shared" si="0"/>
        <v>14005</v>
      </c>
      <c r="G49" s="7"/>
      <c r="H49" s="6"/>
      <c r="I49" s="6"/>
    </row>
    <row r="50" spans="1:9" x14ac:dyDescent="0.25">
      <c r="A50" s="15">
        <v>1996</v>
      </c>
      <c r="B50" s="18">
        <v>25500</v>
      </c>
      <c r="C50" s="18">
        <v>357765000000</v>
      </c>
      <c r="D50">
        <v>14030</v>
      </c>
      <c r="E50" s="59">
        <f t="shared" si="0"/>
        <v>14030</v>
      </c>
      <c r="G50" s="7"/>
      <c r="H50" s="6"/>
      <c r="I50" s="6"/>
    </row>
    <row r="51" spans="1:9" x14ac:dyDescent="0.25">
      <c r="A51" s="15">
        <v>1997</v>
      </c>
      <c r="B51" s="18">
        <v>26090</v>
      </c>
      <c r="C51" s="18">
        <v>364868650000</v>
      </c>
      <c r="D51">
        <v>13985</v>
      </c>
      <c r="E51" s="59">
        <f t="shared" si="0"/>
        <v>13985</v>
      </c>
      <c r="G51" s="7"/>
      <c r="H51" s="6"/>
      <c r="I51" s="6"/>
    </row>
    <row r="52" spans="1:9" x14ac:dyDescent="0.25">
      <c r="A52" s="15">
        <v>1998</v>
      </c>
      <c r="B52" s="18">
        <v>26810</v>
      </c>
      <c r="C52" s="18">
        <v>376322570088.89258</v>
      </c>
      <c r="D52">
        <v>14036.649387873651</v>
      </c>
      <c r="E52" s="59">
        <f t="shared" si="0"/>
        <v>14036.649387873651</v>
      </c>
      <c r="G52" s="7"/>
      <c r="H52" s="6"/>
      <c r="I52" s="6"/>
    </row>
    <row r="53" spans="1:9" x14ac:dyDescent="0.25">
      <c r="A53" s="15">
        <v>1999</v>
      </c>
      <c r="B53" s="18">
        <v>27481</v>
      </c>
      <c r="C53" s="18">
        <v>387565175324.34448</v>
      </c>
      <c r="D53">
        <v>14103.023009510007</v>
      </c>
      <c r="E53" s="59">
        <f t="shared" si="0"/>
        <v>14103.023009510007</v>
      </c>
      <c r="G53" s="7"/>
      <c r="H53" s="6"/>
      <c r="I53" s="6"/>
    </row>
    <row r="54" spans="1:9" x14ac:dyDescent="0.25">
      <c r="A54" s="15">
        <v>2000</v>
      </c>
      <c r="B54" s="18">
        <v>28060</v>
      </c>
      <c r="C54" s="18">
        <v>386919340000</v>
      </c>
      <c r="D54">
        <v>13789</v>
      </c>
      <c r="E54" s="59">
        <f t="shared" si="0"/>
        <v>13789</v>
      </c>
      <c r="G54" s="7"/>
      <c r="H54" s="6"/>
      <c r="I54" s="6"/>
    </row>
    <row r="55" spans="1:9" x14ac:dyDescent="0.25">
      <c r="A55" s="15">
        <v>2001</v>
      </c>
      <c r="B55" s="18">
        <v>28700</v>
      </c>
      <c r="C55" s="18">
        <v>402692060846.08533</v>
      </c>
      <c r="D55">
        <v>14031.082259445482</v>
      </c>
      <c r="E55" s="59">
        <f t="shared" si="0"/>
        <v>14031.082259445482</v>
      </c>
      <c r="G55" s="7"/>
      <c r="H55" s="6"/>
      <c r="I55" s="6"/>
    </row>
    <row r="56" spans="1:9" x14ac:dyDescent="0.25">
      <c r="A56" s="15">
        <v>2002</v>
      </c>
      <c r="B56" s="18">
        <v>29160</v>
      </c>
      <c r="C56" s="18">
        <v>404602637171.75134</v>
      </c>
      <c r="D56">
        <v>13875.26190575279</v>
      </c>
      <c r="E56" s="59">
        <f t="shared" si="0"/>
        <v>13875.26190575279</v>
      </c>
      <c r="G56" s="7"/>
      <c r="H56" s="6"/>
      <c r="I56" s="6"/>
    </row>
    <row r="57" spans="1:9" x14ac:dyDescent="0.25">
      <c r="A57" s="15">
        <v>2003</v>
      </c>
      <c r="B57" s="18">
        <v>29560</v>
      </c>
      <c r="C57" s="18">
        <v>406969191954.99951</v>
      </c>
      <c r="D57">
        <v>13767.564003890377</v>
      </c>
      <c r="E57" s="59">
        <f t="shared" si="0"/>
        <v>13767.564003890377</v>
      </c>
      <c r="G57" s="7"/>
      <c r="H57" s="6"/>
      <c r="I57" s="6"/>
    </row>
    <row r="58" spans="1:9" x14ac:dyDescent="0.25">
      <c r="A58" s="15">
        <v>2004</v>
      </c>
      <c r="B58" s="19">
        <v>29900</v>
      </c>
      <c r="C58" s="19">
        <v>405623400000</v>
      </c>
      <c r="D58">
        <v>13566</v>
      </c>
      <c r="E58" s="59">
        <f t="shared" si="0"/>
        <v>13566</v>
      </c>
      <c r="G58" s="7"/>
      <c r="H58" s="6"/>
      <c r="I58" s="6"/>
    </row>
    <row r="59" spans="1:9" x14ac:dyDescent="0.25">
      <c r="A59" s="15">
        <v>2005</v>
      </c>
      <c r="B59" s="7">
        <v>30100</v>
      </c>
      <c r="C59" s="55">
        <v>393956201293.20703</v>
      </c>
      <c r="D59">
        <v>13260</v>
      </c>
      <c r="E59" s="59">
        <f t="shared" si="0"/>
        <v>13088.245890139768</v>
      </c>
      <c r="H59" s="6"/>
      <c r="I59" s="6"/>
    </row>
    <row r="60" spans="1:9" x14ac:dyDescent="0.25">
      <c r="A60" s="15">
        <v>2006</v>
      </c>
      <c r="B60">
        <v>30400</v>
      </c>
      <c r="C60" s="18">
        <v>392964093364.99945</v>
      </c>
      <c r="D60">
        <v>13085</v>
      </c>
      <c r="E60" s="59">
        <f t="shared" si="0"/>
        <v>12926.45043963814</v>
      </c>
    </row>
    <row r="61" spans="1:9" x14ac:dyDescent="0.25">
      <c r="A61" s="15">
        <v>2007</v>
      </c>
      <c r="B61">
        <v>30700</v>
      </c>
      <c r="C61" s="19">
        <v>396179805177.46045</v>
      </c>
      <c r="D61">
        <v>13029</v>
      </c>
      <c r="E61" s="59">
        <f t="shared" si="0"/>
        <v>12904.879647474281</v>
      </c>
    </row>
    <row r="62" spans="1:9" x14ac:dyDescent="0.25">
      <c r="A62" s="15">
        <v>2008</v>
      </c>
      <c r="B62">
        <v>30850</v>
      </c>
      <c r="C62" s="19">
        <v>392355280465.60663</v>
      </c>
      <c r="D62">
        <v>12798</v>
      </c>
      <c r="E62" s="59">
        <f t="shared" si="0"/>
        <v>12718.161441348675</v>
      </c>
    </row>
    <row r="63" spans="1:9" x14ac:dyDescent="0.25">
      <c r="A63" s="15">
        <v>2009</v>
      </c>
      <c r="B63">
        <v>31050</v>
      </c>
      <c r="C63" s="19">
        <v>394854503604.2782</v>
      </c>
      <c r="D63">
        <v>12791</v>
      </c>
      <c r="E63" s="59">
        <f t="shared" si="0"/>
        <v>12716.731194984804</v>
      </c>
    </row>
    <row r="64" spans="1:9" x14ac:dyDescent="0.25">
      <c r="A64" s="15">
        <v>2010</v>
      </c>
      <c r="B64">
        <v>31300</v>
      </c>
      <c r="C64" s="19">
        <v>398065111699.2049</v>
      </c>
      <c r="D64">
        <v>12791</v>
      </c>
      <c r="E64" s="59">
        <f t="shared" si="0"/>
        <v>12717.735198057664</v>
      </c>
    </row>
    <row r="65" spans="1:5" x14ac:dyDescent="0.25">
      <c r="A65" s="15">
        <v>2011</v>
      </c>
      <c r="B65">
        <v>31550</v>
      </c>
      <c r="C65" s="19">
        <v>398848703834.28455</v>
      </c>
      <c r="D65">
        <v>12791</v>
      </c>
      <c r="E65" s="59">
        <f t="shared" si="0"/>
        <v>12641.797268915516</v>
      </c>
    </row>
  </sheetData>
  <phoneticPr fontId="10" type="noConversion"/>
  <pageMargins left="0.78740157499999996" right="0.78740157499999996" top="0.984251969" bottom="0.984251969" header="0.4921259845" footer="0.4921259845"/>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S36"/>
  <sheetViews>
    <sheetView zoomScaleNormal="100" workbookViewId="0">
      <pane xSplit="1" ySplit="2" topLeftCell="B18" activePane="bottomRight" state="frozen"/>
      <selection pane="topRight" activeCell="B1" sqref="B1"/>
      <selection pane="bottomLeft" activeCell="A3" sqref="A3"/>
      <selection pane="bottomRight" activeCell="A39" sqref="A39:XFD46"/>
    </sheetView>
  </sheetViews>
  <sheetFormatPr baseColWidth="10" defaultColWidth="10" defaultRowHeight="12.75" x14ac:dyDescent="0.2"/>
  <cols>
    <col min="1" max="1" width="8.25" style="57" customWidth="1"/>
    <col min="2" max="4" width="10" style="57" customWidth="1"/>
    <col min="5" max="8" width="11.375" style="57" customWidth="1"/>
    <col min="9" max="9" width="10.25" style="57" customWidth="1"/>
    <col min="10" max="10" width="8.875" style="57" customWidth="1"/>
    <col min="11" max="11" width="9.375" style="57" customWidth="1"/>
    <col min="12" max="12" width="6" style="57" bestFit="1" customWidth="1"/>
    <col min="13" max="13" width="11.125" style="57" customWidth="1"/>
    <col min="14" max="24" width="6" style="57" customWidth="1"/>
    <col min="25" max="25" width="6.75" style="57" bestFit="1" customWidth="1"/>
    <col min="26" max="26" width="6.625" style="57" bestFit="1" customWidth="1"/>
    <col min="27" max="28" width="6.5" style="57" customWidth="1"/>
    <col min="29" max="29" width="7" style="57" customWidth="1"/>
    <col min="30" max="30" width="6" style="57" customWidth="1"/>
    <col min="31" max="31" width="7.5" style="57" customWidth="1"/>
    <col min="32" max="16384" width="10" style="57"/>
  </cols>
  <sheetData>
    <row r="1" spans="1:19" x14ac:dyDescent="0.2">
      <c r="A1" s="57" t="s">
        <v>357</v>
      </c>
      <c r="C1" s="57" t="s">
        <v>358</v>
      </c>
    </row>
    <row r="2" spans="1:19" ht="63" customHeight="1" x14ac:dyDescent="0.2">
      <c r="B2" s="58" t="s">
        <v>359</v>
      </c>
      <c r="C2" s="58" t="s">
        <v>361</v>
      </c>
      <c r="D2" s="58" t="s">
        <v>362</v>
      </c>
      <c r="E2" s="58" t="s">
        <v>363</v>
      </c>
      <c r="F2" s="58" t="s">
        <v>364</v>
      </c>
      <c r="G2" s="58" t="s">
        <v>365</v>
      </c>
      <c r="H2" s="58" t="s">
        <v>366</v>
      </c>
      <c r="I2" s="58" t="s">
        <v>367</v>
      </c>
      <c r="J2" s="58" t="s">
        <v>368</v>
      </c>
      <c r="K2" s="58" t="s">
        <v>369</v>
      </c>
      <c r="L2" s="58" t="s">
        <v>370</v>
      </c>
      <c r="M2" s="58" t="s">
        <v>371</v>
      </c>
      <c r="O2" s="57" t="s">
        <v>372</v>
      </c>
      <c r="P2" s="57" t="s">
        <v>373</v>
      </c>
      <c r="Q2" s="57" t="s">
        <v>374</v>
      </c>
      <c r="R2" s="57" t="s">
        <v>375</v>
      </c>
      <c r="S2" s="57" t="s">
        <v>376</v>
      </c>
    </row>
    <row r="3" spans="1:19" x14ac:dyDescent="0.2">
      <c r="A3" s="57">
        <v>1981</v>
      </c>
      <c r="B3" s="57">
        <v>660.4385299999999</v>
      </c>
      <c r="C3" s="57">
        <v>1293.69508</v>
      </c>
      <c r="D3" s="57">
        <v>902.73580000000004</v>
      </c>
      <c r="E3" s="57">
        <v>22404.184589999993</v>
      </c>
      <c r="F3" s="57">
        <v>15459.164870000001</v>
      </c>
      <c r="G3" s="57">
        <v>2727.4641700000002</v>
      </c>
      <c r="H3" s="57">
        <v>9529.0982299999996</v>
      </c>
      <c r="I3" s="57">
        <v>915.79214999999999</v>
      </c>
      <c r="J3" s="57">
        <v>885.45278000000008</v>
      </c>
      <c r="K3" s="57">
        <v>141.00889999999998</v>
      </c>
      <c r="L3" s="57">
        <v>54919.035099999994</v>
      </c>
      <c r="M3" s="57">
        <v>5.2019657752508479</v>
      </c>
    </row>
    <row r="4" spans="1:19" x14ac:dyDescent="0.2">
      <c r="A4" s="57">
        <v>1982</v>
      </c>
      <c r="B4" s="57">
        <v>670.50224000000003</v>
      </c>
      <c r="C4" s="57">
        <v>1312.70796</v>
      </c>
      <c r="D4" s="57">
        <v>921.8434400000001</v>
      </c>
      <c r="E4" s="57">
        <v>22460.523379999999</v>
      </c>
      <c r="F4" s="57">
        <v>15491.393639999998</v>
      </c>
      <c r="G4" s="57">
        <v>2699.3600300000003</v>
      </c>
      <c r="H4" s="57">
        <v>9431.6842400000005</v>
      </c>
      <c r="I4" s="57">
        <v>905.64370000000008</v>
      </c>
      <c r="J4" s="57">
        <v>886.34250999999995</v>
      </c>
      <c r="K4" s="57">
        <v>139.03395999999998</v>
      </c>
      <c r="L4" s="57">
        <v>54919.035100000001</v>
      </c>
      <c r="M4" s="57">
        <v>5.289702622615815</v>
      </c>
    </row>
    <row r="5" spans="1:19" x14ac:dyDescent="0.2">
      <c r="A5" s="57">
        <v>1983</v>
      </c>
      <c r="B5" s="57">
        <v>697.57978000000003</v>
      </c>
      <c r="C5" s="57">
        <v>1324.00244</v>
      </c>
      <c r="D5" s="57">
        <v>946.41506000000004</v>
      </c>
      <c r="E5" s="57">
        <v>22508.711249999997</v>
      </c>
      <c r="F5" s="57">
        <v>15487.73669</v>
      </c>
      <c r="G5" s="57">
        <v>2715.20892</v>
      </c>
      <c r="H5" s="57">
        <v>9307.0351299999984</v>
      </c>
      <c r="I5" s="57">
        <v>906.83783000000005</v>
      </c>
      <c r="J5" s="57">
        <v>887.97808999999995</v>
      </c>
      <c r="K5" s="57">
        <v>137.52991</v>
      </c>
      <c r="L5" s="57">
        <v>54919.035099999979</v>
      </c>
      <c r="M5" s="57">
        <v>5.4043143230679247</v>
      </c>
    </row>
    <row r="6" spans="1:19" x14ac:dyDescent="0.2">
      <c r="A6" s="57">
        <v>1984</v>
      </c>
      <c r="B6" s="57">
        <v>722.36698999999987</v>
      </c>
      <c r="C6" s="57">
        <v>1354.1698100000001</v>
      </c>
      <c r="D6" s="57">
        <v>976.59312999999986</v>
      </c>
      <c r="E6" s="57">
        <v>22550.966319999996</v>
      </c>
      <c r="F6" s="57">
        <v>15502.161869999998</v>
      </c>
      <c r="G6" s="57">
        <v>2629.0079000000001</v>
      </c>
      <c r="H6" s="57">
        <v>9253.1517900000017</v>
      </c>
      <c r="I6" s="57">
        <v>899.54593999999997</v>
      </c>
      <c r="J6" s="57">
        <v>892.07368000000008</v>
      </c>
      <c r="K6" s="57">
        <v>138.99767</v>
      </c>
      <c r="L6" s="57">
        <v>54919.035099999994</v>
      </c>
      <c r="M6" s="57">
        <v>5.5593291550746855</v>
      </c>
    </row>
    <row r="7" spans="1:19" x14ac:dyDescent="0.2">
      <c r="A7" s="57">
        <v>1985</v>
      </c>
      <c r="B7" s="57">
        <v>745.01854000000003</v>
      </c>
      <c r="C7" s="57">
        <v>1376.0034599999999</v>
      </c>
      <c r="D7" s="57">
        <v>984.76571999999999</v>
      </c>
      <c r="E7" s="57">
        <v>22662.787090000002</v>
      </c>
      <c r="F7" s="57">
        <v>15502.51893</v>
      </c>
      <c r="G7" s="57">
        <v>2632.0763299999999</v>
      </c>
      <c r="H7" s="57">
        <v>9075.8746699999992</v>
      </c>
      <c r="I7" s="57">
        <v>896.20550000000003</v>
      </c>
      <c r="J7" s="57">
        <v>904.7780600000001</v>
      </c>
      <c r="K7" s="57">
        <v>139.0068</v>
      </c>
      <c r="L7" s="57">
        <v>54919.035100000008</v>
      </c>
      <c r="M7" s="57">
        <v>5.6552117391443373</v>
      </c>
    </row>
    <row r="8" spans="1:19" x14ac:dyDescent="0.2">
      <c r="A8" s="57">
        <v>1986</v>
      </c>
      <c r="B8" s="57">
        <v>760.85877000000005</v>
      </c>
      <c r="C8" s="57">
        <v>1388.36574</v>
      </c>
      <c r="D8" s="57">
        <v>995.0549900000002</v>
      </c>
      <c r="E8" s="57">
        <v>22666.442580000006</v>
      </c>
      <c r="F8" s="57">
        <v>15511.265810000003</v>
      </c>
      <c r="G8" s="57">
        <v>2617.10763</v>
      </c>
      <c r="H8" s="57">
        <v>9031.8514099999993</v>
      </c>
      <c r="I8" s="57">
        <v>897.98688000000004</v>
      </c>
      <c r="J8" s="57">
        <v>909.65938999999992</v>
      </c>
      <c r="K8" s="57">
        <v>140.4419</v>
      </c>
      <c r="L8" s="57">
        <v>54919.035100000001</v>
      </c>
      <c r="M8" s="57">
        <v>5.7252999698095577</v>
      </c>
    </row>
    <row r="9" spans="1:19" x14ac:dyDescent="0.2">
      <c r="A9" s="57">
        <v>1987</v>
      </c>
      <c r="B9" s="57">
        <v>782.92298000000005</v>
      </c>
      <c r="C9" s="57">
        <v>1396.2067</v>
      </c>
      <c r="D9" s="57">
        <v>1015.6490899999999</v>
      </c>
      <c r="E9" s="57">
        <v>22840.108820000005</v>
      </c>
      <c r="F9" s="57">
        <v>15507.908290000003</v>
      </c>
      <c r="G9" s="57">
        <v>2598.2874400000001</v>
      </c>
      <c r="H9" s="57">
        <v>8826.2823000000008</v>
      </c>
      <c r="I9" s="57">
        <v>898.08858999999995</v>
      </c>
      <c r="J9" s="57">
        <v>913.65200000000004</v>
      </c>
      <c r="K9" s="57">
        <v>139.92889000000002</v>
      </c>
      <c r="L9" s="57">
        <v>54919.035100000008</v>
      </c>
      <c r="M9" s="57">
        <v>5.8172521862096582</v>
      </c>
    </row>
    <row r="10" spans="1:19" x14ac:dyDescent="0.2">
      <c r="A10" s="57">
        <v>1988</v>
      </c>
      <c r="B10" s="57">
        <v>808.16188000000011</v>
      </c>
      <c r="C10" s="57">
        <v>1403.5685700000001</v>
      </c>
      <c r="D10" s="57">
        <v>1036.7063700000001</v>
      </c>
      <c r="E10" s="57">
        <v>22917.019009999993</v>
      </c>
      <c r="F10" s="57">
        <v>15523.420719999998</v>
      </c>
      <c r="G10" s="57">
        <v>2590.5771500000001</v>
      </c>
      <c r="H10" s="57">
        <v>8683.0460300000013</v>
      </c>
      <c r="I10" s="57">
        <v>895.25613999999985</v>
      </c>
      <c r="J10" s="57">
        <v>921.84104000000002</v>
      </c>
      <c r="K10" s="57">
        <v>139.43818999999999</v>
      </c>
      <c r="L10" s="57">
        <v>54919.035099999979</v>
      </c>
      <c r="M10" s="57">
        <v>5.9149561059932045</v>
      </c>
    </row>
    <row r="11" spans="1:19" x14ac:dyDescent="0.2">
      <c r="A11" s="57">
        <v>1989</v>
      </c>
      <c r="B11" s="57">
        <v>831.22149999999999</v>
      </c>
      <c r="C11" s="57">
        <v>1417.71777</v>
      </c>
      <c r="D11" s="57">
        <v>1059.3309899999999</v>
      </c>
      <c r="E11" s="57">
        <v>22855.623840000011</v>
      </c>
      <c r="F11" s="57">
        <v>15518.887649999999</v>
      </c>
      <c r="G11" s="57">
        <v>2592.1013700000003</v>
      </c>
      <c r="H11" s="57">
        <v>8674.8878499999992</v>
      </c>
      <c r="I11" s="57">
        <v>895.31395999999995</v>
      </c>
      <c r="J11" s="57">
        <v>934.24539000000004</v>
      </c>
      <c r="K11" s="57">
        <v>139.70478</v>
      </c>
      <c r="L11" s="57">
        <v>54919.035100000008</v>
      </c>
      <c r="M11" s="57">
        <v>6.0239045605519008</v>
      </c>
    </row>
    <row r="12" spans="1:19" x14ac:dyDescent="0.2">
      <c r="A12" s="57">
        <v>1990</v>
      </c>
      <c r="B12" s="57">
        <v>858.18729999999994</v>
      </c>
      <c r="C12" s="57">
        <v>1439.88942</v>
      </c>
      <c r="D12" s="57">
        <v>1077.20388</v>
      </c>
      <c r="E12" s="57">
        <v>22866.408180000006</v>
      </c>
      <c r="F12" s="57">
        <v>15553.989479999997</v>
      </c>
      <c r="G12" s="57">
        <v>2603.0569999999998</v>
      </c>
      <c r="H12" s="57">
        <v>8552.0328900000004</v>
      </c>
      <c r="I12" s="57">
        <v>894.82143000000008</v>
      </c>
      <c r="J12" s="57">
        <v>933.94045999999992</v>
      </c>
      <c r="K12" s="57">
        <v>139.50505999999999</v>
      </c>
      <c r="L12" s="57">
        <v>54919.035100000008</v>
      </c>
      <c r="M12" s="57">
        <v>6.14592116167751</v>
      </c>
    </row>
    <row r="13" spans="1:19" x14ac:dyDescent="0.2">
      <c r="A13" s="57">
        <v>1991</v>
      </c>
      <c r="B13" s="57" t="s">
        <v>360</v>
      </c>
      <c r="C13" s="57" t="s">
        <v>360</v>
      </c>
      <c r="D13" s="57" t="s">
        <v>360</v>
      </c>
      <c r="E13" s="57" t="s">
        <v>360</v>
      </c>
      <c r="F13" s="57" t="s">
        <v>360</v>
      </c>
      <c r="G13" s="57" t="s">
        <v>360</v>
      </c>
      <c r="H13" s="57" t="s">
        <v>360</v>
      </c>
      <c r="I13" s="57" t="s">
        <v>360</v>
      </c>
      <c r="J13" s="57" t="s">
        <v>360</v>
      </c>
      <c r="K13" s="57" t="s">
        <v>360</v>
      </c>
      <c r="L13" s="57" t="s">
        <v>360</v>
      </c>
      <c r="M13" s="57" t="s">
        <v>360</v>
      </c>
    </row>
    <row r="14" spans="1:19" x14ac:dyDescent="0.2">
      <c r="A14" s="57">
        <v>1992</v>
      </c>
      <c r="B14" s="57">
        <v>714.34400000000005</v>
      </c>
      <c r="C14" s="57">
        <v>1535.39</v>
      </c>
      <c r="D14" s="57">
        <v>1341.8989999999999</v>
      </c>
      <c r="E14" s="57">
        <v>19468.092999999993</v>
      </c>
      <c r="F14" s="57">
        <v>16328.532999999999</v>
      </c>
      <c r="G14" s="57">
        <v>2588.8209999999999</v>
      </c>
      <c r="H14" s="57">
        <v>10980.945</v>
      </c>
      <c r="I14" s="57">
        <v>903.70600000000002</v>
      </c>
      <c r="J14" s="57">
        <v>933.57899999999995</v>
      </c>
      <c r="K14" s="57">
        <v>123.887</v>
      </c>
      <c r="L14" s="57">
        <v>54919.196999999986</v>
      </c>
      <c r="M14" s="57">
        <v>6.5398498088018311</v>
      </c>
    </row>
    <row r="15" spans="1:19" x14ac:dyDescent="0.2">
      <c r="A15" s="57">
        <v>1993</v>
      </c>
      <c r="B15" s="57">
        <v>728.471</v>
      </c>
      <c r="C15" s="57">
        <v>1556.8890000000001</v>
      </c>
      <c r="D15" s="57">
        <v>1371.3020000000001</v>
      </c>
      <c r="E15" s="57">
        <v>19607.855</v>
      </c>
      <c r="F15" s="57">
        <v>16476.214</v>
      </c>
      <c r="G15" s="57">
        <v>2579.453</v>
      </c>
      <c r="H15" s="57">
        <v>10645.834000000001</v>
      </c>
      <c r="I15" s="57">
        <v>890.56700000000001</v>
      </c>
      <c r="J15" s="57">
        <v>940.43700000000001</v>
      </c>
      <c r="K15" s="57">
        <v>122.17</v>
      </c>
      <c r="L15" s="57">
        <v>54919.192000000003</v>
      </c>
      <c r="M15" s="57">
        <v>6.6582589197597812</v>
      </c>
    </row>
    <row r="16" spans="1:19" x14ac:dyDescent="0.2">
      <c r="A16" s="57">
        <v>1994</v>
      </c>
      <c r="B16" s="57">
        <v>740.41200000000003</v>
      </c>
      <c r="C16" s="57">
        <v>1579.8130000000001</v>
      </c>
      <c r="D16" s="57">
        <v>1412.249</v>
      </c>
      <c r="E16" s="57">
        <v>19607.43</v>
      </c>
      <c r="F16" s="57">
        <v>16586.823</v>
      </c>
      <c r="G16" s="57">
        <v>2515.9780000000001</v>
      </c>
      <c r="H16" s="57">
        <v>10517.244999999999</v>
      </c>
      <c r="I16" s="57">
        <v>885.46699999999998</v>
      </c>
      <c r="J16" s="57">
        <v>952.00799999999992</v>
      </c>
      <c r="K16" s="57">
        <v>121.76900000000001</v>
      </c>
      <c r="L16" s="57">
        <v>54919.193999999996</v>
      </c>
      <c r="M16" s="57">
        <v>6.796301489785157</v>
      </c>
    </row>
    <row r="17" spans="1:13" x14ac:dyDescent="0.2">
      <c r="A17" s="57">
        <v>1995</v>
      </c>
      <c r="B17" s="57">
        <v>751.173</v>
      </c>
      <c r="C17" s="57">
        <v>1600.623</v>
      </c>
      <c r="D17" s="57">
        <v>1441.9190000000003</v>
      </c>
      <c r="E17" s="57">
        <v>19262.198</v>
      </c>
      <c r="F17" s="57">
        <v>16659.032999999999</v>
      </c>
      <c r="G17" s="57">
        <v>2448.7309999999998</v>
      </c>
      <c r="H17" s="57">
        <v>10796.037999999999</v>
      </c>
      <c r="I17" s="57">
        <v>882.14299999999992</v>
      </c>
      <c r="J17" s="57">
        <v>955.17499999999995</v>
      </c>
      <c r="K17" s="57">
        <v>122.158</v>
      </c>
      <c r="L17" s="57">
        <v>54919.190999999999</v>
      </c>
      <c r="M17" s="57">
        <v>6.9078129719718566</v>
      </c>
    </row>
    <row r="18" spans="1:13" x14ac:dyDescent="0.2">
      <c r="A18" s="57">
        <v>1996</v>
      </c>
      <c r="B18" s="57">
        <v>764.15499999999997</v>
      </c>
      <c r="C18" s="57">
        <v>1624.6010000000001</v>
      </c>
      <c r="D18" s="57">
        <v>1473.665</v>
      </c>
      <c r="E18" s="57">
        <v>19287.224000000002</v>
      </c>
      <c r="F18" s="57">
        <v>16703.763999999996</v>
      </c>
      <c r="G18" s="57">
        <v>2396.1799999999998</v>
      </c>
      <c r="H18" s="57">
        <v>10706.436999999998</v>
      </c>
      <c r="I18" s="57">
        <v>878.49299999999994</v>
      </c>
      <c r="J18" s="57">
        <v>960.7879999999999</v>
      </c>
      <c r="K18" s="57">
        <v>123.88500000000001</v>
      </c>
      <c r="L18" s="57">
        <v>54919.192000000003</v>
      </c>
      <c r="M18" s="57">
        <v>7.0329166532530198</v>
      </c>
    </row>
    <row r="19" spans="1:13" x14ac:dyDescent="0.2">
      <c r="A19" s="57">
        <v>1997</v>
      </c>
      <c r="B19" s="57">
        <v>773.19600000000014</v>
      </c>
      <c r="C19" s="57">
        <v>1633.8529999999998</v>
      </c>
      <c r="D19" s="57">
        <v>1500.4590000000001</v>
      </c>
      <c r="E19" s="57">
        <v>19342.583999999999</v>
      </c>
      <c r="F19" s="57">
        <v>16741.517</v>
      </c>
      <c r="G19" s="57">
        <v>2376.154</v>
      </c>
      <c r="H19" s="57">
        <v>10585.88</v>
      </c>
      <c r="I19" s="57">
        <v>873.45399999999995</v>
      </c>
      <c r="J19" s="57">
        <v>968.21100000000001</v>
      </c>
      <c r="K19" s="57">
        <v>123.881</v>
      </c>
      <c r="L19" s="57">
        <v>54919.188999999998</v>
      </c>
      <c r="M19" s="57">
        <v>7.1150140254256113</v>
      </c>
    </row>
    <row r="20" spans="1:13" x14ac:dyDescent="0.2">
      <c r="A20" s="57">
        <v>1998</v>
      </c>
      <c r="B20" s="57">
        <v>790.91499999999996</v>
      </c>
      <c r="C20" s="57">
        <v>1649.56</v>
      </c>
      <c r="D20" s="57">
        <v>1534.2080000000001</v>
      </c>
      <c r="E20" s="57">
        <v>19393.624000000007</v>
      </c>
      <c r="F20" s="57">
        <v>16782.925999999999</v>
      </c>
      <c r="G20" s="57">
        <v>2355.232</v>
      </c>
      <c r="H20" s="57">
        <v>10452.701999999999</v>
      </c>
      <c r="I20" s="57">
        <v>865.24099999999999</v>
      </c>
      <c r="J20" s="57">
        <v>971.005</v>
      </c>
      <c r="K20" s="57">
        <v>123.78100000000001</v>
      </c>
      <c r="L20" s="57">
        <v>54919.19400000001</v>
      </c>
      <c r="M20" s="57">
        <v>7.2373294480614536</v>
      </c>
    </row>
    <row r="21" spans="1:13" x14ac:dyDescent="0.2">
      <c r="A21" s="57">
        <v>1999</v>
      </c>
      <c r="B21" s="57">
        <v>806.98099999999999</v>
      </c>
      <c r="C21" s="57">
        <v>1670.635</v>
      </c>
      <c r="D21" s="57">
        <v>1557.3830000000003</v>
      </c>
      <c r="E21" s="57">
        <v>19318.577999999994</v>
      </c>
      <c r="F21" s="57">
        <v>16796.941000000003</v>
      </c>
      <c r="G21" s="57">
        <v>2348.2249999999999</v>
      </c>
      <c r="H21" s="57">
        <v>10471.458999999999</v>
      </c>
      <c r="I21" s="57">
        <v>850.98700000000008</v>
      </c>
      <c r="J21" s="57">
        <v>972.72</v>
      </c>
      <c r="K21" s="57">
        <v>125.184</v>
      </c>
      <c r="L21" s="57">
        <v>54919.092999999993</v>
      </c>
      <c r="M21" s="57">
        <v>7.3471697720863691</v>
      </c>
    </row>
    <row r="22" spans="1:13" x14ac:dyDescent="0.2">
      <c r="A22" s="57">
        <v>2000</v>
      </c>
      <c r="B22" s="57">
        <v>824.83799999999997</v>
      </c>
      <c r="C22" s="57">
        <v>1684.12</v>
      </c>
      <c r="D22" s="57">
        <v>1577.0540000000001</v>
      </c>
      <c r="E22" s="57">
        <v>19267.893999999997</v>
      </c>
      <c r="F22" s="57">
        <v>16833.473000000002</v>
      </c>
      <c r="G22" s="57">
        <v>2319.6190000000001</v>
      </c>
      <c r="H22" s="57">
        <v>10462.09</v>
      </c>
      <c r="I22" s="57">
        <v>848.59899999999993</v>
      </c>
      <c r="J22" s="57">
        <v>976.01</v>
      </c>
      <c r="K22" s="57">
        <v>125.49299999999999</v>
      </c>
      <c r="L22" s="57">
        <v>54919.19</v>
      </c>
      <c r="M22" s="57">
        <v>7.4400441812779814</v>
      </c>
    </row>
    <row r="23" spans="1:13" x14ac:dyDescent="0.2">
      <c r="A23" s="57">
        <v>2001</v>
      </c>
      <c r="B23" s="57">
        <v>844.17100000000005</v>
      </c>
      <c r="C23" s="57">
        <v>1699.019</v>
      </c>
      <c r="D23" s="57">
        <v>1609.6529999999998</v>
      </c>
      <c r="E23" s="57">
        <v>19140.122000000003</v>
      </c>
      <c r="F23" s="57">
        <v>16868.567999999996</v>
      </c>
      <c r="G23" s="57">
        <v>2299.52</v>
      </c>
      <c r="H23" s="57">
        <v>10512.916000000001</v>
      </c>
      <c r="I23" s="57">
        <v>840.625</v>
      </c>
      <c r="J23" s="57">
        <v>978.90400000000011</v>
      </c>
      <c r="K23" s="57">
        <v>125.691</v>
      </c>
      <c r="L23" s="57">
        <v>54919.188999999998</v>
      </c>
      <c r="M23" s="57">
        <v>7.5617340234212129</v>
      </c>
    </row>
    <row r="24" spans="1:13" x14ac:dyDescent="0.2">
      <c r="A24" s="57">
        <v>2002</v>
      </c>
      <c r="B24" s="57">
        <v>860.94158000000004</v>
      </c>
      <c r="C24" s="57">
        <v>1711.4364399999999</v>
      </c>
      <c r="D24" s="57">
        <v>1634.2197900000001</v>
      </c>
      <c r="E24" s="57">
        <v>19099.625930000002</v>
      </c>
      <c r="F24" s="57">
        <v>16899.671760000005</v>
      </c>
      <c r="G24" s="57">
        <v>2263.962</v>
      </c>
      <c r="H24" s="57">
        <v>10509.174910000003</v>
      </c>
      <c r="I24" s="57">
        <v>832.86389000000008</v>
      </c>
      <c r="J24" s="57">
        <v>981.70483999999999</v>
      </c>
      <c r="K24" s="57">
        <v>125.59009</v>
      </c>
      <c r="L24" s="57">
        <v>54919.191230000004</v>
      </c>
      <c r="M24" s="57">
        <v>7.6596135445310702</v>
      </c>
    </row>
    <row r="25" spans="1:13" x14ac:dyDescent="0.2">
      <c r="A25" s="57">
        <v>2003</v>
      </c>
      <c r="B25" s="57">
        <v>877.67432999999994</v>
      </c>
      <c r="C25" s="57">
        <v>1724.2421199999999</v>
      </c>
      <c r="D25" s="57">
        <v>1657.9939799999997</v>
      </c>
      <c r="E25" s="57">
        <v>19021.254440000004</v>
      </c>
      <c r="F25" s="57">
        <v>16925.021290000001</v>
      </c>
      <c r="G25" s="57">
        <v>2240.5166399999998</v>
      </c>
      <c r="H25" s="57">
        <v>10532.572030000003</v>
      </c>
      <c r="I25" s="57">
        <v>830.19074999999998</v>
      </c>
      <c r="J25" s="57">
        <v>982.22469000000012</v>
      </c>
      <c r="K25" s="57">
        <v>127.50042999999999</v>
      </c>
      <c r="L25" s="57">
        <v>54919.190700000014</v>
      </c>
      <c r="M25" s="57">
        <v>7.7566882827353805</v>
      </c>
    </row>
    <row r="26" spans="1:13" x14ac:dyDescent="0.2">
      <c r="A26" s="57">
        <v>2004</v>
      </c>
      <c r="B26" s="57" t="s">
        <v>360</v>
      </c>
      <c r="C26" s="57" t="s">
        <v>360</v>
      </c>
      <c r="D26" s="57" t="s">
        <v>360</v>
      </c>
      <c r="E26" s="57" t="s">
        <v>360</v>
      </c>
      <c r="F26" s="57" t="s">
        <v>360</v>
      </c>
      <c r="G26" s="57" t="s">
        <v>360</v>
      </c>
      <c r="H26" s="57" t="s">
        <v>360</v>
      </c>
      <c r="I26" s="57" t="s">
        <v>360</v>
      </c>
      <c r="J26" s="57" t="s">
        <v>360</v>
      </c>
      <c r="K26" s="57" t="s">
        <v>360</v>
      </c>
      <c r="L26" s="57" t="s">
        <v>360</v>
      </c>
      <c r="M26" s="57" t="s">
        <v>360</v>
      </c>
    </row>
    <row r="27" spans="1:13" x14ac:dyDescent="0.2">
      <c r="A27" s="57">
        <v>2005</v>
      </c>
      <c r="B27" s="57" t="s">
        <v>360</v>
      </c>
      <c r="C27" s="57" t="s">
        <v>360</v>
      </c>
      <c r="D27" s="57" t="s">
        <v>360</v>
      </c>
      <c r="E27" s="57" t="s">
        <v>360</v>
      </c>
      <c r="F27" s="57" t="s">
        <v>360</v>
      </c>
      <c r="G27" s="57" t="s">
        <v>360</v>
      </c>
      <c r="H27" s="57" t="s">
        <v>360</v>
      </c>
      <c r="I27" s="57" t="s">
        <v>360</v>
      </c>
      <c r="J27" s="57" t="s">
        <v>360</v>
      </c>
      <c r="K27" s="57" t="s">
        <v>360</v>
      </c>
      <c r="L27" s="57" t="s">
        <v>360</v>
      </c>
      <c r="M27" s="57" t="s">
        <v>360</v>
      </c>
    </row>
    <row r="28" spans="1:13" x14ac:dyDescent="0.2">
      <c r="A28" s="57">
        <v>2006</v>
      </c>
      <c r="B28" s="57">
        <v>755.89343999999994</v>
      </c>
      <c r="C28" s="57">
        <v>2159.5972099999999</v>
      </c>
      <c r="D28" s="57">
        <v>1652.9876999999999</v>
      </c>
      <c r="E28" s="57">
        <v>28591.149260000002</v>
      </c>
      <c r="F28" s="57">
        <v>17041.870330000002</v>
      </c>
      <c r="G28" s="57">
        <v>2787.0752400000001</v>
      </c>
      <c r="H28" s="57">
        <v>942.14323999999999</v>
      </c>
      <c r="I28" s="57">
        <v>863.80822000000001</v>
      </c>
      <c r="J28" s="57">
        <v>124.72129</v>
      </c>
      <c r="L28" s="57">
        <v>54919.245929999997</v>
      </c>
    </row>
    <row r="29" spans="1:13" x14ac:dyDescent="0.2">
      <c r="A29" s="57">
        <v>2007</v>
      </c>
      <c r="B29" s="57">
        <v>773.65558999999996</v>
      </c>
      <c r="C29" s="57">
        <v>2217.6717000000003</v>
      </c>
      <c r="D29" s="57">
        <v>1655.20127</v>
      </c>
      <c r="E29" s="57">
        <v>28482.521120000001</v>
      </c>
      <c r="F29" s="57">
        <v>17037.344830000002</v>
      </c>
      <c r="G29" s="57">
        <v>2794.7333900000003</v>
      </c>
      <c r="H29" s="57">
        <v>950.39823999999999</v>
      </c>
      <c r="I29" s="57">
        <v>880.41660999999999</v>
      </c>
      <c r="J29" s="57">
        <v>127.30318</v>
      </c>
      <c r="L29" s="57">
        <v>54919.245929999997</v>
      </c>
    </row>
    <row r="30" spans="1:13" x14ac:dyDescent="0.2">
      <c r="A30" s="57">
        <v>2008</v>
      </c>
      <c r="B30" s="57">
        <v>796.29363999999998</v>
      </c>
      <c r="C30" s="57">
        <v>2278.5741600000001</v>
      </c>
      <c r="D30" s="57">
        <v>1665.28575</v>
      </c>
      <c r="E30" s="57">
        <v>28363.353789999997</v>
      </c>
      <c r="F30" s="57">
        <v>17013.240699999998</v>
      </c>
      <c r="G30" s="57">
        <v>2840.2707500000001</v>
      </c>
      <c r="H30" s="57">
        <v>958.63293999999996</v>
      </c>
      <c r="I30" s="57">
        <v>882.7651800000001</v>
      </c>
      <c r="J30" s="57">
        <v>120.82902</v>
      </c>
      <c r="L30" s="57">
        <v>54919.245929999997</v>
      </c>
    </row>
    <row r="31" spans="1:13" x14ac:dyDescent="0.2">
      <c r="A31" s="57">
        <v>2009</v>
      </c>
      <c r="B31" s="57">
        <v>815.95653000000004</v>
      </c>
      <c r="C31" s="57">
        <v>2306.6571099999996</v>
      </c>
      <c r="D31" s="57">
        <v>1706.9626499999999</v>
      </c>
      <c r="E31" s="57">
        <v>28309.93059</v>
      </c>
      <c r="F31" s="57">
        <v>16997.371740000002</v>
      </c>
      <c r="G31" s="57">
        <v>2859.7043199999998</v>
      </c>
      <c r="H31" s="57">
        <v>968.13261999999997</v>
      </c>
      <c r="I31" s="57">
        <v>898.27794999999992</v>
      </c>
      <c r="J31" s="57">
        <v>56.252420000000001</v>
      </c>
      <c r="L31" s="57">
        <v>54919.245929999997</v>
      </c>
    </row>
    <row r="32" spans="1:13" x14ac:dyDescent="0.2">
      <c r="A32" s="57">
        <v>2010</v>
      </c>
      <c r="B32" s="57">
        <v>832.87080000000003</v>
      </c>
      <c r="C32" s="57">
        <v>2324.3690999999999</v>
      </c>
      <c r="D32" s="57">
        <v>1735.62499</v>
      </c>
      <c r="E32" s="57">
        <v>28258.838879999999</v>
      </c>
      <c r="F32" s="57">
        <v>16994.028149999998</v>
      </c>
      <c r="G32" s="57">
        <v>2856.1811600000001</v>
      </c>
      <c r="H32" s="57">
        <v>966.58406000000002</v>
      </c>
      <c r="I32" s="57">
        <v>900.86285999999996</v>
      </c>
      <c r="J32" s="57">
        <v>49.885930000000002</v>
      </c>
      <c r="L32" s="57">
        <v>54919.245929999997</v>
      </c>
    </row>
    <row r="33" spans="1:12" x14ac:dyDescent="0.2">
      <c r="A33" s="57">
        <v>2011</v>
      </c>
      <c r="B33" s="57">
        <v>860.25923000000012</v>
      </c>
      <c r="C33" s="57">
        <v>2364.1726950000002</v>
      </c>
      <c r="D33" s="57">
        <v>1717.2634200000002</v>
      </c>
      <c r="E33" s="57">
        <v>28217.309285000003</v>
      </c>
      <c r="F33" s="57">
        <v>16992.609365</v>
      </c>
      <c r="G33" s="57">
        <v>2853.0792149999997</v>
      </c>
      <c r="H33" s="57">
        <v>964.35730000000001</v>
      </c>
      <c r="I33" s="57">
        <v>902.20252499999992</v>
      </c>
      <c r="J33" s="57">
        <v>47.992895000000004</v>
      </c>
      <c r="L33" s="57">
        <v>54919.245929999997</v>
      </c>
    </row>
    <row r="34" spans="1:12" x14ac:dyDescent="0.2">
      <c r="A34" s="57">
        <v>2012</v>
      </c>
      <c r="B34" s="57">
        <v>887.64766000000009</v>
      </c>
      <c r="C34" s="57">
        <v>2403.9762900000001</v>
      </c>
      <c r="D34" s="57">
        <v>1698.9018500000002</v>
      </c>
      <c r="E34" s="57">
        <v>28175.779690000003</v>
      </c>
      <c r="F34" s="57">
        <v>16991.190580000002</v>
      </c>
      <c r="G34" s="57">
        <v>2849.9772699999999</v>
      </c>
      <c r="H34" s="57">
        <v>962.13054</v>
      </c>
      <c r="I34" s="57">
        <v>903.54218999999989</v>
      </c>
      <c r="J34" s="57">
        <v>46.09986</v>
      </c>
      <c r="L34" s="57">
        <v>54919.245929999997</v>
      </c>
    </row>
    <row r="35" spans="1:12" x14ac:dyDescent="0.2">
      <c r="A35" s="57">
        <v>2013</v>
      </c>
      <c r="B35" s="57">
        <v>902.93299999999999</v>
      </c>
      <c r="C35" s="57">
        <v>2425.6979999999999</v>
      </c>
      <c r="D35" s="57">
        <v>1715.2660000000001</v>
      </c>
      <c r="E35" s="57">
        <v>28126.505000000001</v>
      </c>
      <c r="F35" s="57">
        <v>17027.156999999999</v>
      </c>
      <c r="G35" s="57">
        <v>2796.165</v>
      </c>
      <c r="H35" s="57">
        <v>964.87199999999996</v>
      </c>
      <c r="I35" s="57">
        <v>906.51599999999996</v>
      </c>
      <c r="J35" s="57">
        <v>54.134</v>
      </c>
      <c r="L35" s="57">
        <v>54919.245999999999</v>
      </c>
    </row>
    <row r="36" spans="1:12" x14ac:dyDescent="0.2">
      <c r="A36" s="57">
        <v>2014</v>
      </c>
      <c r="B36" s="57">
        <v>922.98800000000006</v>
      </c>
      <c r="C36" s="57">
        <v>2456.1019999999999</v>
      </c>
      <c r="D36" s="57">
        <v>1725.184</v>
      </c>
      <c r="E36" s="57">
        <v>28029.884999999998</v>
      </c>
      <c r="F36" s="57">
        <v>17033.080999999998</v>
      </c>
      <c r="G36" s="57">
        <v>2815.3440000000001</v>
      </c>
      <c r="H36" s="57">
        <v>967.01400000000001</v>
      </c>
      <c r="I36" s="57">
        <v>914.96799999999996</v>
      </c>
      <c r="J36" s="57">
        <v>54.68</v>
      </c>
      <c r="L36" s="57">
        <v>54919.245999999999</v>
      </c>
    </row>
  </sheetData>
  <phoneticPr fontId="3" type="noConversion"/>
  <pageMargins left="0" right="0" top="0.39370078740157483" bottom="0" header="0" footer="0"/>
  <pageSetup paperSize="8" scale="81"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9"/>
  <dimension ref="A1:P28"/>
  <sheetViews>
    <sheetView workbookViewId="0">
      <selection activeCell="F20" sqref="F20"/>
    </sheetView>
  </sheetViews>
  <sheetFormatPr baseColWidth="10" defaultRowHeight="13.5" x14ac:dyDescent="0.25"/>
  <cols>
    <col min="1" max="1" width="4.875" customWidth="1"/>
    <col min="2" max="2" width="13.125" customWidth="1"/>
    <col min="3" max="3" width="16" customWidth="1"/>
    <col min="4" max="4" width="11.625" customWidth="1"/>
    <col min="5" max="5" width="13.375" customWidth="1"/>
    <col min="6" max="6" width="13.75" customWidth="1"/>
    <col min="7" max="10" width="12.375" customWidth="1"/>
    <col min="12" max="12" width="71.25" bestFit="1" customWidth="1"/>
    <col min="13" max="13" width="28.25" bestFit="1" customWidth="1"/>
    <col min="14" max="14" width="9.875" customWidth="1"/>
  </cols>
  <sheetData>
    <row r="1" spans="1:15" x14ac:dyDescent="0.25">
      <c r="A1" t="s">
        <v>217</v>
      </c>
    </row>
    <row r="2" spans="1:15" x14ac:dyDescent="0.25">
      <c r="A2" t="s">
        <v>220</v>
      </c>
    </row>
    <row r="5" spans="1:15" s="11" customFormat="1" ht="67.5" x14ac:dyDescent="0.25">
      <c r="B5" s="11" t="s">
        <v>214</v>
      </c>
      <c r="C5" s="11" t="s">
        <v>215</v>
      </c>
      <c r="D5" s="11" t="s">
        <v>218</v>
      </c>
      <c r="E5" s="11" t="s">
        <v>216</v>
      </c>
      <c r="F5" s="11" t="s">
        <v>219</v>
      </c>
      <c r="G5" s="11" t="s">
        <v>215</v>
      </c>
      <c r="H5" s="11" t="s">
        <v>218</v>
      </c>
      <c r="I5" s="11" t="s">
        <v>216</v>
      </c>
      <c r="J5" s="11" t="s">
        <v>219</v>
      </c>
      <c r="L5" t="s">
        <v>136</v>
      </c>
      <c r="M5" t="s">
        <v>208</v>
      </c>
      <c r="N5" t="s">
        <v>209</v>
      </c>
      <c r="O5" s="11" t="s">
        <v>239</v>
      </c>
    </row>
    <row r="6" spans="1:15" x14ac:dyDescent="0.25">
      <c r="A6">
        <v>1992</v>
      </c>
      <c r="B6" s="8">
        <v>3227.4</v>
      </c>
      <c r="C6" s="8">
        <v>645.1</v>
      </c>
      <c r="D6" s="8">
        <v>1535.5</v>
      </c>
      <c r="E6" s="8">
        <v>743.3</v>
      </c>
      <c r="F6" s="8">
        <f>E6+D6+C6</f>
        <v>2923.9</v>
      </c>
      <c r="G6" s="8">
        <f>100*C6/$F6</f>
        <v>22.062998050548924</v>
      </c>
      <c r="H6" s="8">
        <f>100*D6/$F6</f>
        <v>52.515475905468719</v>
      </c>
      <c r="I6" s="8">
        <f>100*E6/$F6</f>
        <v>25.42152604398235</v>
      </c>
      <c r="J6" s="8">
        <f>100*F6/$F6</f>
        <v>100</v>
      </c>
      <c r="L6" s="22" t="s">
        <v>138</v>
      </c>
      <c r="M6" s="22">
        <v>789429</v>
      </c>
      <c r="N6" s="23">
        <f t="shared" ref="N6:N15" si="0">M6/100</f>
        <v>7894.29</v>
      </c>
      <c r="O6" s="24">
        <f>N6/N$16</f>
        <v>0.15809723924776997</v>
      </c>
    </row>
    <row r="7" spans="1:15" x14ac:dyDescent="0.25">
      <c r="A7">
        <v>1993</v>
      </c>
      <c r="B7" s="8">
        <v>3285.1</v>
      </c>
      <c r="C7" s="8">
        <v>651.29999999999995</v>
      </c>
      <c r="D7" s="8">
        <v>1554.1</v>
      </c>
      <c r="E7" s="8">
        <v>756.2</v>
      </c>
      <c r="F7" s="8">
        <f t="shared" ref="F7:F18" si="1">E7+D7+C7</f>
        <v>2961.6000000000004</v>
      </c>
      <c r="G7" s="8">
        <f t="shared" ref="G7:G18" si="2">100*C7/$F7</f>
        <v>21.991491085899508</v>
      </c>
      <c r="H7" s="8">
        <f t="shared" ref="H7:H18" si="3">100*D7/$F7</f>
        <v>52.475013506212854</v>
      </c>
      <c r="I7" s="8">
        <f t="shared" ref="I7:I18" si="4">100*E7/$F7</f>
        <v>25.533495407887624</v>
      </c>
      <c r="J7" s="8">
        <f t="shared" ref="J7:J19" si="5">100*F7/$F7</f>
        <v>100.00000000000001</v>
      </c>
      <c r="L7" t="s">
        <v>139</v>
      </c>
      <c r="M7">
        <v>702978</v>
      </c>
      <c r="N7" s="7">
        <f t="shared" si="0"/>
        <v>7029.78</v>
      </c>
      <c r="O7" s="24">
        <f t="shared" ref="O7:O16" si="6">N7/N$16</f>
        <v>0.14078388436695236</v>
      </c>
    </row>
    <row r="8" spans="1:15" x14ac:dyDescent="0.25">
      <c r="A8">
        <v>1994</v>
      </c>
      <c r="B8" s="8">
        <v>3226.2</v>
      </c>
      <c r="C8" s="8">
        <v>675.7</v>
      </c>
      <c r="D8" s="8">
        <v>1573.3</v>
      </c>
      <c r="E8" s="8">
        <v>766.9</v>
      </c>
      <c r="F8" s="8">
        <f t="shared" si="1"/>
        <v>3015.8999999999996</v>
      </c>
      <c r="G8" s="8">
        <f t="shared" si="2"/>
        <v>22.404589011572003</v>
      </c>
      <c r="H8" s="8">
        <f t="shared" si="3"/>
        <v>52.166849033456025</v>
      </c>
      <c r="I8" s="8">
        <f t="shared" si="4"/>
        <v>25.428561954971986</v>
      </c>
      <c r="J8" s="8">
        <f t="shared" si="5"/>
        <v>99.999999999999986</v>
      </c>
      <c r="L8" t="s">
        <v>140</v>
      </c>
      <c r="M8">
        <v>67033</v>
      </c>
      <c r="N8" s="7">
        <f t="shared" si="0"/>
        <v>670.33</v>
      </c>
      <c r="O8" s="24">
        <f t="shared" si="6"/>
        <v>1.342455399851762E-2</v>
      </c>
    </row>
    <row r="9" spans="1:15" x14ac:dyDescent="0.25">
      <c r="A9">
        <v>1995</v>
      </c>
      <c r="B9" s="8">
        <v>3151.5</v>
      </c>
      <c r="C9" s="8">
        <v>685.7</v>
      </c>
      <c r="D9" s="8">
        <v>1597.8</v>
      </c>
      <c r="E9" s="8">
        <v>773.5</v>
      </c>
      <c r="F9" s="8">
        <f t="shared" si="1"/>
        <v>3057</v>
      </c>
      <c r="G9" s="8">
        <f t="shared" si="2"/>
        <v>22.430487405953549</v>
      </c>
      <c r="H9" s="8">
        <f t="shared" si="3"/>
        <v>52.266928361138369</v>
      </c>
      <c r="I9" s="8">
        <f t="shared" si="4"/>
        <v>25.302584232908078</v>
      </c>
      <c r="J9" s="8">
        <f t="shared" si="5"/>
        <v>100</v>
      </c>
      <c r="L9" t="s">
        <v>141</v>
      </c>
      <c r="M9">
        <v>19418</v>
      </c>
      <c r="N9" s="7">
        <f t="shared" si="0"/>
        <v>194.18</v>
      </c>
      <c r="O9" s="24">
        <f t="shared" si="6"/>
        <v>3.8888008822999883E-3</v>
      </c>
    </row>
    <row r="10" spans="1:15" x14ac:dyDescent="0.25">
      <c r="A10">
        <v>1996</v>
      </c>
      <c r="B10" s="8">
        <v>3083.9</v>
      </c>
      <c r="C10" s="8">
        <v>705.1</v>
      </c>
      <c r="D10" s="8">
        <v>1617.4</v>
      </c>
      <c r="E10" s="8">
        <v>784.4</v>
      </c>
      <c r="F10" s="8">
        <f t="shared" si="1"/>
        <v>3106.9</v>
      </c>
      <c r="G10" s="8">
        <f t="shared" si="2"/>
        <v>22.694647397727639</v>
      </c>
      <c r="H10" s="8">
        <f t="shared" si="3"/>
        <v>52.058321799864814</v>
      </c>
      <c r="I10" s="8">
        <f t="shared" si="4"/>
        <v>25.247030802407544</v>
      </c>
      <c r="J10" s="8">
        <f t="shared" si="5"/>
        <v>100</v>
      </c>
      <c r="L10" s="22" t="s">
        <v>142</v>
      </c>
      <c r="M10" s="22">
        <v>4203884</v>
      </c>
      <c r="N10" s="23">
        <f t="shared" si="0"/>
        <v>42038.84</v>
      </c>
      <c r="O10" s="24">
        <f t="shared" si="6"/>
        <v>0.84190276075223003</v>
      </c>
    </row>
    <row r="11" spans="1:15" x14ac:dyDescent="0.25">
      <c r="A11">
        <v>1997</v>
      </c>
      <c r="B11" s="8">
        <v>3071.5</v>
      </c>
      <c r="C11" s="8">
        <v>719.9</v>
      </c>
      <c r="D11" s="8">
        <v>1629.1</v>
      </c>
      <c r="E11" s="8">
        <v>790.7</v>
      </c>
      <c r="F11" s="8">
        <f t="shared" si="1"/>
        <v>3139.7000000000003</v>
      </c>
      <c r="G11" s="8">
        <f t="shared" si="2"/>
        <v>22.928942255629515</v>
      </c>
      <c r="H11" s="8">
        <f t="shared" si="3"/>
        <v>51.887122973532499</v>
      </c>
      <c r="I11" s="8">
        <f t="shared" si="4"/>
        <v>25.183934770837975</v>
      </c>
      <c r="J11" s="8">
        <f t="shared" si="5"/>
        <v>99.999999999999986</v>
      </c>
      <c r="L11" t="s">
        <v>143</v>
      </c>
      <c r="M11">
        <v>724782</v>
      </c>
      <c r="N11" s="7">
        <f t="shared" si="0"/>
        <v>7247.82</v>
      </c>
      <c r="O11" s="24">
        <f t="shared" si="6"/>
        <v>0.14515052431121381</v>
      </c>
    </row>
    <row r="12" spans="1:15" x14ac:dyDescent="0.25">
      <c r="A12">
        <v>1998</v>
      </c>
      <c r="B12" s="8">
        <v>3055.1</v>
      </c>
      <c r="C12" s="8">
        <v>725.7</v>
      </c>
      <c r="D12" s="8">
        <v>1646.4</v>
      </c>
      <c r="E12" s="8">
        <v>811</v>
      </c>
      <c r="F12" s="8">
        <f t="shared" si="1"/>
        <v>3183.1000000000004</v>
      </c>
      <c r="G12" s="8">
        <f t="shared" si="2"/>
        <v>22.798529735163832</v>
      </c>
      <c r="H12" s="8">
        <f t="shared" si="3"/>
        <v>51.723162954352667</v>
      </c>
      <c r="I12" s="8">
        <f t="shared" si="4"/>
        <v>25.478307310483487</v>
      </c>
      <c r="J12" s="8">
        <f t="shared" si="5"/>
        <v>100</v>
      </c>
      <c r="L12" t="s">
        <v>144</v>
      </c>
      <c r="M12">
        <v>1428785</v>
      </c>
      <c r="N12" s="7">
        <f t="shared" si="0"/>
        <v>14287.85</v>
      </c>
      <c r="O12" s="24">
        <f t="shared" si="6"/>
        <v>0.28613968321232819</v>
      </c>
    </row>
    <row r="13" spans="1:15" x14ac:dyDescent="0.25">
      <c r="A13">
        <v>1999</v>
      </c>
      <c r="B13" s="8">
        <v>3045.3</v>
      </c>
      <c r="C13" s="8">
        <v>720.4</v>
      </c>
      <c r="D13" s="8">
        <v>1668.6</v>
      </c>
      <c r="E13" s="8">
        <v>827.8</v>
      </c>
      <c r="F13" s="8">
        <f t="shared" si="1"/>
        <v>3216.7999999999997</v>
      </c>
      <c r="G13" s="8">
        <f t="shared" si="2"/>
        <v>22.394926635165383</v>
      </c>
      <c r="H13" s="8">
        <f t="shared" si="3"/>
        <v>51.871425018652083</v>
      </c>
      <c r="I13" s="8">
        <f t="shared" si="4"/>
        <v>25.733648346182544</v>
      </c>
      <c r="J13" s="8">
        <f t="shared" si="5"/>
        <v>100.00000000000001</v>
      </c>
      <c r="L13" t="s">
        <v>145</v>
      </c>
      <c r="M13">
        <v>1575120</v>
      </c>
      <c r="N13" s="7">
        <f t="shared" si="0"/>
        <v>15751.2</v>
      </c>
      <c r="O13" s="24">
        <f t="shared" si="6"/>
        <v>0.3154458773163229</v>
      </c>
    </row>
    <row r="14" spans="1:15" x14ac:dyDescent="0.25">
      <c r="A14">
        <v>2000</v>
      </c>
      <c r="B14" s="8">
        <v>3018.5</v>
      </c>
      <c r="C14" s="8">
        <v>726.1</v>
      </c>
      <c r="D14" s="8">
        <v>1681</v>
      </c>
      <c r="E14" s="8">
        <v>851.6</v>
      </c>
      <c r="F14" s="8">
        <f t="shared" si="1"/>
        <v>3258.7</v>
      </c>
      <c r="G14" s="8">
        <f t="shared" si="2"/>
        <v>22.281891551845828</v>
      </c>
      <c r="H14" s="8">
        <f t="shared" si="3"/>
        <v>51.5849878786019</v>
      </c>
      <c r="I14" s="8">
        <f t="shared" si="4"/>
        <v>26.133120569552275</v>
      </c>
      <c r="J14" s="8">
        <f t="shared" si="5"/>
        <v>100</v>
      </c>
      <c r="L14" t="s">
        <v>146</v>
      </c>
      <c r="M14">
        <v>273531</v>
      </c>
      <c r="N14" s="7">
        <f t="shared" si="0"/>
        <v>2735.31</v>
      </c>
      <c r="O14" s="24">
        <f t="shared" si="6"/>
        <v>5.4779462052549084E-2</v>
      </c>
    </row>
    <row r="15" spans="1:15" x14ac:dyDescent="0.25">
      <c r="A15">
        <v>2001</v>
      </c>
      <c r="B15" s="8">
        <v>2992</v>
      </c>
      <c r="C15" s="8">
        <v>741.7</v>
      </c>
      <c r="D15" s="8">
        <v>1695.4</v>
      </c>
      <c r="E15" s="8">
        <v>867.7</v>
      </c>
      <c r="F15" s="8">
        <f t="shared" si="1"/>
        <v>3304.8</v>
      </c>
      <c r="G15" s="8">
        <f t="shared" si="2"/>
        <v>22.443113047688211</v>
      </c>
      <c r="H15" s="8">
        <f t="shared" si="3"/>
        <v>51.301137739046233</v>
      </c>
      <c r="I15" s="8">
        <f t="shared" si="4"/>
        <v>26.255749213265553</v>
      </c>
      <c r="J15" s="8">
        <f t="shared" si="5"/>
        <v>100</v>
      </c>
      <c r="L15" t="s">
        <v>147</v>
      </c>
      <c r="M15">
        <v>201665</v>
      </c>
      <c r="N15" s="7">
        <f t="shared" si="0"/>
        <v>2016.65</v>
      </c>
      <c r="O15" s="24">
        <f t="shared" si="6"/>
        <v>4.0387013591977917E-2</v>
      </c>
    </row>
    <row r="16" spans="1:15" x14ac:dyDescent="0.25">
      <c r="A16">
        <v>2002</v>
      </c>
      <c r="B16" s="8">
        <v>2956.3</v>
      </c>
      <c r="C16" s="8">
        <v>741.3</v>
      </c>
      <c r="D16" s="8">
        <v>1710.6</v>
      </c>
      <c r="E16" s="8">
        <v>881.6</v>
      </c>
      <c r="F16" s="8">
        <f t="shared" si="1"/>
        <v>3333.5</v>
      </c>
      <c r="G16" s="8">
        <f t="shared" si="2"/>
        <v>22.23788810559472</v>
      </c>
      <c r="H16" s="8">
        <f t="shared" si="3"/>
        <v>51.315434228288588</v>
      </c>
      <c r="I16" s="8">
        <f t="shared" si="4"/>
        <v>26.446677666116695</v>
      </c>
      <c r="J16" s="8">
        <f t="shared" si="5"/>
        <v>100</v>
      </c>
      <c r="L16" s="22" t="s">
        <v>238</v>
      </c>
      <c r="M16" s="23">
        <f>M10+M6</f>
        <v>4993313</v>
      </c>
      <c r="N16" s="23">
        <f>N10+N6</f>
        <v>49933.13</v>
      </c>
      <c r="O16" s="24">
        <f t="shared" si="6"/>
        <v>1</v>
      </c>
    </row>
    <row r="17" spans="1:16" x14ac:dyDescent="0.25">
      <c r="A17">
        <v>2003</v>
      </c>
      <c r="B17" s="8">
        <v>2920.2</v>
      </c>
      <c r="C17" s="8">
        <v>761.9</v>
      </c>
      <c r="D17" s="8">
        <v>1718.6</v>
      </c>
      <c r="E17" s="8">
        <v>896.7</v>
      </c>
      <c r="F17" s="8">
        <f t="shared" si="1"/>
        <v>3377.2000000000003</v>
      </c>
      <c r="G17" s="8">
        <f t="shared" si="2"/>
        <v>22.560108966007341</v>
      </c>
      <c r="H17" s="8">
        <f t="shared" si="3"/>
        <v>50.888309842473049</v>
      </c>
      <c r="I17" s="8">
        <f t="shared" si="4"/>
        <v>26.551581191519599</v>
      </c>
      <c r="J17" s="8">
        <f t="shared" si="5"/>
        <v>99.999999999999986</v>
      </c>
    </row>
    <row r="18" spans="1:16" x14ac:dyDescent="0.25">
      <c r="A18">
        <v>2004</v>
      </c>
      <c r="B18" s="8">
        <v>2875.3</v>
      </c>
      <c r="C18" s="8">
        <v>770.3</v>
      </c>
      <c r="D18" s="8">
        <v>1734.3</v>
      </c>
      <c r="E18" s="8">
        <v>921.2</v>
      </c>
      <c r="F18" s="8">
        <f t="shared" si="1"/>
        <v>3425.8</v>
      </c>
      <c r="G18" s="8">
        <f t="shared" si="2"/>
        <v>22.485258917625078</v>
      </c>
      <c r="H18" s="8">
        <f t="shared" si="3"/>
        <v>50.624671609551051</v>
      </c>
      <c r="I18" s="8">
        <f t="shared" si="4"/>
        <v>26.890069472823864</v>
      </c>
      <c r="J18" s="8">
        <f t="shared" si="5"/>
        <v>100</v>
      </c>
    </row>
    <row r="19" spans="1:16" x14ac:dyDescent="0.25">
      <c r="A19">
        <v>2005</v>
      </c>
      <c r="F19" s="8">
        <f>(F20+F18)/2</f>
        <v>4209.3999999999996</v>
      </c>
      <c r="J19" s="8">
        <f t="shared" si="5"/>
        <v>100</v>
      </c>
      <c r="M19" t="s">
        <v>237</v>
      </c>
      <c r="N19" t="s">
        <v>209</v>
      </c>
    </row>
    <row r="20" spans="1:16" x14ac:dyDescent="0.25">
      <c r="A20">
        <v>2006</v>
      </c>
      <c r="D20" s="8"/>
      <c r="E20" s="8"/>
      <c r="F20" s="8">
        <v>4993</v>
      </c>
      <c r="G20">
        <f>84.2-H20</f>
        <v>61.900000000000006</v>
      </c>
      <c r="H20">
        <v>22.3</v>
      </c>
      <c r="I20">
        <v>15.8</v>
      </c>
      <c r="L20" t="s">
        <v>226</v>
      </c>
      <c r="M20">
        <v>281288</v>
      </c>
      <c r="N20" s="7">
        <v>2812.88</v>
      </c>
      <c r="O20" s="24">
        <v>4.8287572054637157E-2</v>
      </c>
    </row>
    <row r="21" spans="1:16" x14ac:dyDescent="0.25">
      <c r="L21" t="s">
        <v>227</v>
      </c>
      <c r="M21">
        <v>1113546</v>
      </c>
      <c r="N21" s="7">
        <v>11135.46</v>
      </c>
      <c r="O21" s="24">
        <v>0.19115793319001514</v>
      </c>
      <c r="P21">
        <f>N21/N16</f>
        <v>0.22300745016384912</v>
      </c>
    </row>
    <row r="22" spans="1:16" x14ac:dyDescent="0.25">
      <c r="L22" t="s">
        <v>228</v>
      </c>
      <c r="M22">
        <v>290944</v>
      </c>
      <c r="N22" s="7">
        <v>2909.44</v>
      </c>
      <c r="O22" s="24">
        <v>4.9945178478514381E-2</v>
      </c>
    </row>
    <row r="23" spans="1:16" x14ac:dyDescent="0.25">
      <c r="L23" t="s">
        <v>229</v>
      </c>
      <c r="M23">
        <v>421477</v>
      </c>
      <c r="N23" s="7">
        <v>4214.7700000000004</v>
      </c>
      <c r="O23" s="24">
        <v>7.235325007420261E-2</v>
      </c>
    </row>
    <row r="24" spans="1:16" x14ac:dyDescent="0.25">
      <c r="L24" t="s">
        <v>230</v>
      </c>
      <c r="M24">
        <v>209464</v>
      </c>
      <c r="N24" s="7">
        <v>2094.64</v>
      </c>
      <c r="O24" s="24">
        <v>3.5957836782417013E-2</v>
      </c>
    </row>
    <row r="25" spans="1:16" x14ac:dyDescent="0.25">
      <c r="L25" t="s">
        <v>231</v>
      </c>
      <c r="M25">
        <v>794736</v>
      </c>
      <c r="N25" s="7">
        <v>7947.36</v>
      </c>
      <c r="O25" s="24">
        <v>0.13642911131798766</v>
      </c>
    </row>
    <row r="26" spans="1:16" x14ac:dyDescent="0.25">
      <c r="L26" t="s">
        <v>232</v>
      </c>
      <c r="M26">
        <v>505631</v>
      </c>
      <c r="N26" s="7">
        <v>5056.3100000000004</v>
      </c>
      <c r="O26" s="24">
        <v>8.6799626523556786E-2</v>
      </c>
    </row>
    <row r="27" spans="1:16" x14ac:dyDescent="0.25">
      <c r="L27" t="s">
        <v>233</v>
      </c>
      <c r="M27">
        <v>2208181</v>
      </c>
      <c r="N27" s="7">
        <v>22081.81</v>
      </c>
      <c r="O27" s="24">
        <v>0.37906949157866932</v>
      </c>
    </row>
    <row r="28" spans="1:16" x14ac:dyDescent="0.25">
      <c r="L28" s="22" t="s">
        <v>242</v>
      </c>
      <c r="M28" s="22">
        <v>5825267</v>
      </c>
      <c r="N28" s="22">
        <v>58252.67</v>
      </c>
    </row>
  </sheetData>
  <phoneticPr fontId="10" type="noConversion"/>
  <pageMargins left="0.78740157499999996" right="0.78740157499999996" top="0.984251969" bottom="0.984251969" header="0.4921259845" footer="0.4921259845"/>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0"/>
  <dimension ref="A1:AR82"/>
  <sheetViews>
    <sheetView workbookViewId="0">
      <pane xSplit="1" ySplit="3" topLeftCell="AB4" activePane="bottomRight" state="frozen"/>
      <selection pane="topRight" activeCell="B1" sqref="B1"/>
      <selection pane="bottomLeft" activeCell="A2" sqref="A2"/>
      <selection pane="bottomRight" activeCell="AF13" sqref="AF13"/>
    </sheetView>
  </sheetViews>
  <sheetFormatPr baseColWidth="10" defaultRowHeight="13.5" x14ac:dyDescent="0.25"/>
  <cols>
    <col min="1" max="1" width="46" customWidth="1"/>
    <col min="2" max="2" width="10.625" customWidth="1"/>
    <col min="3" max="5" width="10.875" customWidth="1"/>
    <col min="6" max="6" width="11.875" customWidth="1"/>
    <col min="7" max="8" width="11.875" bestFit="1" customWidth="1"/>
    <col min="12" max="12" width="35.375" customWidth="1"/>
    <col min="20" max="20" width="11.875" customWidth="1"/>
    <col min="21" max="21" width="13.75" customWidth="1"/>
  </cols>
  <sheetData>
    <row r="1" spans="1:44" x14ac:dyDescent="0.25">
      <c r="A1" t="s">
        <v>235</v>
      </c>
      <c r="B1" s="211" t="s">
        <v>237</v>
      </c>
      <c r="C1" s="211"/>
      <c r="D1" s="211"/>
      <c r="E1" s="211"/>
      <c r="F1" s="211" t="s">
        <v>209</v>
      </c>
      <c r="G1" s="211"/>
      <c r="H1" s="211"/>
      <c r="I1" s="211"/>
      <c r="L1" t="s">
        <v>236</v>
      </c>
      <c r="Q1" s="1" t="s">
        <v>689</v>
      </c>
      <c r="W1" t="s">
        <v>690</v>
      </c>
    </row>
    <row r="2" spans="1:44" x14ac:dyDescent="0.25">
      <c r="Q2" s="1" t="s">
        <v>237</v>
      </c>
      <c r="AE2" s="1" t="s">
        <v>209</v>
      </c>
    </row>
    <row r="3" spans="1:44" s="150" customFormat="1" ht="54" x14ac:dyDescent="0.25">
      <c r="A3" s="150" t="s">
        <v>136</v>
      </c>
      <c r="B3" s="150" t="s">
        <v>330</v>
      </c>
      <c r="C3" s="150" t="s">
        <v>331</v>
      </c>
      <c r="D3" s="150" t="s">
        <v>332</v>
      </c>
      <c r="E3" s="150" t="s">
        <v>333</v>
      </c>
      <c r="F3" s="150" t="s">
        <v>326</v>
      </c>
      <c r="G3" s="150" t="s">
        <v>327</v>
      </c>
      <c r="H3" s="150" t="s">
        <v>328</v>
      </c>
      <c r="I3" s="150" t="s">
        <v>329</v>
      </c>
      <c r="M3" s="150" t="s">
        <v>237</v>
      </c>
      <c r="N3" s="150" t="s">
        <v>209</v>
      </c>
      <c r="O3" s="150" t="s">
        <v>241</v>
      </c>
      <c r="Q3" s="140" t="s">
        <v>260</v>
      </c>
      <c r="R3" s="175" t="s">
        <v>681</v>
      </c>
      <c r="S3" s="175" t="s">
        <v>682</v>
      </c>
      <c r="T3" s="175" t="s">
        <v>683</v>
      </c>
      <c r="U3" s="175" t="s">
        <v>684</v>
      </c>
      <c r="V3" s="175" t="s">
        <v>685</v>
      </c>
      <c r="W3" s="174" t="s">
        <v>363</v>
      </c>
      <c r="X3" s="174" t="s">
        <v>366</v>
      </c>
      <c r="Y3" s="150" t="s">
        <v>364</v>
      </c>
      <c r="Z3" s="140" t="s">
        <v>687</v>
      </c>
      <c r="AA3" s="150" t="s">
        <v>367</v>
      </c>
      <c r="AB3" s="150" t="s">
        <v>688</v>
      </c>
      <c r="AC3" s="150" t="s">
        <v>369</v>
      </c>
      <c r="AD3" s="39" t="s">
        <v>686</v>
      </c>
      <c r="AE3" s="140" t="s">
        <v>260</v>
      </c>
      <c r="AF3" s="175" t="s">
        <v>681</v>
      </c>
      <c r="AG3" s="175" t="s">
        <v>682</v>
      </c>
      <c r="AH3" s="175" t="s">
        <v>683</v>
      </c>
      <c r="AI3" s="175" t="s">
        <v>684</v>
      </c>
      <c r="AJ3" s="175" t="s">
        <v>685</v>
      </c>
      <c r="AK3" s="174" t="s">
        <v>363</v>
      </c>
      <c r="AL3" s="174" t="s">
        <v>366</v>
      </c>
      <c r="AM3" s="150" t="s">
        <v>364</v>
      </c>
      <c r="AN3" s="140" t="s">
        <v>687</v>
      </c>
      <c r="AO3" s="150" t="s">
        <v>367</v>
      </c>
      <c r="AP3" s="150" t="s">
        <v>688</v>
      </c>
      <c r="AQ3" s="150" t="s">
        <v>369</v>
      </c>
      <c r="AR3" s="39" t="s">
        <v>686</v>
      </c>
    </row>
    <row r="4" spans="1:44" x14ac:dyDescent="0.25">
      <c r="A4" t="s">
        <v>137</v>
      </c>
      <c r="B4">
        <v>54919207</v>
      </c>
      <c r="C4">
        <v>54919222</v>
      </c>
      <c r="D4">
        <v>54919222</v>
      </c>
      <c r="E4">
        <f>E5+E9+E15</f>
        <v>834657</v>
      </c>
      <c r="F4" s="7">
        <f t="shared" ref="F4:F35" si="0">B4/100</f>
        <v>549192.06999999995</v>
      </c>
      <c r="G4" s="7">
        <f t="shared" ref="G4:G35" si="1">C4/100</f>
        <v>549192.22</v>
      </c>
      <c r="H4" s="7">
        <f t="shared" ref="H4:H35" si="2">D4/100</f>
        <v>549192.22</v>
      </c>
      <c r="I4" s="7">
        <f t="shared" ref="I4:I35" si="3">E4/100</f>
        <v>8346.57</v>
      </c>
      <c r="L4" s="25" t="s">
        <v>137</v>
      </c>
      <c r="M4" s="25">
        <v>54919207</v>
      </c>
      <c r="N4" s="26">
        <f>M4/100</f>
        <v>549192.06999999995</v>
      </c>
      <c r="Q4">
        <v>2006</v>
      </c>
      <c r="R4" s="176">
        <v>755893</v>
      </c>
      <c r="S4" s="176">
        <v>2159597</v>
      </c>
      <c r="T4" s="176">
        <v>1652988</v>
      </c>
      <c r="U4" s="176">
        <f>T4+S4+R4</f>
        <v>4568478</v>
      </c>
      <c r="V4" s="176">
        <f>S4+R4</f>
        <v>2915490</v>
      </c>
      <c r="W4">
        <v>18665412</v>
      </c>
      <c r="X4">
        <v>9925738</v>
      </c>
      <c r="Y4">
        <v>17041870</v>
      </c>
      <c r="Z4">
        <v>2787075</v>
      </c>
      <c r="AA4">
        <v>942143</v>
      </c>
      <c r="AB4">
        <v>863808</v>
      </c>
      <c r="AC4">
        <v>124721</v>
      </c>
      <c r="AD4">
        <v>54919246</v>
      </c>
      <c r="AE4">
        <v>2006</v>
      </c>
      <c r="AF4" s="180">
        <f>R4/100</f>
        <v>7558.93</v>
      </c>
      <c r="AG4" s="180">
        <f t="shared" ref="AG4:AG12" si="4">S4/100</f>
        <v>21595.97</v>
      </c>
      <c r="AH4" s="180">
        <f t="shared" ref="AH4:AH12" si="5">T4/100</f>
        <v>16529.88</v>
      </c>
      <c r="AI4" s="180">
        <f t="shared" ref="AI4:AI12" si="6">U4/100</f>
        <v>45684.78</v>
      </c>
      <c r="AJ4" s="180">
        <f t="shared" ref="AJ4:AJ12" si="7">V4/100</f>
        <v>29154.9</v>
      </c>
      <c r="AK4" s="7">
        <f t="shared" ref="AK4:AK12" si="8">W4/100</f>
        <v>186654.12</v>
      </c>
      <c r="AL4" s="7">
        <f t="shared" ref="AL4:AL12" si="9">X4/100</f>
        <v>99257.38</v>
      </c>
      <c r="AM4" s="7">
        <f t="shared" ref="AM4:AM12" si="10">Y4/100</f>
        <v>170418.7</v>
      </c>
      <c r="AN4" s="7">
        <f t="shared" ref="AN4:AN12" si="11">Z4/100</f>
        <v>27870.75</v>
      </c>
      <c r="AO4" s="7">
        <f t="shared" ref="AO4:AO12" si="12">AA4/100</f>
        <v>9421.43</v>
      </c>
      <c r="AP4" s="7">
        <f t="shared" ref="AP4:AP12" si="13">AB4/100</f>
        <v>8638.08</v>
      </c>
      <c r="AQ4" s="7">
        <f t="shared" ref="AQ4:AQ12" si="14">AC4/100</f>
        <v>1247.21</v>
      </c>
      <c r="AR4" s="7">
        <f t="shared" ref="AR4:AR12" si="15">AD4/100</f>
        <v>549192.46</v>
      </c>
    </row>
    <row r="5" spans="1:44" x14ac:dyDescent="0.25">
      <c r="A5" t="s">
        <v>138</v>
      </c>
      <c r="B5">
        <v>789429</v>
      </c>
      <c r="C5">
        <v>791339</v>
      </c>
      <c r="D5">
        <v>814158</v>
      </c>
      <c r="E5">
        <f>SUM(E6:E8)</f>
        <v>834657</v>
      </c>
      <c r="F5" s="7">
        <f t="shared" si="0"/>
        <v>7894.29</v>
      </c>
      <c r="G5" s="7">
        <f t="shared" si="1"/>
        <v>7913.39</v>
      </c>
      <c r="H5" s="7">
        <f t="shared" si="2"/>
        <v>8141.58</v>
      </c>
      <c r="I5" s="7">
        <f t="shared" si="3"/>
        <v>8346.57</v>
      </c>
      <c r="L5" s="22" t="s">
        <v>221</v>
      </c>
      <c r="M5" s="22">
        <v>30159772</v>
      </c>
      <c r="N5" s="23">
        <f t="shared" ref="N5:N18" si="16">M5/100</f>
        <v>301597.71999999997</v>
      </c>
      <c r="Q5">
        <v>2007</v>
      </c>
      <c r="R5" s="176">
        <v>773656</v>
      </c>
      <c r="S5" s="176">
        <v>2217672</v>
      </c>
      <c r="T5" s="176">
        <v>1655201</v>
      </c>
      <c r="U5" s="176">
        <f t="shared" ref="U5:U12" si="17">T5+S5+R5</f>
        <v>4646529</v>
      </c>
      <c r="V5" s="176">
        <f t="shared" ref="V5:V12" si="18">S5+R5</f>
        <v>2991328</v>
      </c>
      <c r="W5" s="178">
        <v>18700259</v>
      </c>
      <c r="X5" s="178">
        <v>9782263</v>
      </c>
      <c r="Y5" s="178">
        <v>17037345</v>
      </c>
      <c r="Z5" s="178">
        <v>2794733</v>
      </c>
      <c r="AA5" s="178">
        <v>950398</v>
      </c>
      <c r="AB5" s="178">
        <v>880417</v>
      </c>
      <c r="AC5" s="178">
        <v>127303</v>
      </c>
      <c r="AD5">
        <v>54919246</v>
      </c>
      <c r="AE5">
        <v>2007</v>
      </c>
      <c r="AF5" s="180">
        <f t="shared" ref="AF5:AF12" si="19">R5/100</f>
        <v>7736.56</v>
      </c>
      <c r="AG5" s="180">
        <f t="shared" si="4"/>
        <v>22176.720000000001</v>
      </c>
      <c r="AH5" s="180">
        <f t="shared" si="5"/>
        <v>16552.009999999998</v>
      </c>
      <c r="AI5" s="180">
        <f t="shared" si="6"/>
        <v>46465.29</v>
      </c>
      <c r="AJ5" s="180">
        <f t="shared" si="7"/>
        <v>29913.279999999999</v>
      </c>
      <c r="AK5" s="181">
        <f t="shared" si="8"/>
        <v>187002.59</v>
      </c>
      <c r="AL5" s="181">
        <f t="shared" si="9"/>
        <v>97822.63</v>
      </c>
      <c r="AM5" s="181">
        <f t="shared" si="10"/>
        <v>170373.45</v>
      </c>
      <c r="AN5" s="181">
        <f t="shared" si="11"/>
        <v>27947.33</v>
      </c>
      <c r="AO5" s="181">
        <f t="shared" si="12"/>
        <v>9503.98</v>
      </c>
      <c r="AP5" s="181">
        <f t="shared" si="13"/>
        <v>8804.17</v>
      </c>
      <c r="AQ5" s="181">
        <f t="shared" si="14"/>
        <v>1273.03</v>
      </c>
      <c r="AR5" s="7">
        <f t="shared" si="15"/>
        <v>549192.46</v>
      </c>
    </row>
    <row r="6" spans="1:44" x14ac:dyDescent="0.25">
      <c r="A6" t="s">
        <v>139</v>
      </c>
      <c r="B6">
        <v>702978</v>
      </c>
      <c r="C6">
        <v>706765</v>
      </c>
      <c r="D6">
        <v>728786</v>
      </c>
      <c r="E6">
        <v>746586</v>
      </c>
      <c r="F6" s="7">
        <f t="shared" si="0"/>
        <v>7029.78</v>
      </c>
      <c r="G6" s="7">
        <f t="shared" si="1"/>
        <v>7067.65</v>
      </c>
      <c r="H6" s="7">
        <f t="shared" si="2"/>
        <v>7287.86</v>
      </c>
      <c r="I6" s="7">
        <f t="shared" si="3"/>
        <v>7465.86</v>
      </c>
      <c r="L6" t="s">
        <v>222</v>
      </c>
      <c r="M6">
        <v>20027096</v>
      </c>
      <c r="N6" s="7">
        <f t="shared" si="16"/>
        <v>200270.96</v>
      </c>
      <c r="Q6">
        <v>2008</v>
      </c>
      <c r="R6" s="176">
        <v>796294</v>
      </c>
      <c r="S6" s="176">
        <v>2278574</v>
      </c>
      <c r="T6" s="176">
        <v>1665286</v>
      </c>
      <c r="U6" s="176">
        <f t="shared" si="17"/>
        <v>4740154</v>
      </c>
      <c r="V6" s="176">
        <f t="shared" si="18"/>
        <v>3074868</v>
      </c>
      <c r="W6">
        <v>18776421</v>
      </c>
      <c r="X6">
        <v>9586933</v>
      </c>
      <c r="Y6">
        <v>17013241</v>
      </c>
      <c r="Z6">
        <v>2840271</v>
      </c>
      <c r="AA6">
        <v>958633</v>
      </c>
      <c r="AB6">
        <v>882765</v>
      </c>
      <c r="AC6">
        <v>120829</v>
      </c>
      <c r="AD6">
        <v>54919246</v>
      </c>
      <c r="AE6">
        <v>2008</v>
      </c>
      <c r="AF6" s="180">
        <f t="shared" si="19"/>
        <v>7962.94</v>
      </c>
      <c r="AG6" s="180">
        <f t="shared" si="4"/>
        <v>22785.74</v>
      </c>
      <c r="AH6" s="180">
        <f t="shared" si="5"/>
        <v>16652.86</v>
      </c>
      <c r="AI6" s="180">
        <f t="shared" si="6"/>
        <v>47401.54</v>
      </c>
      <c r="AJ6" s="180">
        <f t="shared" si="7"/>
        <v>30748.68</v>
      </c>
      <c r="AK6" s="7">
        <f t="shared" si="8"/>
        <v>187764.21</v>
      </c>
      <c r="AL6" s="7">
        <f t="shared" si="9"/>
        <v>95869.33</v>
      </c>
      <c r="AM6" s="7">
        <f t="shared" si="10"/>
        <v>170132.41</v>
      </c>
      <c r="AN6" s="7">
        <f t="shared" si="11"/>
        <v>28402.71</v>
      </c>
      <c r="AO6" s="7">
        <f t="shared" si="12"/>
        <v>9586.33</v>
      </c>
      <c r="AP6" s="7">
        <f t="shared" si="13"/>
        <v>8827.65</v>
      </c>
      <c r="AQ6" s="7">
        <f t="shared" si="14"/>
        <v>1208.29</v>
      </c>
      <c r="AR6" s="7">
        <f t="shared" si="15"/>
        <v>549192.46</v>
      </c>
    </row>
    <row r="7" spans="1:44" x14ac:dyDescent="0.25">
      <c r="A7" t="s">
        <v>140</v>
      </c>
      <c r="B7">
        <v>67033</v>
      </c>
      <c r="C7">
        <v>66232</v>
      </c>
      <c r="D7">
        <v>67847</v>
      </c>
      <c r="E7">
        <v>70815</v>
      </c>
      <c r="F7" s="7">
        <f t="shared" si="0"/>
        <v>670.33</v>
      </c>
      <c r="G7" s="7">
        <f t="shared" si="1"/>
        <v>662.32</v>
      </c>
      <c r="H7" s="7">
        <f t="shared" si="2"/>
        <v>678.47</v>
      </c>
      <c r="I7" s="7">
        <f t="shared" si="3"/>
        <v>708.15</v>
      </c>
      <c r="L7" t="s">
        <v>223</v>
      </c>
      <c r="M7">
        <v>9808951</v>
      </c>
      <c r="N7" s="7">
        <f t="shared" si="16"/>
        <v>98089.51</v>
      </c>
      <c r="Q7">
        <v>2009</v>
      </c>
      <c r="R7" s="176">
        <v>815957</v>
      </c>
      <c r="S7" s="176">
        <v>2306657</v>
      </c>
      <c r="T7" s="176">
        <v>1706963</v>
      </c>
      <c r="U7" s="176">
        <f t="shared" si="17"/>
        <v>4829577</v>
      </c>
      <c r="V7" s="176">
        <f t="shared" si="18"/>
        <v>3122614</v>
      </c>
      <c r="W7">
        <v>18795195</v>
      </c>
      <c r="X7">
        <v>9514736</v>
      </c>
      <c r="Y7">
        <v>16997372</v>
      </c>
      <c r="Z7">
        <v>2859704</v>
      </c>
      <c r="AA7">
        <v>968133</v>
      </c>
      <c r="AB7">
        <v>898278</v>
      </c>
      <c r="AC7">
        <v>56252</v>
      </c>
      <c r="AD7">
        <v>54919246</v>
      </c>
      <c r="AE7">
        <v>2009</v>
      </c>
      <c r="AF7" s="180">
        <f t="shared" si="19"/>
        <v>8159.57</v>
      </c>
      <c r="AG7" s="180">
        <f t="shared" si="4"/>
        <v>23066.57</v>
      </c>
      <c r="AH7" s="180">
        <f t="shared" si="5"/>
        <v>17069.63</v>
      </c>
      <c r="AI7" s="180">
        <f t="shared" si="6"/>
        <v>48295.77</v>
      </c>
      <c r="AJ7" s="180">
        <f t="shared" si="7"/>
        <v>31226.14</v>
      </c>
      <c r="AK7" s="7">
        <f t="shared" si="8"/>
        <v>187951.95</v>
      </c>
      <c r="AL7" s="7">
        <f t="shared" si="9"/>
        <v>95147.36</v>
      </c>
      <c r="AM7" s="7">
        <f t="shared" si="10"/>
        <v>169973.72</v>
      </c>
      <c r="AN7" s="7">
        <f t="shared" si="11"/>
        <v>28597.040000000001</v>
      </c>
      <c r="AO7" s="7">
        <f t="shared" si="12"/>
        <v>9681.33</v>
      </c>
      <c r="AP7" s="7">
        <f t="shared" si="13"/>
        <v>8982.7800000000007</v>
      </c>
      <c r="AQ7" s="7">
        <f t="shared" si="14"/>
        <v>562.52</v>
      </c>
      <c r="AR7" s="7">
        <f t="shared" si="15"/>
        <v>549192.46</v>
      </c>
    </row>
    <row r="8" spans="1:44" x14ac:dyDescent="0.25">
      <c r="A8" t="s">
        <v>141</v>
      </c>
      <c r="B8">
        <v>19418</v>
      </c>
      <c r="C8">
        <v>18342</v>
      </c>
      <c r="D8">
        <v>17524</v>
      </c>
      <c r="E8">
        <v>17256</v>
      </c>
      <c r="F8" s="7">
        <f t="shared" si="0"/>
        <v>194.18</v>
      </c>
      <c r="G8" s="7">
        <f t="shared" si="1"/>
        <v>183.42</v>
      </c>
      <c r="H8" s="7">
        <f t="shared" si="2"/>
        <v>175.24</v>
      </c>
      <c r="I8" s="7">
        <f t="shared" si="3"/>
        <v>172.56</v>
      </c>
      <c r="L8" t="s">
        <v>224</v>
      </c>
      <c r="M8">
        <v>323725</v>
      </c>
      <c r="N8" s="7">
        <f t="shared" si="16"/>
        <v>3237.25</v>
      </c>
      <c r="Q8">
        <v>2010</v>
      </c>
      <c r="R8" s="176">
        <v>832871</v>
      </c>
      <c r="S8" s="176">
        <v>2324369</v>
      </c>
      <c r="T8" s="176">
        <v>1735625</v>
      </c>
      <c r="U8" s="176">
        <f t="shared" si="17"/>
        <v>4892865</v>
      </c>
      <c r="V8" s="176">
        <f t="shared" si="18"/>
        <v>3157240</v>
      </c>
      <c r="W8">
        <v>18794201</v>
      </c>
      <c r="X8">
        <v>9464638</v>
      </c>
      <c r="Y8">
        <v>16994028</v>
      </c>
      <c r="Z8">
        <v>2856181</v>
      </c>
      <c r="AA8">
        <v>966584</v>
      </c>
      <c r="AB8">
        <v>900863</v>
      </c>
      <c r="AC8">
        <v>49886</v>
      </c>
      <c r="AD8">
        <v>54919246</v>
      </c>
      <c r="AE8">
        <v>2010</v>
      </c>
      <c r="AF8" s="180">
        <f t="shared" si="19"/>
        <v>8328.7099999999991</v>
      </c>
      <c r="AG8" s="180">
        <f t="shared" si="4"/>
        <v>23243.69</v>
      </c>
      <c r="AH8" s="180">
        <f t="shared" si="5"/>
        <v>17356.25</v>
      </c>
      <c r="AI8" s="180">
        <f t="shared" si="6"/>
        <v>48928.65</v>
      </c>
      <c r="AJ8" s="180">
        <f t="shared" si="7"/>
        <v>31572.400000000001</v>
      </c>
      <c r="AK8" s="7">
        <f t="shared" si="8"/>
        <v>187942.01</v>
      </c>
      <c r="AL8" s="7">
        <f t="shared" si="9"/>
        <v>94646.38</v>
      </c>
      <c r="AM8" s="7">
        <f t="shared" si="10"/>
        <v>169940.28</v>
      </c>
      <c r="AN8" s="7">
        <f t="shared" si="11"/>
        <v>28561.81</v>
      </c>
      <c r="AO8" s="7">
        <f t="shared" si="12"/>
        <v>9665.84</v>
      </c>
      <c r="AP8" s="7">
        <f t="shared" si="13"/>
        <v>9008.6299999999992</v>
      </c>
      <c r="AQ8" s="7">
        <f t="shared" si="14"/>
        <v>498.86</v>
      </c>
      <c r="AR8" s="7">
        <f t="shared" si="15"/>
        <v>549192.46</v>
      </c>
    </row>
    <row r="9" spans="1:44" x14ac:dyDescent="0.25">
      <c r="A9" t="s">
        <v>142</v>
      </c>
      <c r="B9">
        <v>4203884</v>
      </c>
      <c r="C9">
        <v>4272915</v>
      </c>
      <c r="D9">
        <v>4330555</v>
      </c>
      <c r="F9" s="7">
        <f t="shared" si="0"/>
        <v>42038.84</v>
      </c>
      <c r="G9" s="7">
        <f t="shared" si="1"/>
        <v>42729.15</v>
      </c>
      <c r="H9" s="7">
        <f t="shared" si="2"/>
        <v>43305.55</v>
      </c>
      <c r="I9" s="7">
        <f t="shared" si="3"/>
        <v>0</v>
      </c>
      <c r="L9" s="22" t="s">
        <v>225</v>
      </c>
      <c r="M9" s="22">
        <v>13524936</v>
      </c>
      <c r="N9" s="23">
        <f t="shared" si="16"/>
        <v>135249.35999999999</v>
      </c>
      <c r="Q9" s="177">
        <v>2011</v>
      </c>
      <c r="R9" s="179">
        <f>(R8+R10)/2</f>
        <v>860259.5</v>
      </c>
      <c r="S9" s="179">
        <f t="shared" ref="S9:AC9" si="20">(S8+S10)/2</f>
        <v>2364172.5</v>
      </c>
      <c r="T9" s="179">
        <f t="shared" si="20"/>
        <v>1717263.5</v>
      </c>
      <c r="U9" s="179">
        <f t="shared" si="20"/>
        <v>4941695.5</v>
      </c>
      <c r="V9" s="179">
        <f t="shared" si="20"/>
        <v>3224432</v>
      </c>
      <c r="W9" s="179">
        <f t="shared" si="20"/>
        <v>19319271.5</v>
      </c>
      <c r="X9" s="179">
        <f t="shared" si="20"/>
        <v>8898038</v>
      </c>
      <c r="Y9" s="179">
        <f t="shared" si="20"/>
        <v>16992609.5</v>
      </c>
      <c r="Z9" s="179">
        <f t="shared" si="20"/>
        <v>2853079</v>
      </c>
      <c r="AA9" s="179">
        <f t="shared" si="20"/>
        <v>964357.5</v>
      </c>
      <c r="AB9" s="179">
        <f t="shared" si="20"/>
        <v>902202.5</v>
      </c>
      <c r="AC9" s="179">
        <f t="shared" si="20"/>
        <v>47993</v>
      </c>
      <c r="AD9">
        <v>54919246</v>
      </c>
      <c r="AE9" s="177">
        <v>2011</v>
      </c>
      <c r="AF9" s="179">
        <f t="shared" si="19"/>
        <v>8602.5949999999993</v>
      </c>
      <c r="AG9" s="179">
        <f t="shared" si="4"/>
        <v>23641.724999999999</v>
      </c>
      <c r="AH9" s="179">
        <f t="shared" si="5"/>
        <v>17172.634999999998</v>
      </c>
      <c r="AI9" s="179">
        <f t="shared" si="6"/>
        <v>49416.955000000002</v>
      </c>
      <c r="AJ9" s="179">
        <f t="shared" si="7"/>
        <v>32244.32</v>
      </c>
      <c r="AK9" s="179">
        <f t="shared" si="8"/>
        <v>193192.715</v>
      </c>
      <c r="AL9" s="179">
        <f t="shared" si="9"/>
        <v>88980.38</v>
      </c>
      <c r="AM9" s="179">
        <f t="shared" si="10"/>
        <v>169926.095</v>
      </c>
      <c r="AN9" s="179">
        <f t="shared" si="11"/>
        <v>28530.79</v>
      </c>
      <c r="AO9" s="179">
        <f t="shared" si="12"/>
        <v>9643.5750000000007</v>
      </c>
      <c r="AP9" s="179">
        <f t="shared" si="13"/>
        <v>9022.0249999999996</v>
      </c>
      <c r="AQ9" s="179">
        <f t="shared" si="14"/>
        <v>479.93</v>
      </c>
      <c r="AR9" s="7">
        <f t="shared" si="15"/>
        <v>549192.46</v>
      </c>
    </row>
    <row r="10" spans="1:44" x14ac:dyDescent="0.25">
      <c r="A10" t="s">
        <v>143</v>
      </c>
      <c r="B10">
        <v>724782</v>
      </c>
      <c r="C10">
        <v>735410</v>
      </c>
      <c r="D10">
        <v>751198</v>
      </c>
      <c r="E10">
        <v>759690</v>
      </c>
      <c r="F10" s="7">
        <f t="shared" si="0"/>
        <v>7247.82</v>
      </c>
      <c r="G10" s="7">
        <f t="shared" si="1"/>
        <v>7354.1</v>
      </c>
      <c r="H10" s="7">
        <f t="shared" si="2"/>
        <v>7511.98</v>
      </c>
      <c r="I10" s="7">
        <f t="shared" si="3"/>
        <v>7596.9</v>
      </c>
      <c r="L10" t="s">
        <v>226</v>
      </c>
      <c r="M10">
        <v>281288</v>
      </c>
      <c r="N10" s="7">
        <f t="shared" si="16"/>
        <v>2812.88</v>
      </c>
      <c r="O10" s="24">
        <f>N10/N$20</f>
        <v>4.8287572054637157E-2</v>
      </c>
      <c r="Q10">
        <v>2012</v>
      </c>
      <c r="R10" s="176">
        <v>887648</v>
      </c>
      <c r="S10" s="176">
        <v>2403976</v>
      </c>
      <c r="T10" s="176">
        <v>1698902</v>
      </c>
      <c r="U10" s="176">
        <f>T10+S10+R10</f>
        <v>4990526</v>
      </c>
      <c r="V10" s="176">
        <f>S10+R10</f>
        <v>3291624</v>
      </c>
      <c r="W10">
        <v>19844342</v>
      </c>
      <c r="X10">
        <v>8331438</v>
      </c>
      <c r="Y10">
        <v>16991191</v>
      </c>
      <c r="Z10">
        <v>2849977</v>
      </c>
      <c r="AA10">
        <v>962131</v>
      </c>
      <c r="AB10">
        <v>903542</v>
      </c>
      <c r="AC10">
        <v>46100</v>
      </c>
      <c r="AD10">
        <v>54919246</v>
      </c>
      <c r="AE10">
        <v>2012</v>
      </c>
      <c r="AF10" s="180">
        <f t="shared" si="19"/>
        <v>8876.48</v>
      </c>
      <c r="AG10" s="180">
        <f t="shared" si="4"/>
        <v>24039.759999999998</v>
      </c>
      <c r="AH10" s="180">
        <f t="shared" si="5"/>
        <v>16989.02</v>
      </c>
      <c r="AI10" s="180">
        <f t="shared" si="6"/>
        <v>49905.26</v>
      </c>
      <c r="AJ10" s="180">
        <f t="shared" si="7"/>
        <v>32916.239999999998</v>
      </c>
      <c r="AK10" s="7">
        <f t="shared" si="8"/>
        <v>198443.42</v>
      </c>
      <c r="AL10" s="7">
        <f t="shared" si="9"/>
        <v>83314.38</v>
      </c>
      <c r="AM10" s="7">
        <f t="shared" si="10"/>
        <v>169911.91</v>
      </c>
      <c r="AN10" s="7">
        <f t="shared" si="11"/>
        <v>28499.77</v>
      </c>
      <c r="AO10" s="7">
        <f t="shared" si="12"/>
        <v>9621.31</v>
      </c>
      <c r="AP10" s="7">
        <f t="shared" si="13"/>
        <v>9035.42</v>
      </c>
      <c r="AQ10" s="7">
        <f t="shared" si="14"/>
        <v>461</v>
      </c>
      <c r="AR10" s="7">
        <f t="shared" si="15"/>
        <v>549192.46</v>
      </c>
    </row>
    <row r="11" spans="1:44" x14ac:dyDescent="0.25">
      <c r="A11" t="s">
        <v>144</v>
      </c>
      <c r="B11">
        <v>1428785</v>
      </c>
      <c r="C11">
        <v>1481641</v>
      </c>
      <c r="D11">
        <v>1530531</v>
      </c>
      <c r="E11">
        <v>1546782</v>
      </c>
      <c r="F11" s="7">
        <f t="shared" si="0"/>
        <v>14287.85</v>
      </c>
      <c r="G11" s="7">
        <f t="shared" si="1"/>
        <v>14816.41</v>
      </c>
      <c r="H11" s="7">
        <f t="shared" si="2"/>
        <v>15305.31</v>
      </c>
      <c r="I11" s="7">
        <f t="shared" si="3"/>
        <v>15467.82</v>
      </c>
      <c r="L11" t="s">
        <v>227</v>
      </c>
      <c r="M11">
        <v>1113546</v>
      </c>
      <c r="N11" s="7">
        <f t="shared" si="16"/>
        <v>11135.46</v>
      </c>
      <c r="O11" s="24">
        <f t="shared" ref="O11:O17" si="21">N11/N$20</f>
        <v>0.19115793319001514</v>
      </c>
      <c r="Q11">
        <v>2013</v>
      </c>
      <c r="R11" s="176">
        <v>902933</v>
      </c>
      <c r="S11" s="176">
        <v>2425698</v>
      </c>
      <c r="T11" s="176">
        <v>1715266</v>
      </c>
      <c r="U11" s="176">
        <f t="shared" si="17"/>
        <v>5043897</v>
      </c>
      <c r="V11" s="176">
        <f t="shared" si="18"/>
        <v>3328631</v>
      </c>
      <c r="W11">
        <v>19608354</v>
      </c>
      <c r="X11">
        <v>8518151</v>
      </c>
      <c r="Y11">
        <v>17027157</v>
      </c>
      <c r="Z11">
        <v>2796165</v>
      </c>
      <c r="AA11">
        <v>964872</v>
      </c>
      <c r="AB11">
        <v>906516</v>
      </c>
      <c r="AC11">
        <v>54134</v>
      </c>
      <c r="AD11">
        <v>54919246</v>
      </c>
      <c r="AE11">
        <v>2013</v>
      </c>
      <c r="AF11" s="180">
        <f t="shared" si="19"/>
        <v>9029.33</v>
      </c>
      <c r="AG11" s="180">
        <f t="shared" si="4"/>
        <v>24256.98</v>
      </c>
      <c r="AH11" s="180">
        <f t="shared" si="5"/>
        <v>17152.66</v>
      </c>
      <c r="AI11" s="180">
        <f t="shared" si="6"/>
        <v>50438.97</v>
      </c>
      <c r="AJ11" s="180">
        <f t="shared" si="7"/>
        <v>33286.31</v>
      </c>
      <c r="AK11" s="7">
        <f t="shared" si="8"/>
        <v>196083.54</v>
      </c>
      <c r="AL11" s="7">
        <f t="shared" si="9"/>
        <v>85181.51</v>
      </c>
      <c r="AM11" s="7">
        <f t="shared" si="10"/>
        <v>170271.57</v>
      </c>
      <c r="AN11" s="7">
        <f t="shared" si="11"/>
        <v>27961.65</v>
      </c>
      <c r="AO11" s="7">
        <f t="shared" si="12"/>
        <v>9648.7199999999993</v>
      </c>
      <c r="AP11" s="7">
        <f t="shared" si="13"/>
        <v>9065.16</v>
      </c>
      <c r="AQ11" s="7">
        <f t="shared" si="14"/>
        <v>541.34</v>
      </c>
      <c r="AR11" s="7">
        <f t="shared" si="15"/>
        <v>549192.46</v>
      </c>
    </row>
    <row r="12" spans="1:44" x14ac:dyDescent="0.25">
      <c r="A12" t="s">
        <v>145</v>
      </c>
      <c r="B12">
        <v>1575120</v>
      </c>
      <c r="C12">
        <v>1613667</v>
      </c>
      <c r="D12">
        <v>1636520</v>
      </c>
      <c r="E12">
        <v>1552006</v>
      </c>
      <c r="F12" s="7">
        <f t="shared" si="0"/>
        <v>15751.2</v>
      </c>
      <c r="G12" s="7">
        <f t="shared" si="1"/>
        <v>16136.67</v>
      </c>
      <c r="H12" s="7">
        <f t="shared" si="2"/>
        <v>16365.2</v>
      </c>
      <c r="I12" s="7">
        <f t="shared" si="3"/>
        <v>15520.06</v>
      </c>
      <c r="L12" t="s">
        <v>228</v>
      </c>
      <c r="M12">
        <v>290944</v>
      </c>
      <c r="N12" s="7">
        <f t="shared" si="16"/>
        <v>2909.44</v>
      </c>
      <c r="O12" s="24">
        <f t="shared" si="21"/>
        <v>4.9945178478514381E-2</v>
      </c>
      <c r="Q12">
        <v>2014</v>
      </c>
      <c r="R12" s="176">
        <v>922988</v>
      </c>
      <c r="S12" s="176">
        <v>2456102</v>
      </c>
      <c r="T12" s="176">
        <v>1725184</v>
      </c>
      <c r="U12" s="176">
        <f t="shared" si="17"/>
        <v>5104274</v>
      </c>
      <c r="V12" s="176">
        <f t="shared" si="18"/>
        <v>3379090</v>
      </c>
      <c r="W12">
        <v>19685035</v>
      </c>
      <c r="X12">
        <v>8344850</v>
      </c>
      <c r="Y12">
        <v>17033081</v>
      </c>
      <c r="Z12">
        <v>2815344</v>
      </c>
      <c r="AA12">
        <v>967014</v>
      </c>
      <c r="AB12">
        <v>914968</v>
      </c>
      <c r="AC12">
        <v>54680</v>
      </c>
      <c r="AD12">
        <v>54919246</v>
      </c>
      <c r="AE12">
        <v>2014</v>
      </c>
      <c r="AF12" s="180">
        <f t="shared" si="19"/>
        <v>9229.8799999999992</v>
      </c>
      <c r="AG12" s="180">
        <f t="shared" si="4"/>
        <v>24561.02</v>
      </c>
      <c r="AH12" s="180">
        <f t="shared" si="5"/>
        <v>17251.84</v>
      </c>
      <c r="AI12" s="180">
        <f t="shared" si="6"/>
        <v>51042.74</v>
      </c>
      <c r="AJ12" s="180">
        <f t="shared" si="7"/>
        <v>33790.9</v>
      </c>
      <c r="AK12" s="7">
        <f t="shared" si="8"/>
        <v>196850.35</v>
      </c>
      <c r="AL12" s="7">
        <f t="shared" si="9"/>
        <v>83448.5</v>
      </c>
      <c r="AM12" s="7">
        <f t="shared" si="10"/>
        <v>170330.81</v>
      </c>
      <c r="AN12" s="7">
        <f t="shared" si="11"/>
        <v>28153.439999999999</v>
      </c>
      <c r="AO12" s="7">
        <f t="shared" si="12"/>
        <v>9670.14</v>
      </c>
      <c r="AP12" s="7">
        <f t="shared" si="13"/>
        <v>9149.68</v>
      </c>
      <c r="AQ12" s="7">
        <f t="shared" si="14"/>
        <v>546.79999999999995</v>
      </c>
      <c r="AR12" s="7">
        <f t="shared" si="15"/>
        <v>549192.46</v>
      </c>
    </row>
    <row r="13" spans="1:44" x14ac:dyDescent="0.25">
      <c r="A13" t="s">
        <v>146</v>
      </c>
      <c r="B13">
        <v>273531</v>
      </c>
      <c r="C13">
        <v>264357</v>
      </c>
      <c r="D13">
        <v>245036</v>
      </c>
      <c r="E13">
        <v>153348</v>
      </c>
      <c r="F13" s="7">
        <f t="shared" si="0"/>
        <v>2735.31</v>
      </c>
      <c r="G13" s="7">
        <f t="shared" si="1"/>
        <v>2643.57</v>
      </c>
      <c r="H13" s="7">
        <f t="shared" si="2"/>
        <v>2450.36</v>
      </c>
      <c r="I13" s="7">
        <f t="shared" si="3"/>
        <v>1533.48</v>
      </c>
      <c r="L13" t="s">
        <v>229</v>
      </c>
      <c r="M13">
        <v>421477</v>
      </c>
      <c r="N13" s="7">
        <f t="shared" si="16"/>
        <v>4214.7700000000004</v>
      </c>
      <c r="O13" s="24">
        <f t="shared" si="21"/>
        <v>7.235325007420261E-2</v>
      </c>
      <c r="AE13">
        <v>2015</v>
      </c>
    </row>
    <row r="14" spans="1:44" x14ac:dyDescent="0.25">
      <c r="A14" t="s">
        <v>147</v>
      </c>
      <c r="B14">
        <v>201665</v>
      </c>
      <c r="C14">
        <v>177841</v>
      </c>
      <c r="D14">
        <v>167270</v>
      </c>
      <c r="F14" s="7">
        <f t="shared" si="0"/>
        <v>2016.65</v>
      </c>
      <c r="G14" s="7">
        <f t="shared" si="1"/>
        <v>1778.41</v>
      </c>
      <c r="H14" s="7">
        <f t="shared" si="2"/>
        <v>1672.7</v>
      </c>
      <c r="I14" s="7">
        <f t="shared" si="3"/>
        <v>0</v>
      </c>
      <c r="L14" t="s">
        <v>230</v>
      </c>
      <c r="M14">
        <v>209464</v>
      </c>
      <c r="N14" s="7">
        <f t="shared" si="16"/>
        <v>2094.64</v>
      </c>
      <c r="O14" s="24">
        <f t="shared" si="21"/>
        <v>3.5957836782417013E-2</v>
      </c>
      <c r="AE14">
        <v>2016</v>
      </c>
    </row>
    <row r="15" spans="1:44" x14ac:dyDescent="0.25">
      <c r="A15" t="s">
        <v>148</v>
      </c>
      <c r="B15">
        <v>18382126</v>
      </c>
      <c r="C15">
        <v>18393986</v>
      </c>
      <c r="D15">
        <v>18493681</v>
      </c>
      <c r="F15" s="7">
        <f t="shared" si="0"/>
        <v>183821.26</v>
      </c>
      <c r="G15" s="7">
        <f t="shared" si="1"/>
        <v>183939.86</v>
      </c>
      <c r="H15" s="7">
        <f t="shared" si="2"/>
        <v>184936.81</v>
      </c>
      <c r="I15" s="7">
        <f t="shared" si="3"/>
        <v>0</v>
      </c>
      <c r="L15" t="s">
        <v>231</v>
      </c>
      <c r="M15">
        <v>794736</v>
      </c>
      <c r="N15" s="7">
        <f t="shared" si="16"/>
        <v>7947.36</v>
      </c>
      <c r="O15" s="24">
        <f t="shared" si="21"/>
        <v>0.13642911131798766</v>
      </c>
    </row>
    <row r="16" spans="1:44" x14ac:dyDescent="0.25">
      <c r="A16" t="s">
        <v>149</v>
      </c>
      <c r="B16">
        <v>5330462</v>
      </c>
      <c r="C16">
        <v>5236024</v>
      </c>
      <c r="D16">
        <v>5483429</v>
      </c>
      <c r="F16" s="7">
        <f t="shared" si="0"/>
        <v>53304.62</v>
      </c>
      <c r="G16" s="7">
        <f t="shared" si="1"/>
        <v>52360.24</v>
      </c>
      <c r="H16" s="7">
        <f t="shared" si="2"/>
        <v>54834.29</v>
      </c>
      <c r="I16" s="7">
        <f t="shared" si="3"/>
        <v>0</v>
      </c>
      <c r="L16" t="s">
        <v>232</v>
      </c>
      <c r="M16">
        <v>505631</v>
      </c>
      <c r="N16" s="7">
        <f t="shared" si="16"/>
        <v>5056.3100000000004</v>
      </c>
      <c r="O16" s="24">
        <f t="shared" si="21"/>
        <v>8.6799626523556786E-2</v>
      </c>
    </row>
    <row r="17" spans="1:15" x14ac:dyDescent="0.25">
      <c r="A17" t="s">
        <v>150</v>
      </c>
      <c r="B17">
        <v>4858189</v>
      </c>
      <c r="C17">
        <v>4767099</v>
      </c>
      <c r="D17">
        <v>5048698</v>
      </c>
      <c r="E17">
        <v>4746512</v>
      </c>
      <c r="F17" s="7">
        <f t="shared" si="0"/>
        <v>48581.89</v>
      </c>
      <c r="G17" s="7">
        <f t="shared" si="1"/>
        <v>47670.99</v>
      </c>
      <c r="H17" s="7">
        <f t="shared" si="2"/>
        <v>50486.98</v>
      </c>
      <c r="I17" s="7">
        <f t="shared" si="3"/>
        <v>47465.120000000003</v>
      </c>
      <c r="L17" t="s">
        <v>233</v>
      </c>
      <c r="M17">
        <v>2208181</v>
      </c>
      <c r="N17" s="7">
        <f t="shared" si="16"/>
        <v>22081.81</v>
      </c>
      <c r="O17" s="24">
        <f t="shared" si="21"/>
        <v>0.37906949157866932</v>
      </c>
    </row>
    <row r="18" spans="1:15" x14ac:dyDescent="0.25">
      <c r="A18" t="s">
        <v>151</v>
      </c>
      <c r="B18">
        <v>472272</v>
      </c>
      <c r="C18">
        <v>468926</v>
      </c>
      <c r="D18">
        <v>434730</v>
      </c>
      <c r="E18">
        <v>454560</v>
      </c>
      <c r="F18" s="7">
        <f t="shared" si="0"/>
        <v>4722.72</v>
      </c>
      <c r="G18" s="7">
        <f t="shared" si="1"/>
        <v>4689.26</v>
      </c>
      <c r="H18" s="7">
        <f t="shared" si="2"/>
        <v>4347.3</v>
      </c>
      <c r="I18" s="7">
        <f t="shared" si="3"/>
        <v>4545.6000000000004</v>
      </c>
      <c r="L18" s="1" t="s">
        <v>234</v>
      </c>
      <c r="M18" s="1">
        <v>5409233</v>
      </c>
      <c r="N18" s="2">
        <f t="shared" si="16"/>
        <v>54092.33</v>
      </c>
      <c r="O18" s="24"/>
    </row>
    <row r="19" spans="1:15" x14ac:dyDescent="0.25">
      <c r="A19" t="s">
        <v>152</v>
      </c>
      <c r="B19">
        <v>1713547</v>
      </c>
      <c r="C19">
        <v>1701207</v>
      </c>
      <c r="D19">
        <v>1811725</v>
      </c>
      <c r="E19">
        <v>1879153</v>
      </c>
      <c r="F19" s="7">
        <f t="shared" si="0"/>
        <v>17135.47</v>
      </c>
      <c r="G19" s="7">
        <f t="shared" si="1"/>
        <v>17012.07</v>
      </c>
      <c r="H19" s="7">
        <f t="shared" si="2"/>
        <v>18117.25</v>
      </c>
      <c r="I19" s="7">
        <f t="shared" si="3"/>
        <v>18791.53</v>
      </c>
      <c r="L19" s="22" t="s">
        <v>240</v>
      </c>
      <c r="M19" s="22">
        <f>SUM(M10:M18)</f>
        <v>11234500</v>
      </c>
      <c r="N19" s="22">
        <f>SUM(N10:N18)</f>
        <v>112345</v>
      </c>
      <c r="O19" s="24"/>
    </row>
    <row r="20" spans="1:15" x14ac:dyDescent="0.25">
      <c r="A20" t="s">
        <v>153</v>
      </c>
      <c r="B20">
        <v>2869061</v>
      </c>
      <c r="C20">
        <v>2891831</v>
      </c>
      <c r="D20">
        <v>3205224</v>
      </c>
      <c r="E20">
        <v>3265124</v>
      </c>
      <c r="F20" s="7">
        <f t="shared" si="0"/>
        <v>28690.61</v>
      </c>
      <c r="G20" s="7">
        <f t="shared" si="1"/>
        <v>28918.31</v>
      </c>
      <c r="H20" s="7">
        <f t="shared" si="2"/>
        <v>32052.240000000002</v>
      </c>
      <c r="I20" s="7">
        <f t="shared" si="3"/>
        <v>32651.24</v>
      </c>
      <c r="L20" s="22" t="s">
        <v>242</v>
      </c>
      <c r="M20">
        <f>M17+M16+M15+M14+M13+M12+M11+M10</f>
        <v>5825267</v>
      </c>
      <c r="N20">
        <f>N17+N16+N15+N14+N13+N12+N11+N10</f>
        <v>58252.67</v>
      </c>
    </row>
    <row r="21" spans="1:15" x14ac:dyDescent="0.25">
      <c r="A21" t="s">
        <v>154</v>
      </c>
      <c r="B21">
        <v>311287</v>
      </c>
      <c r="C21">
        <v>307186</v>
      </c>
      <c r="D21">
        <v>315435</v>
      </c>
      <c r="E21">
        <v>335893</v>
      </c>
      <c r="F21" s="7">
        <f t="shared" si="0"/>
        <v>3112.87</v>
      </c>
      <c r="G21" s="7">
        <f t="shared" si="1"/>
        <v>3071.86</v>
      </c>
      <c r="H21" s="7">
        <f t="shared" si="2"/>
        <v>3154.35</v>
      </c>
      <c r="I21" s="7">
        <f t="shared" si="3"/>
        <v>3358.93</v>
      </c>
    </row>
    <row r="22" spans="1:15" x14ac:dyDescent="0.25">
      <c r="A22" t="s">
        <v>155</v>
      </c>
      <c r="B22">
        <v>249195</v>
      </c>
      <c r="C22">
        <v>254917</v>
      </c>
      <c r="D22">
        <v>223117</v>
      </c>
      <c r="E22">
        <v>170132</v>
      </c>
      <c r="F22" s="7">
        <f t="shared" si="0"/>
        <v>2491.9499999999998</v>
      </c>
      <c r="G22" s="7">
        <f t="shared" si="1"/>
        <v>2549.17</v>
      </c>
      <c r="H22" s="7">
        <f t="shared" si="2"/>
        <v>2231.17</v>
      </c>
      <c r="I22" s="7">
        <f t="shared" si="3"/>
        <v>1701.32</v>
      </c>
    </row>
    <row r="23" spans="1:15" x14ac:dyDescent="0.25">
      <c r="A23" t="s">
        <v>156</v>
      </c>
      <c r="B23">
        <v>90662</v>
      </c>
      <c r="C23">
        <v>105716</v>
      </c>
      <c r="D23">
        <v>87824</v>
      </c>
      <c r="E23">
        <v>103287</v>
      </c>
      <c r="F23" s="7">
        <f t="shared" si="0"/>
        <v>906.62</v>
      </c>
      <c r="G23" s="7">
        <f t="shared" si="1"/>
        <v>1057.1600000000001</v>
      </c>
      <c r="H23" s="7">
        <f t="shared" si="2"/>
        <v>878.24</v>
      </c>
      <c r="I23" s="7">
        <f t="shared" si="3"/>
        <v>1032.8699999999999</v>
      </c>
    </row>
    <row r="24" spans="1:15" x14ac:dyDescent="0.25">
      <c r="A24" t="s">
        <v>157</v>
      </c>
      <c r="B24">
        <v>158532</v>
      </c>
      <c r="C24">
        <v>149201</v>
      </c>
      <c r="D24">
        <v>135293</v>
      </c>
      <c r="F24" s="7">
        <f t="shared" si="0"/>
        <v>1585.32</v>
      </c>
      <c r="G24" s="7">
        <f t="shared" si="1"/>
        <v>1492.01</v>
      </c>
      <c r="H24" s="7">
        <f t="shared" si="2"/>
        <v>1352.93</v>
      </c>
      <c r="I24" s="7">
        <f t="shared" si="3"/>
        <v>0</v>
      </c>
    </row>
    <row r="25" spans="1:15" x14ac:dyDescent="0.25">
      <c r="A25" t="s">
        <v>158</v>
      </c>
      <c r="B25">
        <v>161138</v>
      </c>
      <c r="C25">
        <v>160878</v>
      </c>
      <c r="D25">
        <v>161824</v>
      </c>
      <c r="E25">
        <v>154762</v>
      </c>
      <c r="F25" s="7">
        <f t="shared" si="0"/>
        <v>1611.38</v>
      </c>
      <c r="G25" s="7">
        <f t="shared" si="1"/>
        <v>1608.78</v>
      </c>
      <c r="H25" s="7">
        <f t="shared" si="2"/>
        <v>1618.24</v>
      </c>
      <c r="I25" s="7">
        <f t="shared" si="3"/>
        <v>1547.62</v>
      </c>
    </row>
    <row r="26" spans="1:15" x14ac:dyDescent="0.25">
      <c r="A26" t="s">
        <v>159</v>
      </c>
      <c r="B26">
        <v>370386</v>
      </c>
      <c r="C26">
        <v>397927</v>
      </c>
      <c r="D26">
        <v>355010</v>
      </c>
      <c r="E26">
        <v>379862</v>
      </c>
      <c r="F26" s="7">
        <f t="shared" si="0"/>
        <v>3703.86</v>
      </c>
      <c r="G26" s="7">
        <f t="shared" si="1"/>
        <v>3979.27</v>
      </c>
      <c r="H26" s="7">
        <f t="shared" si="2"/>
        <v>3550.1</v>
      </c>
      <c r="I26" s="7">
        <f t="shared" si="3"/>
        <v>3798.62</v>
      </c>
    </row>
    <row r="27" spans="1:15" x14ac:dyDescent="0.25">
      <c r="A27" t="s">
        <v>160</v>
      </c>
      <c r="B27">
        <v>639661</v>
      </c>
      <c r="C27">
        <v>519785</v>
      </c>
      <c r="D27">
        <v>619149</v>
      </c>
      <c r="E27">
        <v>695571</v>
      </c>
      <c r="F27" s="7">
        <f t="shared" si="0"/>
        <v>6396.61</v>
      </c>
      <c r="G27" s="7">
        <f t="shared" si="1"/>
        <v>5197.8500000000004</v>
      </c>
      <c r="H27" s="7">
        <f t="shared" si="2"/>
        <v>6191.49</v>
      </c>
      <c r="I27" s="7">
        <f t="shared" si="3"/>
        <v>6955.71</v>
      </c>
    </row>
    <row r="28" spans="1:15" x14ac:dyDescent="0.25">
      <c r="A28" t="s">
        <v>161</v>
      </c>
      <c r="B28">
        <v>1411682</v>
      </c>
      <c r="C28">
        <v>1600975</v>
      </c>
      <c r="D28">
        <v>1395706</v>
      </c>
      <c r="E28">
        <v>1481829</v>
      </c>
      <c r="F28" s="7">
        <f t="shared" si="0"/>
        <v>14116.82</v>
      </c>
      <c r="G28" s="7">
        <f t="shared" si="1"/>
        <v>16009.75</v>
      </c>
      <c r="H28" s="7">
        <f t="shared" si="2"/>
        <v>13957.06</v>
      </c>
      <c r="I28" s="7">
        <f t="shared" si="3"/>
        <v>14818.29</v>
      </c>
    </row>
    <row r="29" spans="1:15" x14ac:dyDescent="0.25">
      <c r="A29" t="s">
        <v>162</v>
      </c>
      <c r="B29">
        <v>63267</v>
      </c>
      <c r="C29">
        <v>55588</v>
      </c>
      <c r="D29">
        <v>30698</v>
      </c>
      <c r="E29">
        <v>62707</v>
      </c>
      <c r="F29" s="7">
        <f t="shared" si="0"/>
        <v>632.66999999999996</v>
      </c>
      <c r="G29" s="7">
        <f t="shared" si="1"/>
        <v>555.88</v>
      </c>
      <c r="H29" s="7">
        <f t="shared" si="2"/>
        <v>306.98</v>
      </c>
      <c r="I29" s="7">
        <f t="shared" si="3"/>
        <v>627.07000000000005</v>
      </c>
    </row>
    <row r="30" spans="1:15" x14ac:dyDescent="0.25">
      <c r="A30" t="s">
        <v>163</v>
      </c>
      <c r="B30">
        <v>320975</v>
      </c>
      <c r="C30">
        <v>228797</v>
      </c>
      <c r="D30">
        <v>165991</v>
      </c>
      <c r="F30" s="7">
        <f t="shared" si="0"/>
        <v>3209.75</v>
      </c>
      <c r="G30" s="7">
        <f t="shared" si="1"/>
        <v>2287.9699999999998</v>
      </c>
      <c r="H30" s="7">
        <f t="shared" si="2"/>
        <v>1659.91</v>
      </c>
      <c r="I30" s="7">
        <f t="shared" si="3"/>
        <v>0</v>
      </c>
    </row>
    <row r="31" spans="1:15" x14ac:dyDescent="0.25">
      <c r="A31" t="s">
        <v>164</v>
      </c>
      <c r="B31">
        <v>238185</v>
      </c>
      <c r="C31">
        <v>172202</v>
      </c>
      <c r="D31">
        <v>104279</v>
      </c>
      <c r="E31">
        <v>11331</v>
      </c>
      <c r="F31" s="7">
        <f t="shared" si="0"/>
        <v>2381.85</v>
      </c>
      <c r="G31" s="7">
        <f t="shared" si="1"/>
        <v>1722.02</v>
      </c>
      <c r="H31" s="7">
        <f t="shared" si="2"/>
        <v>1042.79</v>
      </c>
      <c r="I31" s="7">
        <f t="shared" si="3"/>
        <v>113.31</v>
      </c>
    </row>
    <row r="32" spans="1:15" x14ac:dyDescent="0.25">
      <c r="A32" t="s">
        <v>165</v>
      </c>
      <c r="B32">
        <v>82790</v>
      </c>
      <c r="C32">
        <v>56595</v>
      </c>
      <c r="D32">
        <v>61713</v>
      </c>
      <c r="E32">
        <v>93524</v>
      </c>
      <c r="F32" s="7">
        <f t="shared" si="0"/>
        <v>827.9</v>
      </c>
      <c r="G32" s="7">
        <f t="shared" si="1"/>
        <v>565.95000000000005</v>
      </c>
      <c r="H32" s="7">
        <f t="shared" si="2"/>
        <v>617.13</v>
      </c>
      <c r="I32" s="7">
        <f t="shared" si="3"/>
        <v>935.24</v>
      </c>
    </row>
    <row r="33" spans="1:9" x14ac:dyDescent="0.25">
      <c r="A33" t="s">
        <v>166</v>
      </c>
      <c r="B33">
        <v>153528</v>
      </c>
      <c r="C33">
        <v>116964</v>
      </c>
      <c r="D33">
        <v>117916</v>
      </c>
      <c r="F33" s="7">
        <f t="shared" si="0"/>
        <v>1535.28</v>
      </c>
      <c r="G33" s="7">
        <f t="shared" si="1"/>
        <v>1169.6400000000001</v>
      </c>
      <c r="H33" s="7">
        <f t="shared" si="2"/>
        <v>1179.1600000000001</v>
      </c>
      <c r="I33" s="7">
        <f t="shared" si="3"/>
        <v>0</v>
      </c>
    </row>
    <row r="34" spans="1:9" x14ac:dyDescent="0.25">
      <c r="A34" t="s">
        <v>167</v>
      </c>
      <c r="B34">
        <v>4412</v>
      </c>
      <c r="C34">
        <v>5112</v>
      </c>
      <c r="D34">
        <v>3602</v>
      </c>
      <c r="E34">
        <v>3414</v>
      </c>
      <c r="F34" s="7">
        <f t="shared" si="0"/>
        <v>44.12</v>
      </c>
      <c r="G34" s="7">
        <f t="shared" si="1"/>
        <v>51.12</v>
      </c>
      <c r="H34" s="7">
        <f t="shared" si="2"/>
        <v>36.020000000000003</v>
      </c>
      <c r="I34" s="7">
        <f t="shared" si="3"/>
        <v>34.14</v>
      </c>
    </row>
    <row r="35" spans="1:9" x14ac:dyDescent="0.25">
      <c r="A35" t="s">
        <v>168</v>
      </c>
      <c r="B35">
        <v>89782</v>
      </c>
      <c r="C35">
        <v>74705</v>
      </c>
      <c r="D35">
        <v>69711</v>
      </c>
      <c r="E35">
        <v>65794</v>
      </c>
      <c r="F35" s="7">
        <f t="shared" si="0"/>
        <v>897.82</v>
      </c>
      <c r="G35" s="7">
        <f t="shared" si="1"/>
        <v>747.05</v>
      </c>
      <c r="H35" s="7">
        <f t="shared" si="2"/>
        <v>697.11</v>
      </c>
      <c r="I35" s="7">
        <f t="shared" si="3"/>
        <v>657.94</v>
      </c>
    </row>
    <row r="36" spans="1:9" x14ac:dyDescent="0.25">
      <c r="A36" t="s">
        <v>169</v>
      </c>
      <c r="B36">
        <v>59334</v>
      </c>
      <c r="C36">
        <v>37148</v>
      </c>
      <c r="D36">
        <v>44603</v>
      </c>
      <c r="E36">
        <v>51817</v>
      </c>
      <c r="F36" s="7">
        <f t="shared" ref="F36:F67" si="22">B36/100</f>
        <v>593.34</v>
      </c>
      <c r="G36" s="7">
        <f t="shared" ref="G36:G67" si="23">C36/100</f>
        <v>371.48</v>
      </c>
      <c r="H36" s="7">
        <f t="shared" ref="H36:H67" si="24">D36/100</f>
        <v>446.03</v>
      </c>
      <c r="I36" s="7">
        <f t="shared" ref="I36:I67" si="25">E36/100</f>
        <v>518.16999999999996</v>
      </c>
    </row>
    <row r="37" spans="1:9" x14ac:dyDescent="0.25">
      <c r="A37" t="s">
        <v>170</v>
      </c>
      <c r="B37">
        <v>206991</v>
      </c>
      <c r="C37">
        <v>198816</v>
      </c>
      <c r="D37">
        <v>186843</v>
      </c>
      <c r="E37">
        <v>196500</v>
      </c>
      <c r="F37" s="7">
        <f t="shared" si="22"/>
        <v>2069.91</v>
      </c>
      <c r="G37" s="7">
        <f t="shared" si="23"/>
        <v>1988.16</v>
      </c>
      <c r="H37" s="7">
        <f t="shared" si="24"/>
        <v>1868.43</v>
      </c>
      <c r="I37" s="7">
        <f t="shared" si="25"/>
        <v>1965</v>
      </c>
    </row>
    <row r="38" spans="1:9" x14ac:dyDescent="0.25">
      <c r="A38" t="s">
        <v>171</v>
      </c>
      <c r="B38">
        <v>174264</v>
      </c>
      <c r="C38">
        <v>181756</v>
      </c>
      <c r="D38">
        <v>179130</v>
      </c>
      <c r="E38">
        <v>170643</v>
      </c>
      <c r="F38" s="7">
        <f t="shared" si="22"/>
        <v>1742.64</v>
      </c>
      <c r="G38" s="7">
        <f t="shared" si="23"/>
        <v>1817.56</v>
      </c>
      <c r="H38" s="7">
        <f t="shared" si="24"/>
        <v>1791.3</v>
      </c>
      <c r="I38" s="7">
        <f t="shared" si="25"/>
        <v>1706.43</v>
      </c>
    </row>
    <row r="39" spans="1:9" x14ac:dyDescent="0.25">
      <c r="A39" t="s">
        <v>172</v>
      </c>
      <c r="B39">
        <v>2395056</v>
      </c>
      <c r="C39">
        <v>2504715</v>
      </c>
      <c r="D39">
        <v>2411887</v>
      </c>
      <c r="F39" s="7">
        <f t="shared" si="22"/>
        <v>23950.560000000001</v>
      </c>
      <c r="G39" s="7">
        <f t="shared" si="23"/>
        <v>25047.15</v>
      </c>
      <c r="H39" s="7">
        <f t="shared" si="24"/>
        <v>24118.87</v>
      </c>
      <c r="I39" s="7">
        <f t="shared" si="25"/>
        <v>0</v>
      </c>
    </row>
    <row r="40" spans="1:9" x14ac:dyDescent="0.25">
      <c r="A40" t="s">
        <v>173</v>
      </c>
      <c r="B40">
        <v>30683</v>
      </c>
      <c r="C40">
        <v>34839</v>
      </c>
      <c r="D40">
        <v>29220</v>
      </c>
      <c r="E40">
        <v>36804</v>
      </c>
      <c r="F40" s="7">
        <f t="shared" si="22"/>
        <v>306.83</v>
      </c>
      <c r="G40" s="7">
        <f t="shared" si="23"/>
        <v>348.39</v>
      </c>
      <c r="H40" s="7">
        <f t="shared" si="24"/>
        <v>292.2</v>
      </c>
      <c r="I40" s="7">
        <f t="shared" si="25"/>
        <v>368.04</v>
      </c>
    </row>
    <row r="41" spans="1:9" x14ac:dyDescent="0.25">
      <c r="A41" t="s">
        <v>174</v>
      </c>
      <c r="B41">
        <v>2024401</v>
      </c>
      <c r="C41">
        <v>2119746</v>
      </c>
      <c r="D41">
        <v>2068462</v>
      </c>
      <c r="E41">
        <v>1994146</v>
      </c>
      <c r="F41" s="7">
        <f t="shared" si="22"/>
        <v>20244.009999999998</v>
      </c>
      <c r="G41" s="7">
        <f t="shared" si="23"/>
        <v>21197.46</v>
      </c>
      <c r="H41" s="7">
        <f t="shared" si="24"/>
        <v>20684.62</v>
      </c>
      <c r="I41" s="7">
        <f t="shared" si="25"/>
        <v>19941.46</v>
      </c>
    </row>
    <row r="42" spans="1:9" x14ac:dyDescent="0.25">
      <c r="A42" t="s">
        <v>175</v>
      </c>
      <c r="B42">
        <v>339972</v>
      </c>
      <c r="C42">
        <v>350130</v>
      </c>
      <c r="D42">
        <v>314205</v>
      </c>
      <c r="E42">
        <v>325629</v>
      </c>
      <c r="F42" s="7">
        <f t="shared" si="22"/>
        <v>3399.72</v>
      </c>
      <c r="G42" s="7">
        <f t="shared" si="23"/>
        <v>3501.3</v>
      </c>
      <c r="H42" s="7">
        <f t="shared" si="24"/>
        <v>3142.05</v>
      </c>
      <c r="I42" s="7">
        <f t="shared" si="25"/>
        <v>3256.29</v>
      </c>
    </row>
    <row r="43" spans="1:9" x14ac:dyDescent="0.25">
      <c r="A43" t="s">
        <v>176</v>
      </c>
      <c r="B43">
        <v>738769</v>
      </c>
      <c r="C43">
        <v>784008</v>
      </c>
      <c r="D43">
        <v>597780</v>
      </c>
      <c r="E43">
        <v>567495</v>
      </c>
      <c r="F43" s="7">
        <f t="shared" si="22"/>
        <v>7387.69</v>
      </c>
      <c r="G43" s="7">
        <f t="shared" si="23"/>
        <v>7840.08</v>
      </c>
      <c r="H43" s="7">
        <f t="shared" si="24"/>
        <v>5977.8</v>
      </c>
      <c r="I43" s="7">
        <f t="shared" si="25"/>
        <v>5674.95</v>
      </c>
    </row>
    <row r="44" spans="1:9" x14ac:dyDescent="0.25">
      <c r="A44" t="s">
        <v>177</v>
      </c>
      <c r="B44">
        <v>353142</v>
      </c>
      <c r="C44">
        <v>345924</v>
      </c>
      <c r="D44">
        <v>340949</v>
      </c>
      <c r="F44" s="7">
        <f t="shared" si="22"/>
        <v>3531.42</v>
      </c>
      <c r="G44" s="7">
        <f t="shared" si="23"/>
        <v>3459.24</v>
      </c>
      <c r="H44" s="7">
        <f t="shared" si="24"/>
        <v>3409.49</v>
      </c>
      <c r="I44" s="7">
        <f t="shared" si="25"/>
        <v>0</v>
      </c>
    </row>
    <row r="45" spans="1:9" x14ac:dyDescent="0.25">
      <c r="A45" t="s">
        <v>178</v>
      </c>
      <c r="B45">
        <v>104521</v>
      </c>
      <c r="C45">
        <v>98809</v>
      </c>
      <c r="D45">
        <v>97718</v>
      </c>
      <c r="E45">
        <v>95655</v>
      </c>
      <c r="F45" s="7">
        <f t="shared" si="22"/>
        <v>1045.21</v>
      </c>
      <c r="G45" s="7">
        <f t="shared" si="23"/>
        <v>988.09</v>
      </c>
      <c r="H45" s="7">
        <f t="shared" si="24"/>
        <v>977.18</v>
      </c>
      <c r="I45" s="7">
        <f t="shared" si="25"/>
        <v>956.55</v>
      </c>
    </row>
    <row r="46" spans="1:9" x14ac:dyDescent="0.25">
      <c r="A46" t="s">
        <v>179</v>
      </c>
      <c r="B46">
        <v>248621</v>
      </c>
      <c r="C46">
        <v>247115</v>
      </c>
      <c r="D46">
        <v>243231</v>
      </c>
      <c r="E46">
        <v>248280</v>
      </c>
      <c r="F46" s="7">
        <f t="shared" si="22"/>
        <v>2486.21</v>
      </c>
      <c r="G46" s="7">
        <f t="shared" si="23"/>
        <v>2471.15</v>
      </c>
      <c r="H46" s="7">
        <f t="shared" si="24"/>
        <v>2432.31</v>
      </c>
      <c r="I46" s="7">
        <f t="shared" si="25"/>
        <v>2482.8000000000002</v>
      </c>
    </row>
    <row r="47" spans="1:9" x14ac:dyDescent="0.25">
      <c r="A47" t="s">
        <v>180</v>
      </c>
      <c r="B47">
        <v>849269</v>
      </c>
      <c r="C47">
        <v>836512</v>
      </c>
      <c r="D47">
        <v>825483</v>
      </c>
      <c r="E47">
        <v>802779</v>
      </c>
      <c r="F47" s="7">
        <f t="shared" si="22"/>
        <v>8492.69</v>
      </c>
      <c r="G47" s="7">
        <f t="shared" si="23"/>
        <v>8365.1200000000008</v>
      </c>
      <c r="H47" s="7">
        <f t="shared" si="24"/>
        <v>8254.83</v>
      </c>
      <c r="I47" s="7">
        <f t="shared" si="25"/>
        <v>8027.79</v>
      </c>
    </row>
    <row r="48" spans="1:9" x14ac:dyDescent="0.25">
      <c r="A48" t="s">
        <v>181</v>
      </c>
      <c r="B48">
        <v>70447</v>
      </c>
      <c r="C48">
        <v>70176</v>
      </c>
      <c r="D48">
        <v>66386</v>
      </c>
      <c r="F48" s="7">
        <f t="shared" si="22"/>
        <v>704.47</v>
      </c>
      <c r="G48" s="7">
        <f t="shared" si="23"/>
        <v>701.76</v>
      </c>
      <c r="H48" s="7">
        <f t="shared" si="24"/>
        <v>663.86</v>
      </c>
      <c r="I48" s="7">
        <f t="shared" si="25"/>
        <v>0</v>
      </c>
    </row>
    <row r="49" spans="1:9" x14ac:dyDescent="0.25">
      <c r="A49" t="s">
        <v>182</v>
      </c>
      <c r="B49">
        <v>26982</v>
      </c>
      <c r="C49">
        <v>27162</v>
      </c>
      <c r="D49">
        <v>23732</v>
      </c>
      <c r="E49">
        <v>24544</v>
      </c>
      <c r="F49" s="7">
        <f t="shared" si="22"/>
        <v>269.82</v>
      </c>
      <c r="G49" s="7">
        <f t="shared" si="23"/>
        <v>271.62</v>
      </c>
      <c r="H49" s="7">
        <f t="shared" si="24"/>
        <v>237.32</v>
      </c>
      <c r="I49" s="7">
        <f t="shared" si="25"/>
        <v>245.44</v>
      </c>
    </row>
    <row r="50" spans="1:9" x14ac:dyDescent="0.25">
      <c r="A50" t="s">
        <v>183</v>
      </c>
      <c r="B50">
        <v>43465</v>
      </c>
      <c r="C50">
        <v>43014</v>
      </c>
      <c r="D50">
        <v>42654</v>
      </c>
      <c r="E50">
        <v>43860</v>
      </c>
      <c r="F50" s="7">
        <f t="shared" si="22"/>
        <v>434.65</v>
      </c>
      <c r="G50" s="7">
        <f t="shared" si="23"/>
        <v>430.14</v>
      </c>
      <c r="H50" s="7">
        <f t="shared" si="24"/>
        <v>426.54</v>
      </c>
      <c r="I50" s="7">
        <f t="shared" si="25"/>
        <v>438.6</v>
      </c>
    </row>
    <row r="51" spans="1:9" x14ac:dyDescent="0.25">
      <c r="A51" t="s">
        <v>184</v>
      </c>
      <c r="B51">
        <v>16991000</v>
      </c>
      <c r="C51">
        <v>16974588</v>
      </c>
      <c r="D51">
        <v>16946506</v>
      </c>
      <c r="E51">
        <f>SUM(E52:E57)</f>
        <v>16946507</v>
      </c>
      <c r="F51" s="7">
        <f t="shared" si="22"/>
        <v>169910</v>
      </c>
      <c r="G51" s="7">
        <f t="shared" si="23"/>
        <v>169745.88</v>
      </c>
      <c r="H51" s="7">
        <f t="shared" si="24"/>
        <v>169465.06</v>
      </c>
      <c r="I51" s="7">
        <f t="shared" si="25"/>
        <v>169465.07</v>
      </c>
    </row>
    <row r="52" spans="1:9" x14ac:dyDescent="0.25">
      <c r="A52" t="s">
        <v>185</v>
      </c>
      <c r="B52">
        <v>9027643</v>
      </c>
      <c r="C52">
        <v>9115095</v>
      </c>
      <c r="D52">
        <v>9059905</v>
      </c>
      <c r="E52">
        <v>9090334</v>
      </c>
      <c r="F52" s="7">
        <f t="shared" si="22"/>
        <v>90276.43</v>
      </c>
      <c r="G52" s="7">
        <f t="shared" si="23"/>
        <v>91150.95</v>
      </c>
      <c r="H52" s="7">
        <f t="shared" si="24"/>
        <v>90599.05</v>
      </c>
      <c r="I52" s="7">
        <f t="shared" si="25"/>
        <v>90903.34</v>
      </c>
    </row>
    <row r="53" spans="1:9" x14ac:dyDescent="0.25">
      <c r="A53" t="s">
        <v>186</v>
      </c>
      <c r="B53">
        <v>3286247</v>
      </c>
      <c r="C53">
        <v>3271601</v>
      </c>
      <c r="D53">
        <v>3276554</v>
      </c>
      <c r="E53">
        <v>3243374</v>
      </c>
      <c r="F53" s="7">
        <f t="shared" si="22"/>
        <v>32862.47</v>
      </c>
      <c r="G53" s="7">
        <f t="shared" si="23"/>
        <v>32716.01</v>
      </c>
      <c r="H53" s="7">
        <f t="shared" si="24"/>
        <v>32765.54</v>
      </c>
      <c r="I53" s="7">
        <f t="shared" si="25"/>
        <v>32433.74</v>
      </c>
    </row>
    <row r="54" spans="1:9" x14ac:dyDescent="0.25">
      <c r="A54" t="s">
        <v>187</v>
      </c>
      <c r="B54">
        <v>2539002</v>
      </c>
      <c r="C54">
        <v>2491447</v>
      </c>
      <c r="D54">
        <v>2525479</v>
      </c>
      <c r="E54">
        <v>2549043</v>
      </c>
      <c r="F54" s="7">
        <f t="shared" si="22"/>
        <v>25390.02</v>
      </c>
      <c r="G54" s="7">
        <f t="shared" si="23"/>
        <v>24914.47</v>
      </c>
      <c r="H54" s="7">
        <f t="shared" si="24"/>
        <v>25254.79</v>
      </c>
      <c r="I54" s="7">
        <f t="shared" si="25"/>
        <v>25490.43</v>
      </c>
    </row>
    <row r="55" spans="1:9" x14ac:dyDescent="0.25">
      <c r="A55" t="s">
        <v>188</v>
      </c>
      <c r="B55">
        <v>185083</v>
      </c>
      <c r="C55">
        <v>186994</v>
      </c>
      <c r="D55">
        <v>189498</v>
      </c>
      <c r="E55">
        <v>192735</v>
      </c>
      <c r="F55" s="7">
        <f t="shared" si="22"/>
        <v>1850.83</v>
      </c>
      <c r="G55" s="7">
        <f t="shared" si="23"/>
        <v>1869.94</v>
      </c>
      <c r="H55" s="7">
        <f t="shared" si="24"/>
        <v>1894.98</v>
      </c>
      <c r="I55" s="7">
        <f t="shared" si="25"/>
        <v>1927.35</v>
      </c>
    </row>
    <row r="56" spans="1:9" x14ac:dyDescent="0.25">
      <c r="A56" t="s">
        <v>189</v>
      </c>
      <c r="B56">
        <v>951852</v>
      </c>
      <c r="C56">
        <v>906015</v>
      </c>
      <c r="D56">
        <v>894295</v>
      </c>
      <c r="E56">
        <v>883942</v>
      </c>
      <c r="F56" s="7">
        <f t="shared" si="22"/>
        <v>9518.52</v>
      </c>
      <c r="G56" s="7">
        <f t="shared" si="23"/>
        <v>9060.15</v>
      </c>
      <c r="H56" s="7">
        <f t="shared" si="24"/>
        <v>8942.9500000000007</v>
      </c>
      <c r="I56" s="7">
        <f t="shared" si="25"/>
        <v>8839.42</v>
      </c>
    </row>
    <row r="57" spans="1:9" x14ac:dyDescent="0.25">
      <c r="A57" t="s">
        <v>190</v>
      </c>
      <c r="B57">
        <v>1001174</v>
      </c>
      <c r="C57">
        <v>1003436</v>
      </c>
      <c r="D57">
        <v>1000774</v>
      </c>
      <c r="E57">
        <v>987079</v>
      </c>
      <c r="F57" s="7">
        <f t="shared" si="22"/>
        <v>10011.74</v>
      </c>
      <c r="G57" s="7">
        <f t="shared" si="23"/>
        <v>10034.36</v>
      </c>
      <c r="H57" s="7">
        <f t="shared" si="24"/>
        <v>10007.74</v>
      </c>
      <c r="I57" s="7">
        <f t="shared" si="25"/>
        <v>9870.7900000000009</v>
      </c>
    </row>
    <row r="58" spans="1:9" x14ac:dyDescent="0.25">
      <c r="A58" t="s">
        <v>191</v>
      </c>
      <c r="B58">
        <v>2817701</v>
      </c>
      <c r="C58">
        <v>2847204</v>
      </c>
      <c r="D58">
        <v>2880611</v>
      </c>
      <c r="E58">
        <f>E59+E60</f>
        <v>2858799</v>
      </c>
      <c r="F58" s="7">
        <f t="shared" si="22"/>
        <v>28177.01</v>
      </c>
      <c r="G58" s="7">
        <f t="shared" si="23"/>
        <v>28472.04</v>
      </c>
      <c r="H58" s="7">
        <f t="shared" si="24"/>
        <v>28806.11</v>
      </c>
      <c r="I58" s="7">
        <f t="shared" si="25"/>
        <v>28587.99</v>
      </c>
    </row>
    <row r="59" spans="1:9" x14ac:dyDescent="0.25">
      <c r="A59" t="s">
        <v>192</v>
      </c>
      <c r="B59">
        <v>2459178</v>
      </c>
      <c r="C59">
        <v>2487021</v>
      </c>
      <c r="D59">
        <v>2526302</v>
      </c>
      <c r="E59">
        <v>2508313</v>
      </c>
      <c r="F59" s="7">
        <f t="shared" si="22"/>
        <v>24591.78</v>
      </c>
      <c r="G59" s="7">
        <f t="shared" si="23"/>
        <v>24870.21</v>
      </c>
      <c r="H59" s="7">
        <f t="shared" si="24"/>
        <v>25263.02</v>
      </c>
      <c r="I59" s="7">
        <f t="shared" si="25"/>
        <v>25083.13</v>
      </c>
    </row>
    <row r="60" spans="1:9" x14ac:dyDescent="0.25">
      <c r="A60" t="s">
        <v>193</v>
      </c>
      <c r="B60">
        <v>358523</v>
      </c>
      <c r="C60">
        <v>360183</v>
      </c>
      <c r="D60">
        <v>354310</v>
      </c>
      <c r="E60">
        <v>350486</v>
      </c>
      <c r="F60" s="7">
        <f t="shared" si="22"/>
        <v>3585.23</v>
      </c>
      <c r="G60" s="7">
        <f t="shared" si="23"/>
        <v>3601.83</v>
      </c>
      <c r="H60" s="7">
        <f t="shared" si="24"/>
        <v>3543.1</v>
      </c>
      <c r="I60" s="7">
        <f t="shared" si="25"/>
        <v>3504.86</v>
      </c>
    </row>
    <row r="61" spans="1:9" x14ac:dyDescent="0.25">
      <c r="A61" t="s">
        <v>194</v>
      </c>
      <c r="B61">
        <v>9811822</v>
      </c>
      <c r="C61">
        <v>9718997</v>
      </c>
      <c r="D61">
        <v>9517742</v>
      </c>
      <c r="E61">
        <f>SUM(E62:E64)</f>
        <v>8802057</v>
      </c>
      <c r="F61" s="7">
        <f t="shared" si="22"/>
        <v>98118.22</v>
      </c>
      <c r="G61" s="7">
        <f t="shared" si="23"/>
        <v>97189.97</v>
      </c>
      <c r="H61" s="7">
        <f t="shared" si="24"/>
        <v>95177.42</v>
      </c>
      <c r="I61" s="7">
        <f t="shared" si="25"/>
        <v>88020.57</v>
      </c>
    </row>
    <row r="62" spans="1:9" x14ac:dyDescent="0.25">
      <c r="A62" t="s">
        <v>195</v>
      </c>
      <c r="B62">
        <v>7736183</v>
      </c>
      <c r="C62">
        <v>7651310</v>
      </c>
      <c r="D62">
        <v>7508492</v>
      </c>
      <c r="E62">
        <v>7443488</v>
      </c>
      <c r="F62" s="7">
        <f t="shared" si="22"/>
        <v>77361.83</v>
      </c>
      <c r="G62" s="7">
        <f t="shared" si="23"/>
        <v>76513.100000000006</v>
      </c>
      <c r="H62" s="7">
        <f t="shared" si="24"/>
        <v>75084.92</v>
      </c>
      <c r="I62" s="7">
        <f t="shared" si="25"/>
        <v>74434.880000000005</v>
      </c>
    </row>
    <row r="63" spans="1:9" x14ac:dyDescent="0.25">
      <c r="A63" t="s">
        <v>196</v>
      </c>
      <c r="B63">
        <v>4151278</v>
      </c>
      <c r="C63">
        <v>2067687</v>
      </c>
      <c r="D63">
        <v>2009250</v>
      </c>
      <c r="E63">
        <v>1358569</v>
      </c>
      <c r="F63" s="7">
        <f t="shared" si="22"/>
        <v>41512.78</v>
      </c>
      <c r="G63" s="7">
        <f t="shared" si="23"/>
        <v>20676.87</v>
      </c>
      <c r="H63" s="7">
        <f t="shared" si="24"/>
        <v>20092.5</v>
      </c>
      <c r="I63" s="7">
        <f t="shared" si="25"/>
        <v>13585.69</v>
      </c>
    </row>
    <row r="64" spans="1:9" x14ac:dyDescent="0.25">
      <c r="A64" t="s">
        <v>197</v>
      </c>
      <c r="B64">
        <v>1364513</v>
      </c>
      <c r="C64">
        <v>1343188</v>
      </c>
      <c r="D64">
        <v>1295787</v>
      </c>
      <c r="F64" s="7">
        <f t="shared" si="22"/>
        <v>13645.13</v>
      </c>
      <c r="G64" s="7">
        <f t="shared" si="23"/>
        <v>13431.88</v>
      </c>
      <c r="H64" s="7">
        <f t="shared" si="24"/>
        <v>12957.87</v>
      </c>
      <c r="I64" s="7">
        <f t="shared" si="25"/>
        <v>0</v>
      </c>
    </row>
    <row r="65" spans="1:11" x14ac:dyDescent="0.25">
      <c r="A65" t="s">
        <v>198</v>
      </c>
      <c r="B65">
        <v>711125</v>
      </c>
      <c r="C65">
        <v>724499</v>
      </c>
      <c r="D65">
        <v>713463</v>
      </c>
      <c r="E65">
        <v>708517</v>
      </c>
      <c r="F65" s="7">
        <f t="shared" si="22"/>
        <v>7111.25</v>
      </c>
      <c r="G65" s="7">
        <f t="shared" si="23"/>
        <v>7244.99</v>
      </c>
      <c r="H65" s="7">
        <f t="shared" si="24"/>
        <v>7134.63</v>
      </c>
      <c r="I65" s="7">
        <f t="shared" si="25"/>
        <v>7085.17</v>
      </c>
    </row>
    <row r="66" spans="1:11" x14ac:dyDescent="0.25">
      <c r="A66" t="s">
        <v>199</v>
      </c>
      <c r="B66">
        <v>987656</v>
      </c>
      <c r="C66">
        <v>980199</v>
      </c>
      <c r="D66">
        <v>993177</v>
      </c>
      <c r="E66">
        <f>SUM(E67:E69)</f>
        <v>968493</v>
      </c>
      <c r="F66" s="7">
        <f t="shared" si="22"/>
        <v>9876.56</v>
      </c>
      <c r="G66" s="7">
        <f t="shared" si="23"/>
        <v>9801.99</v>
      </c>
      <c r="H66" s="7">
        <f t="shared" si="24"/>
        <v>9931.77</v>
      </c>
      <c r="I66" s="7">
        <f t="shared" si="25"/>
        <v>9684.93</v>
      </c>
    </row>
    <row r="67" spans="1:11" x14ac:dyDescent="0.25">
      <c r="A67" t="s">
        <v>200</v>
      </c>
      <c r="B67">
        <v>39520</v>
      </c>
      <c r="C67">
        <v>40441</v>
      </c>
      <c r="D67">
        <v>39369</v>
      </c>
      <c r="E67">
        <v>40086</v>
      </c>
      <c r="F67" s="7">
        <f t="shared" si="22"/>
        <v>395.2</v>
      </c>
      <c r="G67" s="7">
        <f t="shared" si="23"/>
        <v>404.41</v>
      </c>
      <c r="H67" s="7">
        <f t="shared" si="24"/>
        <v>393.69</v>
      </c>
      <c r="I67" s="7">
        <f t="shared" si="25"/>
        <v>400.86</v>
      </c>
    </row>
    <row r="68" spans="1:11" x14ac:dyDescent="0.25">
      <c r="A68" t="s">
        <v>201</v>
      </c>
      <c r="B68">
        <v>814304</v>
      </c>
      <c r="C68">
        <v>815117</v>
      </c>
      <c r="D68">
        <v>825863</v>
      </c>
      <c r="E68">
        <v>827390</v>
      </c>
      <c r="F68" s="7">
        <f t="shared" ref="F68:F74" si="26">B68/100</f>
        <v>8143.04</v>
      </c>
      <c r="G68" s="7">
        <f t="shared" ref="G68:G74" si="27">C68/100</f>
        <v>8151.17</v>
      </c>
      <c r="H68" s="7">
        <f t="shared" ref="H68:H74" si="28">D68/100</f>
        <v>8258.6299999999992</v>
      </c>
      <c r="I68" s="7">
        <f t="shared" ref="I68:I74" si="29">E68/100</f>
        <v>8273.9</v>
      </c>
    </row>
    <row r="69" spans="1:11" x14ac:dyDescent="0.25">
      <c r="A69" t="s">
        <v>202</v>
      </c>
      <c r="B69">
        <v>133832</v>
      </c>
      <c r="C69">
        <v>124640</v>
      </c>
      <c r="D69">
        <v>127945</v>
      </c>
      <c r="E69">
        <v>101017</v>
      </c>
      <c r="F69" s="7">
        <f t="shared" si="26"/>
        <v>1338.32</v>
      </c>
      <c r="G69" s="7">
        <f t="shared" si="27"/>
        <v>1246.4000000000001</v>
      </c>
      <c r="H69" s="7">
        <f t="shared" si="28"/>
        <v>1279.45</v>
      </c>
      <c r="I69" s="7">
        <f t="shared" si="29"/>
        <v>1010.17</v>
      </c>
    </row>
    <row r="70" spans="1:11" x14ac:dyDescent="0.25">
      <c r="A70" t="s">
        <v>203</v>
      </c>
      <c r="B70">
        <v>807603</v>
      </c>
      <c r="C70">
        <v>812697</v>
      </c>
      <c r="D70">
        <v>821067</v>
      </c>
      <c r="E70">
        <f>SUM(E71:E73)</f>
        <v>823889</v>
      </c>
      <c r="F70" s="7">
        <f t="shared" si="26"/>
        <v>8076.03</v>
      </c>
      <c r="G70" s="7">
        <f t="shared" si="27"/>
        <v>8126.97</v>
      </c>
      <c r="H70" s="7">
        <f t="shared" si="28"/>
        <v>8210.67</v>
      </c>
      <c r="I70" s="7">
        <f t="shared" si="29"/>
        <v>8238.89</v>
      </c>
    </row>
    <row r="71" spans="1:11" x14ac:dyDescent="0.25">
      <c r="A71" t="s">
        <v>204</v>
      </c>
      <c r="B71">
        <v>643732</v>
      </c>
      <c r="C71">
        <v>653692</v>
      </c>
      <c r="D71">
        <v>660801</v>
      </c>
      <c r="E71">
        <v>665719</v>
      </c>
      <c r="F71" s="7">
        <f t="shared" si="26"/>
        <v>6437.32</v>
      </c>
      <c r="G71" s="7">
        <f t="shared" si="27"/>
        <v>6536.92</v>
      </c>
      <c r="H71" s="7">
        <f t="shared" si="28"/>
        <v>6608.01</v>
      </c>
      <c r="I71" s="7">
        <f t="shared" si="29"/>
        <v>6657.19</v>
      </c>
    </row>
    <row r="72" spans="1:11" x14ac:dyDescent="0.25">
      <c r="A72" t="s">
        <v>205</v>
      </c>
      <c r="B72">
        <v>127129</v>
      </c>
      <c r="C72">
        <v>122625</v>
      </c>
      <c r="D72">
        <v>123886</v>
      </c>
      <c r="E72">
        <v>123167</v>
      </c>
      <c r="F72" s="7">
        <f t="shared" si="26"/>
        <v>1271.29</v>
      </c>
      <c r="G72" s="7">
        <f t="shared" si="27"/>
        <v>1226.25</v>
      </c>
      <c r="H72" s="7">
        <f t="shared" si="28"/>
        <v>1238.8599999999999</v>
      </c>
      <c r="I72" s="7">
        <f t="shared" si="29"/>
        <v>1231.67</v>
      </c>
    </row>
    <row r="73" spans="1:11" x14ac:dyDescent="0.25">
      <c r="A73" t="s">
        <v>206</v>
      </c>
      <c r="B73">
        <v>36742</v>
      </c>
      <c r="C73">
        <v>36380</v>
      </c>
      <c r="D73">
        <v>36380</v>
      </c>
      <c r="E73">
        <v>35003</v>
      </c>
      <c r="F73" s="7">
        <f t="shared" si="26"/>
        <v>367.42</v>
      </c>
      <c r="G73" s="7">
        <f t="shared" si="27"/>
        <v>363.8</v>
      </c>
      <c r="H73" s="7">
        <f t="shared" si="28"/>
        <v>363.8</v>
      </c>
      <c r="I73" s="7">
        <f t="shared" si="29"/>
        <v>350.03</v>
      </c>
    </row>
    <row r="74" spans="1:11" x14ac:dyDescent="0.25">
      <c r="A74" t="s">
        <v>207</v>
      </c>
      <c r="B74">
        <v>127986</v>
      </c>
      <c r="C74">
        <v>127297</v>
      </c>
      <c r="D74">
        <v>121726</v>
      </c>
      <c r="E74">
        <v>56432</v>
      </c>
      <c r="F74" s="7">
        <f t="shared" si="26"/>
        <v>1279.8599999999999</v>
      </c>
      <c r="G74" s="7">
        <f t="shared" si="27"/>
        <v>1272.97</v>
      </c>
      <c r="H74" s="7">
        <f t="shared" si="28"/>
        <v>1217.26</v>
      </c>
      <c r="I74" s="7">
        <f t="shared" si="29"/>
        <v>564.32000000000005</v>
      </c>
    </row>
    <row r="76" spans="1:11" x14ac:dyDescent="0.25">
      <c r="A76" t="s">
        <v>210</v>
      </c>
    </row>
    <row r="77" spans="1:11" x14ac:dyDescent="0.25">
      <c r="A77" t="s">
        <v>138</v>
      </c>
      <c r="F77" s="7">
        <f>F5</f>
        <v>7894.29</v>
      </c>
      <c r="G77" s="7">
        <f>G5</f>
        <v>7913.39</v>
      </c>
      <c r="H77" s="7">
        <f>H5</f>
        <v>8141.58</v>
      </c>
      <c r="I77" s="7">
        <f>I5</f>
        <v>8346.57</v>
      </c>
      <c r="J77" s="7"/>
      <c r="K77" s="7"/>
    </row>
    <row r="78" spans="1:11" x14ac:dyDescent="0.25">
      <c r="A78" t="s">
        <v>211</v>
      </c>
      <c r="F78" s="7">
        <f>F10+F11</f>
        <v>21535.67</v>
      </c>
      <c r="G78" s="7">
        <f>G10+G11</f>
        <v>22170.510000000002</v>
      </c>
      <c r="H78" s="7">
        <f>H10+H11</f>
        <v>22817.29</v>
      </c>
      <c r="I78" s="7">
        <f>I10+I11</f>
        <v>23064.720000000001</v>
      </c>
      <c r="J78" s="7"/>
      <c r="K78" s="7"/>
    </row>
    <row r="79" spans="1:11" x14ac:dyDescent="0.25">
      <c r="A79" t="s">
        <v>212</v>
      </c>
      <c r="F79" s="7">
        <f>F9</f>
        <v>42038.84</v>
      </c>
      <c r="G79" s="7">
        <f>G9</f>
        <v>42729.15</v>
      </c>
      <c r="H79" s="7">
        <f>H9</f>
        <v>43305.55</v>
      </c>
      <c r="I79" s="7">
        <f>I9</f>
        <v>0</v>
      </c>
      <c r="J79" s="7"/>
      <c r="K79" s="7"/>
    </row>
    <row r="80" spans="1:11" x14ac:dyDescent="0.25">
      <c r="A80" t="s">
        <v>213</v>
      </c>
      <c r="F80" s="7">
        <f>F78+F77</f>
        <v>29429.96</v>
      </c>
      <c r="G80" s="7">
        <f>G78+G77</f>
        <v>30083.9</v>
      </c>
      <c r="H80" s="7">
        <f>H78+H77</f>
        <v>30958.870000000003</v>
      </c>
      <c r="I80" s="7">
        <f>I78+I77</f>
        <v>31411.29</v>
      </c>
      <c r="J80" s="7"/>
      <c r="K80" s="7"/>
    </row>
    <row r="82" spans="7:7" x14ac:dyDescent="0.25">
      <c r="G82">
        <f>1000000/10000</f>
        <v>100</v>
      </c>
    </row>
  </sheetData>
  <mergeCells count="2">
    <mergeCell ref="B1:E1"/>
    <mergeCell ref="F1:I1"/>
  </mergeCells>
  <phoneticPr fontId="10" type="noConversion"/>
  <pageMargins left="0.78740157499999996" right="0.78740157499999996" top="0.984251969" bottom="0.984251969" header="0.4921259845" footer="0.4921259845"/>
  <headerFooter alignWithMargins="0"/>
  <ignoredErrors>
    <ignoredError sqref="U9:V9" formula="1"/>
  </ignoredErrors>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dimension ref="A1:N63"/>
  <sheetViews>
    <sheetView workbookViewId="0">
      <pane xSplit="1" ySplit="11" topLeftCell="B12" activePane="bottomRight" state="frozen"/>
      <selection pane="topRight" activeCell="B1" sqref="B1"/>
      <selection pane="bottomLeft" activeCell="A12" sqref="A12"/>
      <selection pane="bottomRight" activeCell="L11" sqref="L11"/>
    </sheetView>
  </sheetViews>
  <sheetFormatPr baseColWidth="10" defaultRowHeight="13.5" x14ac:dyDescent="0.25"/>
  <cols>
    <col min="2" max="2" width="12.375" customWidth="1"/>
    <col min="3" max="3" width="13" customWidth="1"/>
    <col min="4" max="5" width="11.875" bestFit="1" customWidth="1"/>
    <col min="8" max="10" width="11.875" bestFit="1" customWidth="1"/>
  </cols>
  <sheetData>
    <row r="1" spans="1:14" x14ac:dyDescent="0.25">
      <c r="A1" t="s">
        <v>275</v>
      </c>
    </row>
    <row r="3" spans="1:14" x14ac:dyDescent="0.25">
      <c r="B3" t="s">
        <v>276</v>
      </c>
      <c r="C3" t="s">
        <v>277</v>
      </c>
      <c r="D3" t="s">
        <v>281</v>
      </c>
      <c r="E3" t="s">
        <v>278</v>
      </c>
      <c r="F3" t="s">
        <v>279</v>
      </c>
      <c r="G3" t="s">
        <v>280</v>
      </c>
    </row>
    <row r="4" spans="1:14" x14ac:dyDescent="0.25">
      <c r="A4">
        <v>2006</v>
      </c>
      <c r="B4">
        <v>7579</v>
      </c>
      <c r="C4">
        <v>2664</v>
      </c>
      <c r="D4">
        <f>C4+B4</f>
        <v>10243</v>
      </c>
    </row>
    <row r="5" spans="1:14" x14ac:dyDescent="0.25">
      <c r="A5">
        <v>2007</v>
      </c>
      <c r="B5">
        <v>7492</v>
      </c>
      <c r="C5">
        <v>2351</v>
      </c>
      <c r="D5">
        <f>C5+B5</f>
        <v>9843</v>
      </c>
      <c r="E5">
        <v>1.1868000000000001</v>
      </c>
      <c r="F5">
        <v>1.2152000000000001</v>
      </c>
      <c r="G5" s="6">
        <f>(B5*E5+C5*F5)/D5</f>
        <v>1.1935833384130854</v>
      </c>
    </row>
    <row r="6" spans="1:14" x14ac:dyDescent="0.25">
      <c r="A6">
        <v>2008</v>
      </c>
      <c r="B6">
        <v>7266</v>
      </c>
      <c r="C6">
        <v>1834</v>
      </c>
      <c r="D6">
        <f>C6+B6</f>
        <v>9100</v>
      </c>
      <c r="E6">
        <v>1.3701000000000001</v>
      </c>
      <c r="F6">
        <v>1.4007000000000001</v>
      </c>
      <c r="G6" s="6">
        <f>(B6*E6+C6*F6)/D6</f>
        <v>1.3762670769230769</v>
      </c>
    </row>
    <row r="7" spans="1:14" x14ac:dyDescent="0.25">
      <c r="A7">
        <v>2009</v>
      </c>
      <c r="B7">
        <v>6491</v>
      </c>
      <c r="C7">
        <v>1716</v>
      </c>
      <c r="D7">
        <f>C7+B7</f>
        <v>8207</v>
      </c>
      <c r="E7">
        <v>1.0434000000000001</v>
      </c>
      <c r="F7">
        <v>1.0867</v>
      </c>
      <c r="G7" s="6">
        <f>(B7*E7+C7*F7)/D7</f>
        <v>1.0524535884001462</v>
      </c>
    </row>
    <row r="9" spans="1:14" s="11" customFormat="1" ht="36" customHeight="1" x14ac:dyDescent="0.25">
      <c r="B9" s="212" t="s">
        <v>284</v>
      </c>
      <c r="C9" s="212"/>
      <c r="D9" s="212" t="s">
        <v>285</v>
      </c>
      <c r="E9" s="212"/>
      <c r="F9" s="212"/>
      <c r="H9" s="212" t="s">
        <v>296</v>
      </c>
      <c r="I9" s="212"/>
      <c r="J9" s="212"/>
      <c r="K9" s="212" t="s">
        <v>348</v>
      </c>
      <c r="L9" s="212"/>
      <c r="M9" s="212"/>
      <c r="N9" s="11" t="s">
        <v>297</v>
      </c>
    </row>
    <row r="10" spans="1:14" s="11" customFormat="1" x14ac:dyDescent="0.25">
      <c r="B10" s="11" t="s">
        <v>282</v>
      </c>
      <c r="C10" s="11" t="s">
        <v>283</v>
      </c>
      <c r="D10" s="11" t="s">
        <v>282</v>
      </c>
      <c r="E10" s="11" t="s">
        <v>283</v>
      </c>
      <c r="H10" s="11" t="s">
        <v>282</v>
      </c>
      <c r="I10" s="11" t="s">
        <v>283</v>
      </c>
      <c r="J10" s="11" t="s">
        <v>295</v>
      </c>
      <c r="K10" s="11" t="s">
        <v>282</v>
      </c>
      <c r="L10" s="11" t="s">
        <v>283</v>
      </c>
      <c r="M10" s="11" t="s">
        <v>295</v>
      </c>
    </row>
    <row r="11" spans="1:14" s="11" customFormat="1" ht="54" x14ac:dyDescent="0.25">
      <c r="B11" s="11" t="s">
        <v>84</v>
      </c>
      <c r="C11" s="11" t="s">
        <v>85</v>
      </c>
      <c r="D11" s="11" t="s">
        <v>84</v>
      </c>
      <c r="E11" s="11" t="s">
        <v>85</v>
      </c>
      <c r="F11" s="11" t="s">
        <v>288</v>
      </c>
      <c r="G11" s="11" t="s">
        <v>294</v>
      </c>
      <c r="H11" s="11" t="s">
        <v>84</v>
      </c>
      <c r="I11" s="11" t="s">
        <v>85</v>
      </c>
      <c r="J11" s="11" t="s">
        <v>86</v>
      </c>
      <c r="K11" s="11" t="s">
        <v>84</v>
      </c>
      <c r="L11" s="11" t="s">
        <v>85</v>
      </c>
      <c r="M11" s="11" t="s">
        <v>86</v>
      </c>
      <c r="N11" s="11" t="s">
        <v>105</v>
      </c>
    </row>
    <row r="12" spans="1:14" x14ac:dyDescent="0.25">
      <c r="A12">
        <v>1960</v>
      </c>
      <c r="B12" s="10">
        <v>11.868</v>
      </c>
      <c r="C12" s="10"/>
      <c r="D12" s="7">
        <v>806.40700000000004</v>
      </c>
      <c r="E12" s="7"/>
      <c r="F12" s="7">
        <f>E12+D12</f>
        <v>806.40700000000004</v>
      </c>
      <c r="G12" s="8">
        <f>(E12*C12+D12*B12)/F12</f>
        <v>11.868</v>
      </c>
      <c r="H12" s="7">
        <f>D12</f>
        <v>806.40700000000004</v>
      </c>
      <c r="I12" s="7">
        <f>E12</f>
        <v>0</v>
      </c>
      <c r="J12" s="7">
        <v>10.349</v>
      </c>
      <c r="K12" s="10">
        <v>11.868</v>
      </c>
      <c r="L12" s="10"/>
      <c r="M12" s="10">
        <v>9.3789999999999996</v>
      </c>
      <c r="N12" s="8">
        <f>(H12*K12+I12*L12+J12*M12)/(H12+I12+J12)</f>
        <v>11.83646223229459</v>
      </c>
    </row>
    <row r="13" spans="1:14" x14ac:dyDescent="0.25">
      <c r="A13">
        <v>1961</v>
      </c>
      <c r="B13" s="10">
        <v>11.875999999999999</v>
      </c>
      <c r="C13" s="10"/>
      <c r="D13" s="7">
        <v>891.49699999999996</v>
      </c>
      <c r="E13" s="7"/>
      <c r="F13" s="7">
        <f t="shared" ref="F13:F63" si="0">E13+D13</f>
        <v>891.49699999999996</v>
      </c>
      <c r="G13" s="8">
        <f t="shared" ref="G13:G63" si="1">(E13*C13+D13*B13)/F13</f>
        <v>11.875999999999999</v>
      </c>
      <c r="H13" s="7">
        <f t="shared" ref="H13:H63" si="2">D13</f>
        <v>891.49699999999996</v>
      </c>
      <c r="I13" s="7">
        <f t="shared" ref="I13:I63" si="3">E13</f>
        <v>0</v>
      </c>
      <c r="J13" s="7">
        <v>11.608000000000001</v>
      </c>
      <c r="K13" s="10">
        <v>11.875999999999999</v>
      </c>
      <c r="L13" s="10"/>
      <c r="M13" s="10">
        <v>9.359</v>
      </c>
      <c r="N13" s="8">
        <f t="shared" ref="N13:N63" si="4">(H13*K13+I13*L13+J13*M13)/(H13+I13+J13)</f>
        <v>11.843647908050558</v>
      </c>
    </row>
    <row r="14" spans="1:14" x14ac:dyDescent="0.25">
      <c r="A14">
        <v>1962</v>
      </c>
      <c r="B14" s="10">
        <v>11.872999999999999</v>
      </c>
      <c r="C14" s="10"/>
      <c r="D14" s="7">
        <v>963.52</v>
      </c>
      <c r="E14" s="7"/>
      <c r="F14" s="7">
        <f t="shared" si="0"/>
        <v>963.52</v>
      </c>
      <c r="G14" s="8">
        <f t="shared" si="1"/>
        <v>11.872999999999999</v>
      </c>
      <c r="H14" s="7">
        <f t="shared" si="2"/>
        <v>963.52</v>
      </c>
      <c r="I14" s="7">
        <f t="shared" si="3"/>
        <v>0</v>
      </c>
      <c r="J14" s="7">
        <v>13.146000000000001</v>
      </c>
      <c r="K14" s="10">
        <v>11.872999999999999</v>
      </c>
      <c r="L14" s="10"/>
      <c r="M14" s="10">
        <v>9.3079999999999998</v>
      </c>
      <c r="N14" s="8">
        <f t="shared" si="4"/>
        <v>11.838474901348054</v>
      </c>
    </row>
    <row r="15" spans="1:14" x14ac:dyDescent="0.25">
      <c r="A15">
        <v>1963</v>
      </c>
      <c r="B15" s="10">
        <v>11.875999999999999</v>
      </c>
      <c r="C15" s="10"/>
      <c r="D15" s="7">
        <v>1053.432</v>
      </c>
      <c r="E15" s="7"/>
      <c r="F15" s="7">
        <f t="shared" si="0"/>
        <v>1053.432</v>
      </c>
      <c r="G15" s="8">
        <f t="shared" si="1"/>
        <v>11.875999999999999</v>
      </c>
      <c r="H15" s="7">
        <f t="shared" si="2"/>
        <v>1053.432</v>
      </c>
      <c r="I15" s="7">
        <f t="shared" si="3"/>
        <v>0</v>
      </c>
      <c r="J15" s="7">
        <v>14.824</v>
      </c>
      <c r="K15" s="10">
        <v>11.875999999999999</v>
      </c>
      <c r="L15" s="10"/>
      <c r="M15" s="10">
        <v>9.2780000000000005</v>
      </c>
      <c r="N15" s="8">
        <f t="shared" si="4"/>
        <v>11.839948012461431</v>
      </c>
    </row>
    <row r="16" spans="1:14" x14ac:dyDescent="0.25">
      <c r="A16">
        <v>1964</v>
      </c>
      <c r="B16" s="10">
        <v>11.846</v>
      </c>
      <c r="C16" s="10"/>
      <c r="D16" s="7">
        <v>1169.1659999999999</v>
      </c>
      <c r="E16" s="7"/>
      <c r="F16" s="7">
        <f t="shared" si="0"/>
        <v>1169.1659999999999</v>
      </c>
      <c r="G16" s="8">
        <f t="shared" si="1"/>
        <v>11.846</v>
      </c>
      <c r="H16" s="7">
        <f t="shared" si="2"/>
        <v>1169.1659999999999</v>
      </c>
      <c r="I16" s="7">
        <f t="shared" si="3"/>
        <v>0</v>
      </c>
      <c r="J16" s="7">
        <v>16.641999999999999</v>
      </c>
      <c r="K16" s="10">
        <v>11.846</v>
      </c>
      <c r="L16" s="10"/>
      <c r="M16" s="10">
        <v>9.1739999999999995</v>
      </c>
      <c r="N16" s="8">
        <f t="shared" si="4"/>
        <v>11.808500317083372</v>
      </c>
    </row>
    <row r="17" spans="1:14" x14ac:dyDescent="0.25">
      <c r="A17">
        <v>1965</v>
      </c>
      <c r="B17" s="10">
        <v>11.760999999999999</v>
      </c>
      <c r="C17" s="10"/>
      <c r="D17" s="7">
        <v>1285.99</v>
      </c>
      <c r="E17" s="7"/>
      <c r="F17" s="7">
        <f t="shared" si="0"/>
        <v>1285.99</v>
      </c>
      <c r="G17" s="8">
        <f t="shared" si="1"/>
        <v>11.760999999999999</v>
      </c>
      <c r="H17" s="7">
        <f t="shared" si="2"/>
        <v>1285.99</v>
      </c>
      <c r="I17" s="7">
        <f t="shared" si="3"/>
        <v>0</v>
      </c>
      <c r="J17" s="7">
        <v>18.041</v>
      </c>
      <c r="K17" s="10">
        <v>11.760999999999999</v>
      </c>
      <c r="L17" s="10"/>
      <c r="M17" s="10">
        <v>9.0229999999999997</v>
      </c>
      <c r="N17" s="8">
        <f t="shared" si="4"/>
        <v>11.7231203345626</v>
      </c>
    </row>
    <row r="18" spans="1:14" x14ac:dyDescent="0.25">
      <c r="A18">
        <v>1966</v>
      </c>
      <c r="B18" s="10">
        <v>11.763999999999999</v>
      </c>
      <c r="C18" s="10"/>
      <c r="D18" s="7">
        <v>1426.4580000000001</v>
      </c>
      <c r="E18" s="7"/>
      <c r="F18" s="7">
        <f t="shared" si="0"/>
        <v>1426.4580000000001</v>
      </c>
      <c r="G18" s="8">
        <f t="shared" si="1"/>
        <v>11.763999999999998</v>
      </c>
      <c r="H18" s="7">
        <f t="shared" si="2"/>
        <v>1426.4580000000001</v>
      </c>
      <c r="I18" s="7">
        <f t="shared" si="3"/>
        <v>0</v>
      </c>
      <c r="J18" s="7">
        <v>19.998999999999999</v>
      </c>
      <c r="K18" s="10">
        <v>11.763999999999999</v>
      </c>
      <c r="L18" s="10"/>
      <c r="M18" s="10">
        <v>9.0259999999999998</v>
      </c>
      <c r="N18" s="8">
        <f t="shared" si="4"/>
        <v>11.726143871542671</v>
      </c>
    </row>
    <row r="19" spans="1:14" x14ac:dyDescent="0.25">
      <c r="A19">
        <v>1967</v>
      </c>
      <c r="B19" s="10">
        <v>11.922000000000001</v>
      </c>
      <c r="C19" s="10"/>
      <c r="D19" s="7">
        <v>1606.4369999999999</v>
      </c>
      <c r="E19" s="7"/>
      <c r="F19" s="7">
        <f t="shared" si="0"/>
        <v>1606.4369999999999</v>
      </c>
      <c r="G19" s="8">
        <f t="shared" si="1"/>
        <v>11.922000000000001</v>
      </c>
      <c r="H19" s="7">
        <f t="shared" si="2"/>
        <v>1606.4369999999999</v>
      </c>
      <c r="I19" s="7">
        <f t="shared" si="3"/>
        <v>0</v>
      </c>
      <c r="J19" s="7">
        <v>22.236000000000001</v>
      </c>
      <c r="K19" s="10">
        <v>11.922000000000001</v>
      </c>
      <c r="L19" s="10"/>
      <c r="M19" s="10">
        <v>9.0939999999999994</v>
      </c>
      <c r="N19" s="8">
        <f t="shared" si="4"/>
        <v>11.88338978911052</v>
      </c>
    </row>
    <row r="20" spans="1:14" x14ac:dyDescent="0.25">
      <c r="A20">
        <v>1968</v>
      </c>
      <c r="B20" s="10">
        <v>11.992000000000001</v>
      </c>
      <c r="C20" s="10"/>
      <c r="D20" s="7">
        <v>1780.972</v>
      </c>
      <c r="E20" s="7"/>
      <c r="F20" s="7">
        <f t="shared" si="0"/>
        <v>1780.972</v>
      </c>
      <c r="G20" s="8">
        <f t="shared" si="1"/>
        <v>11.992000000000001</v>
      </c>
      <c r="H20" s="7">
        <f t="shared" si="2"/>
        <v>1780.972</v>
      </c>
      <c r="I20" s="7">
        <f t="shared" si="3"/>
        <v>0</v>
      </c>
      <c r="J20" s="7">
        <v>25.033000000000001</v>
      </c>
      <c r="K20" s="10">
        <v>11.992000000000001</v>
      </c>
      <c r="L20" s="10"/>
      <c r="M20" s="10">
        <v>9.1780000000000008</v>
      </c>
      <c r="N20" s="8">
        <f t="shared" si="4"/>
        <v>11.952995201009966</v>
      </c>
    </row>
    <row r="21" spans="1:14" x14ac:dyDescent="0.25">
      <c r="A21">
        <v>1969</v>
      </c>
      <c r="B21" s="10">
        <v>12.888</v>
      </c>
      <c r="C21" s="10"/>
      <c r="D21" s="7">
        <v>2053.819</v>
      </c>
      <c r="E21" s="7"/>
      <c r="F21" s="7">
        <f t="shared" si="0"/>
        <v>2053.819</v>
      </c>
      <c r="G21" s="8">
        <f t="shared" si="1"/>
        <v>12.888</v>
      </c>
      <c r="H21" s="7">
        <f t="shared" si="2"/>
        <v>2053.819</v>
      </c>
      <c r="I21" s="7">
        <f t="shared" si="3"/>
        <v>0</v>
      </c>
      <c r="J21" s="7">
        <v>29.228999999999999</v>
      </c>
      <c r="K21" s="10">
        <v>12.888</v>
      </c>
      <c r="L21" s="10"/>
      <c r="M21" s="10">
        <v>9.3930000000000007</v>
      </c>
      <c r="N21" s="8">
        <f t="shared" si="4"/>
        <v>12.838958712905322</v>
      </c>
    </row>
    <row r="22" spans="1:14" x14ac:dyDescent="0.25">
      <c r="A22">
        <v>1970</v>
      </c>
      <c r="B22" s="10">
        <v>13.012</v>
      </c>
      <c r="C22" s="10"/>
      <c r="D22" s="7">
        <v>2280.4650000000001</v>
      </c>
      <c r="E22" s="7"/>
      <c r="F22" s="7">
        <f t="shared" si="0"/>
        <v>2280.4650000000001</v>
      </c>
      <c r="G22" s="8">
        <f t="shared" si="1"/>
        <v>13.012</v>
      </c>
      <c r="H22" s="7">
        <f t="shared" si="2"/>
        <v>2280.4650000000001</v>
      </c>
      <c r="I22" s="7">
        <f t="shared" si="3"/>
        <v>0</v>
      </c>
      <c r="J22" s="7">
        <v>32.865000000000002</v>
      </c>
      <c r="K22" s="10">
        <v>13.012</v>
      </c>
      <c r="L22" s="10"/>
      <c r="M22" s="10">
        <v>9.5830000000000002</v>
      </c>
      <c r="N22" s="8">
        <f t="shared" si="4"/>
        <v>12.963284907471051</v>
      </c>
    </row>
    <row r="23" spans="1:14" x14ac:dyDescent="0.25">
      <c r="A23">
        <v>1971</v>
      </c>
      <c r="B23" s="10">
        <v>13.558999999999999</v>
      </c>
      <c r="C23" s="10"/>
      <c r="D23" s="7">
        <v>2600.4459999999999</v>
      </c>
      <c r="E23" s="7"/>
      <c r="F23" s="7">
        <f t="shared" si="0"/>
        <v>2600.4459999999999</v>
      </c>
      <c r="G23" s="8">
        <f t="shared" si="1"/>
        <v>13.558999999999999</v>
      </c>
      <c r="H23" s="7">
        <f t="shared" si="2"/>
        <v>2600.4459999999999</v>
      </c>
      <c r="I23" s="7">
        <f t="shared" si="3"/>
        <v>0</v>
      </c>
      <c r="J23" s="7">
        <v>35.381999999999998</v>
      </c>
      <c r="K23" s="10">
        <v>13.558999999999999</v>
      </c>
      <c r="L23" s="10"/>
      <c r="M23" s="10">
        <v>10.282999999999999</v>
      </c>
      <c r="N23" s="8">
        <f t="shared" si="4"/>
        <v>13.51502466018268</v>
      </c>
    </row>
    <row r="24" spans="1:14" x14ac:dyDescent="0.25">
      <c r="A24">
        <v>1972</v>
      </c>
      <c r="B24" s="10">
        <v>13.558999999999999</v>
      </c>
      <c r="C24" s="10"/>
      <c r="D24" s="7">
        <v>2889.9380000000001</v>
      </c>
      <c r="E24" s="7"/>
      <c r="F24" s="7">
        <f t="shared" si="0"/>
        <v>2889.9380000000001</v>
      </c>
      <c r="G24" s="8">
        <f t="shared" si="1"/>
        <v>13.558999999999999</v>
      </c>
      <c r="H24" s="7">
        <f t="shared" si="2"/>
        <v>2889.9380000000001</v>
      </c>
      <c r="I24" s="7">
        <f t="shared" si="3"/>
        <v>0</v>
      </c>
      <c r="J24" s="7">
        <v>35.661999999999999</v>
      </c>
      <c r="K24" s="10">
        <v>13.558999999999999</v>
      </c>
      <c r="L24" s="10"/>
      <c r="M24" s="10">
        <v>10.365</v>
      </c>
      <c r="N24" s="8">
        <f t="shared" si="4"/>
        <v>13.520066301613346</v>
      </c>
    </row>
    <row r="25" spans="1:14" x14ac:dyDescent="0.25">
      <c r="A25">
        <v>1973</v>
      </c>
      <c r="B25" s="10">
        <v>14.074</v>
      </c>
      <c r="C25" s="10"/>
      <c r="D25" s="7">
        <v>3277.741</v>
      </c>
      <c r="E25" s="7"/>
      <c r="F25" s="7">
        <f t="shared" si="0"/>
        <v>3277.741</v>
      </c>
      <c r="G25" s="8">
        <f t="shared" si="1"/>
        <v>14.074</v>
      </c>
      <c r="H25" s="7">
        <f t="shared" si="2"/>
        <v>3277.741</v>
      </c>
      <c r="I25" s="7">
        <f t="shared" si="3"/>
        <v>0</v>
      </c>
      <c r="J25" s="7">
        <v>38.319000000000003</v>
      </c>
      <c r="K25" s="10">
        <v>14.074</v>
      </c>
      <c r="L25" s="10"/>
      <c r="M25" s="10">
        <v>10.676</v>
      </c>
      <c r="N25" s="8">
        <f t="shared" si="4"/>
        <v>14.034734135691151</v>
      </c>
    </row>
    <row r="26" spans="1:14" x14ac:dyDescent="0.25">
      <c r="A26">
        <v>1974</v>
      </c>
      <c r="B26" s="10">
        <v>19.859000000000002</v>
      </c>
      <c r="C26" s="10"/>
      <c r="D26" s="7">
        <v>4374.4179999999997</v>
      </c>
      <c r="E26" s="7"/>
      <c r="F26" s="7">
        <f t="shared" si="0"/>
        <v>4374.4179999999997</v>
      </c>
      <c r="G26" s="8">
        <f t="shared" si="1"/>
        <v>19.859000000000002</v>
      </c>
      <c r="H26" s="7">
        <f t="shared" si="2"/>
        <v>4374.4179999999997</v>
      </c>
      <c r="I26" s="7">
        <f t="shared" si="3"/>
        <v>0</v>
      </c>
      <c r="J26" s="7">
        <v>57.618000000000002</v>
      </c>
      <c r="K26" s="10">
        <v>19.859000000000002</v>
      </c>
      <c r="L26" s="10"/>
      <c r="M26" s="10">
        <v>14.252000000000001</v>
      </c>
      <c r="N26" s="8">
        <f t="shared" si="4"/>
        <v>19.786107061855997</v>
      </c>
    </row>
    <row r="27" spans="1:14" x14ac:dyDescent="0.25">
      <c r="A27">
        <v>1975</v>
      </c>
      <c r="B27" s="10">
        <v>20.672999999999998</v>
      </c>
      <c r="C27" s="10"/>
      <c r="D27" s="7">
        <v>4818.5330000000004</v>
      </c>
      <c r="E27" s="7"/>
      <c r="F27" s="7">
        <f t="shared" si="0"/>
        <v>4818.5330000000004</v>
      </c>
      <c r="G27" s="8">
        <f t="shared" si="1"/>
        <v>20.672999999999998</v>
      </c>
      <c r="H27" s="7">
        <f t="shared" si="2"/>
        <v>4818.5330000000004</v>
      </c>
      <c r="I27" s="7">
        <f t="shared" si="3"/>
        <v>0</v>
      </c>
      <c r="J27" s="7">
        <v>72.022999999999996</v>
      </c>
      <c r="K27" s="10">
        <v>20.672999999999998</v>
      </c>
      <c r="L27" s="10"/>
      <c r="M27" s="10">
        <v>15.222</v>
      </c>
      <c r="N27" s="8">
        <f t="shared" si="4"/>
        <v>20.592723366218479</v>
      </c>
    </row>
    <row r="28" spans="1:14" x14ac:dyDescent="0.25">
      <c r="A28">
        <v>1976</v>
      </c>
      <c r="B28" s="10">
        <v>22.388999999999999</v>
      </c>
      <c r="C28" s="10"/>
      <c r="D28" s="7">
        <v>5524.7619999999997</v>
      </c>
      <c r="E28" s="7"/>
      <c r="F28" s="7">
        <f t="shared" si="0"/>
        <v>5524.7619999999997</v>
      </c>
      <c r="G28" s="8">
        <f t="shared" si="1"/>
        <v>22.388999999999999</v>
      </c>
      <c r="H28" s="7">
        <f t="shared" si="2"/>
        <v>5524.7619999999997</v>
      </c>
      <c r="I28" s="7">
        <f t="shared" si="3"/>
        <v>0</v>
      </c>
      <c r="J28" s="7">
        <v>95.516999999999996</v>
      </c>
      <c r="K28" s="10">
        <v>22.388999999999999</v>
      </c>
      <c r="L28" s="10"/>
      <c r="M28" s="10">
        <v>16.759</v>
      </c>
      <c r="N28" s="8">
        <f t="shared" si="4"/>
        <v>22.29331779098511</v>
      </c>
    </row>
    <row r="29" spans="1:14" x14ac:dyDescent="0.25">
      <c r="A29">
        <v>1977</v>
      </c>
      <c r="B29" s="10">
        <v>26.262</v>
      </c>
      <c r="C29" s="10"/>
      <c r="D29" s="7">
        <v>6357.9080000000004</v>
      </c>
      <c r="E29" s="7"/>
      <c r="F29" s="7">
        <f t="shared" si="0"/>
        <v>6357.9080000000004</v>
      </c>
      <c r="G29" s="8">
        <f t="shared" si="1"/>
        <v>26.261999999999997</v>
      </c>
      <c r="H29" s="7">
        <f t="shared" si="2"/>
        <v>6357.9080000000004</v>
      </c>
      <c r="I29" s="7">
        <f t="shared" si="3"/>
        <v>0</v>
      </c>
      <c r="J29" s="7">
        <v>130.721</v>
      </c>
      <c r="K29" s="10">
        <v>26.262</v>
      </c>
      <c r="L29" s="10"/>
      <c r="M29" s="10">
        <v>18.452000000000002</v>
      </c>
      <c r="N29" s="8">
        <f t="shared" si="4"/>
        <v>26.104658439864565</v>
      </c>
    </row>
    <row r="30" spans="1:14" x14ac:dyDescent="0.25">
      <c r="A30">
        <v>1978</v>
      </c>
      <c r="B30" s="10">
        <v>28.956</v>
      </c>
      <c r="C30" s="10"/>
      <c r="D30" s="7">
        <v>7322</v>
      </c>
      <c r="E30" s="7"/>
      <c r="F30" s="7">
        <f t="shared" si="0"/>
        <v>7322</v>
      </c>
      <c r="G30" s="8">
        <f t="shared" si="1"/>
        <v>28.956</v>
      </c>
      <c r="H30" s="7">
        <f t="shared" si="2"/>
        <v>7322</v>
      </c>
      <c r="I30" s="7">
        <f t="shared" si="3"/>
        <v>0</v>
      </c>
      <c r="J30" s="7">
        <v>181.72399999999999</v>
      </c>
      <c r="K30" s="10">
        <v>28.956</v>
      </c>
      <c r="L30" s="10"/>
      <c r="M30" s="10">
        <v>20.326000000000001</v>
      </c>
      <c r="N30" s="8">
        <f t="shared" si="4"/>
        <v>28.747000026120361</v>
      </c>
    </row>
    <row r="31" spans="1:14" x14ac:dyDescent="0.25">
      <c r="A31">
        <v>1979</v>
      </c>
      <c r="B31" s="10">
        <v>33.274999999999999</v>
      </c>
      <c r="C31" s="10"/>
      <c r="D31" s="7">
        <v>8425.0249999999996</v>
      </c>
      <c r="E31" s="7"/>
      <c r="F31" s="7">
        <f t="shared" si="0"/>
        <v>8425.0249999999996</v>
      </c>
      <c r="G31" s="8">
        <f t="shared" si="1"/>
        <v>33.274999999999999</v>
      </c>
      <c r="H31" s="7">
        <f t="shared" si="2"/>
        <v>8425.0249999999996</v>
      </c>
      <c r="I31" s="7">
        <f t="shared" si="3"/>
        <v>0</v>
      </c>
      <c r="J31" s="7">
        <v>267.178</v>
      </c>
      <c r="K31" s="10">
        <v>33.274999999999999</v>
      </c>
      <c r="L31" s="10"/>
      <c r="M31" s="10">
        <v>25.134</v>
      </c>
      <c r="N31" s="8">
        <f t="shared" si="4"/>
        <v>33.024764691643767</v>
      </c>
    </row>
    <row r="32" spans="1:14" x14ac:dyDescent="0.25">
      <c r="A32">
        <v>1980</v>
      </c>
      <c r="B32" s="10">
        <v>38.668999999999997</v>
      </c>
      <c r="C32" s="10"/>
      <c r="D32" s="7">
        <v>9895.3310000000001</v>
      </c>
      <c r="E32" s="7"/>
      <c r="F32" s="7">
        <f t="shared" si="0"/>
        <v>9895.3310000000001</v>
      </c>
      <c r="G32" s="8">
        <f t="shared" si="1"/>
        <v>38.668999999999997</v>
      </c>
      <c r="H32" s="7">
        <f t="shared" si="2"/>
        <v>9895.3310000000001</v>
      </c>
      <c r="I32" s="7">
        <f t="shared" si="3"/>
        <v>0</v>
      </c>
      <c r="J32" s="7">
        <v>414.589</v>
      </c>
      <c r="K32" s="10">
        <v>38.668999999999997</v>
      </c>
      <c r="L32" s="10"/>
      <c r="M32" s="10">
        <v>31.292999999999999</v>
      </c>
      <c r="N32" s="8">
        <f t="shared" si="4"/>
        <v>38.372391639896328</v>
      </c>
    </row>
    <row r="33" spans="1:14" x14ac:dyDescent="0.25">
      <c r="A33">
        <v>1981</v>
      </c>
      <c r="B33" s="10">
        <v>44.048999999999999</v>
      </c>
      <c r="C33" s="10"/>
      <c r="D33" s="7">
        <v>11606.723</v>
      </c>
      <c r="E33" s="7"/>
      <c r="F33" s="7">
        <f t="shared" si="0"/>
        <v>11606.723</v>
      </c>
      <c r="G33" s="8">
        <f t="shared" si="1"/>
        <v>44.048999999999999</v>
      </c>
      <c r="H33" s="7">
        <f t="shared" si="2"/>
        <v>11606.723</v>
      </c>
      <c r="I33" s="7">
        <f t="shared" si="3"/>
        <v>0</v>
      </c>
      <c r="J33" s="7">
        <v>607.25900000000001</v>
      </c>
      <c r="K33" s="10">
        <v>44.048999999999999</v>
      </c>
      <c r="L33" s="10"/>
      <c r="M33" s="10">
        <v>37.231999999999999</v>
      </c>
      <c r="N33" s="8">
        <f t="shared" si="4"/>
        <v>43.710070025893273</v>
      </c>
    </row>
    <row r="34" spans="1:14" x14ac:dyDescent="0.25">
      <c r="A34">
        <v>1982</v>
      </c>
      <c r="B34" s="10">
        <v>50.037999999999997</v>
      </c>
      <c r="C34" s="10"/>
      <c r="D34" s="7">
        <v>13366.84</v>
      </c>
      <c r="E34" s="7"/>
      <c r="F34" s="7">
        <f t="shared" si="0"/>
        <v>13366.84</v>
      </c>
      <c r="G34" s="8">
        <f t="shared" si="1"/>
        <v>50.037999999999997</v>
      </c>
      <c r="H34" s="7">
        <f t="shared" si="2"/>
        <v>13366.84</v>
      </c>
      <c r="I34" s="7">
        <f t="shared" si="3"/>
        <v>0</v>
      </c>
      <c r="J34" s="7">
        <v>841.81299999999999</v>
      </c>
      <c r="K34" s="10">
        <v>50.037999999999997</v>
      </c>
      <c r="L34" s="10"/>
      <c r="M34" s="10">
        <v>43.26</v>
      </c>
      <c r="N34" s="8">
        <f t="shared" si="4"/>
        <v>49.636427203901732</v>
      </c>
    </row>
    <row r="35" spans="1:14" x14ac:dyDescent="0.25">
      <c r="A35">
        <v>1983</v>
      </c>
      <c r="B35" s="10">
        <v>53.555999999999997</v>
      </c>
      <c r="C35" s="10"/>
      <c r="D35" s="7">
        <v>14382.032999999999</v>
      </c>
      <c r="E35" s="7"/>
      <c r="F35" s="7">
        <f t="shared" si="0"/>
        <v>14382.032999999999</v>
      </c>
      <c r="G35" s="8">
        <f t="shared" si="1"/>
        <v>53.555999999999997</v>
      </c>
      <c r="H35" s="7">
        <f t="shared" si="2"/>
        <v>14382.032999999999</v>
      </c>
      <c r="I35" s="7">
        <f t="shared" si="3"/>
        <v>0</v>
      </c>
      <c r="J35" s="7">
        <v>1021.412</v>
      </c>
      <c r="K35" s="10">
        <v>53.555999999999997</v>
      </c>
      <c r="L35" s="10"/>
      <c r="M35" s="10">
        <v>47.121000000000002</v>
      </c>
      <c r="N35" s="8">
        <f t="shared" si="4"/>
        <v>53.129291155322719</v>
      </c>
    </row>
    <row r="36" spans="1:14" x14ac:dyDescent="0.25">
      <c r="A36">
        <v>1984</v>
      </c>
      <c r="B36" s="10">
        <v>58.024000000000001</v>
      </c>
      <c r="C36" s="10"/>
      <c r="D36" s="7">
        <v>15643.656000000001</v>
      </c>
      <c r="E36" s="7"/>
      <c r="F36" s="7">
        <f t="shared" si="0"/>
        <v>15643.656000000001</v>
      </c>
      <c r="G36" s="8">
        <f t="shared" si="1"/>
        <v>58.024000000000001</v>
      </c>
      <c r="H36" s="7">
        <f t="shared" si="2"/>
        <v>15643.656000000001</v>
      </c>
      <c r="I36" s="7">
        <f t="shared" si="3"/>
        <v>0</v>
      </c>
      <c r="J36" s="7">
        <v>1240.097</v>
      </c>
      <c r="K36" s="10">
        <v>58.024000000000001</v>
      </c>
      <c r="L36" s="10"/>
      <c r="M36" s="10">
        <v>50.863</v>
      </c>
      <c r="N36" s="8">
        <f t="shared" si="4"/>
        <v>57.498030766915392</v>
      </c>
    </row>
    <row r="37" spans="1:14" x14ac:dyDescent="0.25">
      <c r="A37">
        <v>1985</v>
      </c>
      <c r="B37" s="10">
        <v>64.248999999999995</v>
      </c>
      <c r="C37" s="10"/>
      <c r="D37" s="7">
        <v>17138.644</v>
      </c>
      <c r="E37" s="7"/>
      <c r="F37" s="7">
        <f t="shared" si="0"/>
        <v>17138.644</v>
      </c>
      <c r="G37" s="8">
        <f t="shared" si="1"/>
        <v>64.248999999999995</v>
      </c>
      <c r="H37" s="7">
        <f t="shared" si="2"/>
        <v>17138.644</v>
      </c>
      <c r="I37" s="7">
        <f t="shared" si="3"/>
        <v>0</v>
      </c>
      <c r="J37" s="7">
        <v>1565.8869999999999</v>
      </c>
      <c r="K37" s="10">
        <v>64.248999999999995</v>
      </c>
      <c r="L37" s="10"/>
      <c r="M37" s="10">
        <v>58.621000000000002</v>
      </c>
      <c r="N37" s="8">
        <f t="shared" si="4"/>
        <v>63.777840790715373</v>
      </c>
    </row>
    <row r="38" spans="1:14" x14ac:dyDescent="0.25">
      <c r="A38">
        <v>1986</v>
      </c>
      <c r="B38" s="10">
        <v>56.093000000000004</v>
      </c>
      <c r="C38" s="10"/>
      <c r="D38" s="7">
        <v>15460.948</v>
      </c>
      <c r="E38" s="7"/>
      <c r="F38" s="7">
        <f t="shared" si="0"/>
        <v>15460.948</v>
      </c>
      <c r="G38" s="8">
        <f t="shared" si="1"/>
        <v>56.093000000000004</v>
      </c>
      <c r="H38" s="7">
        <f t="shared" si="2"/>
        <v>15460.948</v>
      </c>
      <c r="I38" s="7">
        <f t="shared" si="3"/>
        <v>0</v>
      </c>
      <c r="J38" s="7">
        <v>1422.0239999999999</v>
      </c>
      <c r="K38" s="10">
        <v>56.093000000000004</v>
      </c>
      <c r="L38" s="10"/>
      <c r="M38" s="10">
        <v>48.055</v>
      </c>
      <c r="N38" s="8">
        <f t="shared" si="4"/>
        <v>55.4159729391247</v>
      </c>
    </row>
    <row r="39" spans="1:14" x14ac:dyDescent="0.25">
      <c r="A39">
        <v>1987</v>
      </c>
      <c r="B39" s="10">
        <v>56.713999999999999</v>
      </c>
      <c r="C39" s="10"/>
      <c r="D39" s="7">
        <v>15541.892</v>
      </c>
      <c r="E39" s="7"/>
      <c r="F39" s="7">
        <f t="shared" si="0"/>
        <v>15541.892</v>
      </c>
      <c r="G39" s="8">
        <f t="shared" si="1"/>
        <v>56.713999999999999</v>
      </c>
      <c r="H39" s="7">
        <f t="shared" si="2"/>
        <v>15541.892</v>
      </c>
      <c r="I39" s="7">
        <f t="shared" si="3"/>
        <v>0</v>
      </c>
      <c r="J39" s="7">
        <v>1540.471</v>
      </c>
      <c r="K39" s="10">
        <v>56.713999999999999</v>
      </c>
      <c r="L39" s="10"/>
      <c r="M39" s="10">
        <v>46.904000000000003</v>
      </c>
      <c r="N39" s="8">
        <f t="shared" si="4"/>
        <v>55.829343672886466</v>
      </c>
    </row>
    <row r="40" spans="1:14" x14ac:dyDescent="0.25">
      <c r="A40">
        <v>1988</v>
      </c>
      <c r="B40" s="10">
        <v>57.228999999999999</v>
      </c>
      <c r="C40" s="10"/>
      <c r="D40" s="7">
        <v>15984.53</v>
      </c>
      <c r="E40" s="7"/>
      <c r="F40" s="7">
        <f t="shared" si="0"/>
        <v>15984.53</v>
      </c>
      <c r="G40" s="8">
        <f t="shared" si="1"/>
        <v>57.228999999999999</v>
      </c>
      <c r="H40" s="7">
        <f t="shared" si="2"/>
        <v>15984.53</v>
      </c>
      <c r="I40" s="7">
        <f t="shared" si="3"/>
        <v>0</v>
      </c>
      <c r="J40" s="7">
        <v>1765.8579999999999</v>
      </c>
      <c r="K40" s="10">
        <v>57.228999999999999</v>
      </c>
      <c r="L40" s="10"/>
      <c r="M40" s="10">
        <v>46.381999999999998</v>
      </c>
      <c r="N40" s="8">
        <f t="shared" si="4"/>
        <v>56.149910251313948</v>
      </c>
    </row>
    <row r="41" spans="1:14" x14ac:dyDescent="0.25">
      <c r="A41">
        <v>1989</v>
      </c>
      <c r="B41" s="10">
        <v>61.128</v>
      </c>
      <c r="C41" s="10">
        <v>63.276000000000003</v>
      </c>
      <c r="D41" s="7">
        <v>17058.25</v>
      </c>
      <c r="E41" s="7">
        <v>4.5940000000000003</v>
      </c>
      <c r="F41" s="7">
        <f t="shared" si="0"/>
        <v>17062.844000000001</v>
      </c>
      <c r="G41" s="8">
        <f t="shared" si="1"/>
        <v>61.128578327505068</v>
      </c>
      <c r="H41" s="7">
        <f t="shared" si="2"/>
        <v>17058.25</v>
      </c>
      <c r="I41" s="7">
        <f t="shared" si="3"/>
        <v>4.5940000000000003</v>
      </c>
      <c r="J41" s="7">
        <v>2238.5889999999999</v>
      </c>
      <c r="K41" s="10">
        <v>61.128</v>
      </c>
      <c r="L41" s="10">
        <v>63.276000000000003</v>
      </c>
      <c r="M41" s="10">
        <v>48.896000000000001</v>
      </c>
      <c r="N41" s="8">
        <f t="shared" si="4"/>
        <v>59.709838315528181</v>
      </c>
    </row>
    <row r="42" spans="1:14" x14ac:dyDescent="0.25">
      <c r="A42">
        <v>1990</v>
      </c>
      <c r="B42" s="10">
        <v>63.13</v>
      </c>
      <c r="C42" s="10">
        <v>65.349000000000004</v>
      </c>
      <c r="D42" s="7">
        <v>14882.215</v>
      </c>
      <c r="E42" s="7">
        <v>2422.5740000000001</v>
      </c>
      <c r="F42" s="7">
        <f t="shared" si="0"/>
        <v>17304.789000000001</v>
      </c>
      <c r="G42" s="8">
        <f t="shared" si="1"/>
        <v>63.440647630895711</v>
      </c>
      <c r="H42" s="7">
        <f t="shared" si="2"/>
        <v>14882.215</v>
      </c>
      <c r="I42" s="7">
        <f t="shared" si="3"/>
        <v>2422.5740000000001</v>
      </c>
      <c r="J42" s="7">
        <v>2816.4369999999999</v>
      </c>
      <c r="K42" s="10">
        <v>63.13</v>
      </c>
      <c r="L42" s="10">
        <v>65.349000000000004</v>
      </c>
      <c r="M42" s="10">
        <v>51.716999999999999</v>
      </c>
      <c r="N42" s="8">
        <f t="shared" si="4"/>
        <v>61.79964847097289</v>
      </c>
    </row>
    <row r="43" spans="1:14" x14ac:dyDescent="0.25">
      <c r="A43">
        <v>1991</v>
      </c>
      <c r="B43" s="10">
        <v>63.533999999999999</v>
      </c>
      <c r="C43" s="10">
        <v>64.185000000000002</v>
      </c>
      <c r="D43" s="7">
        <v>12948.3</v>
      </c>
      <c r="E43" s="7">
        <v>4242.277</v>
      </c>
      <c r="F43" s="7">
        <f t="shared" si="0"/>
        <v>17190.576999999997</v>
      </c>
      <c r="G43" s="8">
        <f t="shared" si="1"/>
        <v>63.694653265274347</v>
      </c>
      <c r="H43" s="7">
        <f t="shared" si="2"/>
        <v>12948.3</v>
      </c>
      <c r="I43" s="7">
        <f t="shared" si="3"/>
        <v>4242.277</v>
      </c>
      <c r="J43" s="7">
        <v>3283.9229999999998</v>
      </c>
      <c r="K43" s="10">
        <v>63.533999999999999</v>
      </c>
      <c r="L43" s="10">
        <v>64.185000000000002</v>
      </c>
      <c r="M43" s="10">
        <v>52.441000000000003</v>
      </c>
      <c r="N43" s="8">
        <f t="shared" si="4"/>
        <v>61.88966995472417</v>
      </c>
    </row>
    <row r="44" spans="1:14" x14ac:dyDescent="0.25">
      <c r="A44">
        <v>1992</v>
      </c>
      <c r="B44" s="10">
        <v>62.365000000000002</v>
      </c>
      <c r="C44" s="10">
        <v>62.767000000000003</v>
      </c>
      <c r="D44" s="7">
        <v>11173.749</v>
      </c>
      <c r="E44" s="7">
        <v>5414.4</v>
      </c>
      <c r="F44" s="7">
        <f t="shared" si="0"/>
        <v>16588.148999999998</v>
      </c>
      <c r="G44" s="8">
        <f t="shared" si="1"/>
        <v>62.496213482589297</v>
      </c>
      <c r="H44" s="7">
        <f t="shared" si="2"/>
        <v>11173.749</v>
      </c>
      <c r="I44" s="7">
        <f t="shared" si="3"/>
        <v>5414.4</v>
      </c>
      <c r="J44" s="7">
        <v>3635.8609999999999</v>
      </c>
      <c r="K44" s="10">
        <v>62.365000000000002</v>
      </c>
      <c r="L44" s="10">
        <v>62.767000000000003</v>
      </c>
      <c r="M44" s="10">
        <v>50.555</v>
      </c>
      <c r="N44" s="8">
        <f t="shared" si="4"/>
        <v>60.349428923344085</v>
      </c>
    </row>
    <row r="45" spans="1:14" x14ac:dyDescent="0.25">
      <c r="A45">
        <v>1993</v>
      </c>
      <c r="B45" s="10">
        <v>64.611999999999995</v>
      </c>
      <c r="C45" s="10">
        <v>64.650000000000006</v>
      </c>
      <c r="D45" s="7">
        <v>10119.957</v>
      </c>
      <c r="E45" s="7">
        <v>6447.4660000000003</v>
      </c>
      <c r="F45" s="7">
        <f t="shared" si="0"/>
        <v>16567.423000000003</v>
      </c>
      <c r="G45" s="8">
        <f t="shared" si="1"/>
        <v>64.626788281074241</v>
      </c>
      <c r="H45" s="7">
        <f t="shared" si="2"/>
        <v>10119.957</v>
      </c>
      <c r="I45" s="7">
        <f t="shared" si="3"/>
        <v>6447.4660000000003</v>
      </c>
      <c r="J45" s="7">
        <v>4291.4620000000004</v>
      </c>
      <c r="K45" s="10">
        <v>64.611999999999995</v>
      </c>
      <c r="L45" s="10">
        <v>64.650000000000006</v>
      </c>
      <c r="M45" s="10">
        <v>53.485999999999997</v>
      </c>
      <c r="N45" s="8">
        <f t="shared" si="4"/>
        <v>62.334706534697318</v>
      </c>
    </row>
    <row r="46" spans="1:14" x14ac:dyDescent="0.25">
      <c r="A46">
        <v>1994</v>
      </c>
      <c r="B46" s="10">
        <v>66.872</v>
      </c>
      <c r="C46" s="10">
        <v>67.171000000000006</v>
      </c>
      <c r="D46" s="7">
        <v>9252.6919999999991</v>
      </c>
      <c r="E46" s="7">
        <v>7374.92</v>
      </c>
      <c r="F46" s="7">
        <f t="shared" si="0"/>
        <v>16627.612000000001</v>
      </c>
      <c r="G46" s="8">
        <f t="shared" si="1"/>
        <v>67.004616823149348</v>
      </c>
      <c r="H46" s="7">
        <f t="shared" si="2"/>
        <v>9252.6919999999991</v>
      </c>
      <c r="I46" s="7">
        <f t="shared" si="3"/>
        <v>7374.92</v>
      </c>
      <c r="J46" s="7">
        <v>4973.38</v>
      </c>
      <c r="K46" s="10">
        <v>66.872</v>
      </c>
      <c r="L46" s="10">
        <v>67.171000000000006</v>
      </c>
      <c r="M46" s="10">
        <v>56.643000000000001</v>
      </c>
      <c r="N46" s="8">
        <f t="shared" si="4"/>
        <v>64.618973706577918</v>
      </c>
    </row>
    <row r="47" spans="1:14" x14ac:dyDescent="0.25">
      <c r="A47">
        <v>1995</v>
      </c>
      <c r="B47" s="10">
        <v>69.727999999999994</v>
      </c>
      <c r="C47" s="10">
        <v>71.206999999999994</v>
      </c>
      <c r="D47" s="7">
        <v>8440.6620000000003</v>
      </c>
      <c r="E47" s="7">
        <v>8218.7630000000008</v>
      </c>
      <c r="F47" s="7">
        <f t="shared" si="0"/>
        <v>16659.425000000003</v>
      </c>
      <c r="G47" s="8">
        <f t="shared" si="1"/>
        <v>70.457650061571741</v>
      </c>
      <c r="H47" s="7">
        <f t="shared" si="2"/>
        <v>8440.6620000000003</v>
      </c>
      <c r="I47" s="7">
        <f t="shared" si="3"/>
        <v>8218.7630000000008</v>
      </c>
      <c r="J47" s="7">
        <v>5520.9089999999997</v>
      </c>
      <c r="K47" s="10">
        <v>69.727999999999994</v>
      </c>
      <c r="L47" s="10">
        <v>71.206999999999994</v>
      </c>
      <c r="M47" s="10">
        <v>56.694000000000003</v>
      </c>
      <c r="N47" s="8">
        <f t="shared" si="4"/>
        <v>67.03173864392663</v>
      </c>
    </row>
    <row r="48" spans="1:14" x14ac:dyDescent="0.25">
      <c r="A48">
        <v>1996</v>
      </c>
      <c r="B48" s="10">
        <v>73.997</v>
      </c>
      <c r="C48" s="10">
        <v>75.606999999999999</v>
      </c>
      <c r="D48" s="7">
        <v>7630.442</v>
      </c>
      <c r="E48" s="7">
        <v>9361.6659999999993</v>
      </c>
      <c r="F48" s="7">
        <f t="shared" si="0"/>
        <v>16992.108</v>
      </c>
      <c r="G48" s="8">
        <f t="shared" si="1"/>
        <v>74.884016623246509</v>
      </c>
      <c r="H48" s="7">
        <f t="shared" si="2"/>
        <v>7630.442</v>
      </c>
      <c r="I48" s="7">
        <f t="shared" si="3"/>
        <v>9361.6659999999993</v>
      </c>
      <c r="J48" s="7">
        <v>6585.1310000000003</v>
      </c>
      <c r="K48" s="10">
        <v>73.997</v>
      </c>
      <c r="L48" s="10">
        <v>75.606999999999999</v>
      </c>
      <c r="M48" s="10">
        <v>63.003999999999998</v>
      </c>
      <c r="N48" s="8">
        <f t="shared" si="4"/>
        <v>71.565923875140768</v>
      </c>
    </row>
    <row r="49" spans="1:14" x14ac:dyDescent="0.25">
      <c r="A49">
        <v>1997</v>
      </c>
      <c r="B49" s="10">
        <v>76.786000000000001</v>
      </c>
      <c r="C49" s="10">
        <v>78.47</v>
      </c>
      <c r="D49" s="7">
        <v>6896.6450000000004</v>
      </c>
      <c r="E49" s="7">
        <v>10312.179</v>
      </c>
      <c r="F49" s="7">
        <f t="shared" si="0"/>
        <v>17208.824000000001</v>
      </c>
      <c r="G49" s="8">
        <f t="shared" si="1"/>
        <v>77.795116569267023</v>
      </c>
      <c r="H49" s="7">
        <f t="shared" si="2"/>
        <v>6896.6450000000004</v>
      </c>
      <c r="I49" s="7">
        <f t="shared" si="3"/>
        <v>10312.179</v>
      </c>
      <c r="J49" s="7">
        <v>7365.3119999999999</v>
      </c>
      <c r="K49" s="10">
        <v>76.786000000000001</v>
      </c>
      <c r="L49" s="10">
        <v>78.47</v>
      </c>
      <c r="M49" s="10">
        <v>65.421000000000006</v>
      </c>
      <c r="N49" s="8">
        <f t="shared" si="4"/>
        <v>74.086370542264447</v>
      </c>
    </row>
    <row r="50" spans="1:14" x14ac:dyDescent="0.25">
      <c r="A50">
        <v>1998</v>
      </c>
      <c r="B50" s="10">
        <v>75.174000000000007</v>
      </c>
      <c r="C50" s="10">
        <v>76.507000000000005</v>
      </c>
      <c r="D50" s="7">
        <v>5921.4480000000003</v>
      </c>
      <c r="E50" s="7">
        <v>10758.392</v>
      </c>
      <c r="F50" s="7">
        <f t="shared" si="0"/>
        <v>16679.84</v>
      </c>
      <c r="G50" s="8">
        <f t="shared" si="1"/>
        <v>76.033776624715827</v>
      </c>
      <c r="H50" s="7">
        <f t="shared" si="2"/>
        <v>5921.4480000000003</v>
      </c>
      <c r="I50" s="7">
        <f t="shared" si="3"/>
        <v>10758.392</v>
      </c>
      <c r="J50" s="7">
        <v>7515.8980000000001</v>
      </c>
      <c r="K50" s="10">
        <v>75.174000000000007</v>
      </c>
      <c r="L50" s="10">
        <v>76.507000000000005</v>
      </c>
      <c r="M50" s="10">
        <v>62.216999999999999</v>
      </c>
      <c r="N50" s="8">
        <f t="shared" si="4"/>
        <v>71.741885060997106</v>
      </c>
    </row>
    <row r="51" spans="1:14" x14ac:dyDescent="0.25">
      <c r="A51">
        <v>1999</v>
      </c>
      <c r="B51" s="10">
        <v>78.222999999999999</v>
      </c>
      <c r="C51" s="10">
        <v>79.010000000000005</v>
      </c>
      <c r="D51" s="7">
        <v>5206.567</v>
      </c>
      <c r="E51" s="7">
        <v>11910.258</v>
      </c>
      <c r="F51" s="7">
        <f t="shared" si="0"/>
        <v>17116.825000000001</v>
      </c>
      <c r="G51" s="8">
        <f t="shared" si="1"/>
        <v>78.770611665481184</v>
      </c>
      <c r="H51" s="7">
        <f t="shared" si="2"/>
        <v>5206.567</v>
      </c>
      <c r="I51" s="7">
        <f t="shared" si="3"/>
        <v>11910.258</v>
      </c>
      <c r="J51" s="7">
        <v>8485.9130000000005</v>
      </c>
      <c r="K51" s="10">
        <v>78.222999999999999</v>
      </c>
      <c r="L51" s="10">
        <v>79.010000000000005</v>
      </c>
      <c r="M51" s="10">
        <v>66.082999999999998</v>
      </c>
      <c r="N51" s="8">
        <f t="shared" si="4"/>
        <v>74.56535952521952</v>
      </c>
    </row>
    <row r="52" spans="1:14" x14ac:dyDescent="0.25">
      <c r="A52">
        <v>2000</v>
      </c>
      <c r="B52" s="10">
        <v>91.474000000000004</v>
      </c>
      <c r="C52" s="10">
        <v>91.24</v>
      </c>
      <c r="D52" s="7">
        <v>4255.8829999999998</v>
      </c>
      <c r="E52" s="7">
        <v>14565.43</v>
      </c>
      <c r="F52" s="7">
        <f t="shared" si="0"/>
        <v>18821.313000000002</v>
      </c>
      <c r="G52" s="8">
        <f t="shared" si="1"/>
        <v>91.292912175787094</v>
      </c>
      <c r="H52" s="7">
        <f t="shared" si="2"/>
        <v>4255.8829999999998</v>
      </c>
      <c r="I52" s="7">
        <f t="shared" si="3"/>
        <v>14565.43</v>
      </c>
      <c r="J52" s="7">
        <v>10883.674000000001</v>
      </c>
      <c r="K52" s="10">
        <v>91.474000000000004</v>
      </c>
      <c r="L52" s="10">
        <v>91.24</v>
      </c>
      <c r="M52" s="10">
        <v>81.81</v>
      </c>
      <c r="N52" s="8">
        <f t="shared" si="4"/>
        <v>87.818447612247738</v>
      </c>
    </row>
    <row r="53" spans="1:14" x14ac:dyDescent="0.25">
      <c r="A53">
        <v>2001</v>
      </c>
      <c r="B53" s="10">
        <v>87.734999999999999</v>
      </c>
      <c r="C53" s="10">
        <v>86.900999999999996</v>
      </c>
      <c r="D53" s="7">
        <v>2983.9079999999999</v>
      </c>
      <c r="E53" s="7">
        <v>14621.939</v>
      </c>
      <c r="F53" s="7">
        <f t="shared" si="0"/>
        <v>17605.847000000002</v>
      </c>
      <c r="G53" s="8">
        <f t="shared" si="1"/>
        <v>87.042349590962573</v>
      </c>
      <c r="H53" s="7">
        <f t="shared" si="2"/>
        <v>2983.9079999999999</v>
      </c>
      <c r="I53" s="7">
        <f t="shared" si="3"/>
        <v>14621.939</v>
      </c>
      <c r="J53" s="7">
        <v>11071.454</v>
      </c>
      <c r="K53" s="10">
        <v>87.734999999999999</v>
      </c>
      <c r="L53" s="10">
        <v>86.900999999999996</v>
      </c>
      <c r="M53" s="10">
        <v>77.2</v>
      </c>
      <c r="N53" s="8">
        <f t="shared" si="4"/>
        <v>83.242510800406208</v>
      </c>
    </row>
    <row r="54" spans="1:14" x14ac:dyDescent="0.25">
      <c r="A54">
        <v>2002</v>
      </c>
      <c r="B54" s="10">
        <v>85.682000000000002</v>
      </c>
      <c r="C54" s="10">
        <v>84.867999999999995</v>
      </c>
      <c r="D54" s="7">
        <v>2133.11</v>
      </c>
      <c r="E54" s="7">
        <v>14422.584000000001</v>
      </c>
      <c r="F54" s="7">
        <f t="shared" si="0"/>
        <v>16555.694</v>
      </c>
      <c r="G54" s="8">
        <f t="shared" si="1"/>
        <v>84.972879417317088</v>
      </c>
      <c r="H54" s="7">
        <f t="shared" si="2"/>
        <v>2133.11</v>
      </c>
      <c r="I54" s="7">
        <f t="shared" si="3"/>
        <v>14422.584000000001</v>
      </c>
      <c r="J54" s="7">
        <v>11288.217000000001</v>
      </c>
      <c r="K54" s="10">
        <v>85.682000000000002</v>
      </c>
      <c r="L54" s="10">
        <v>84.867999999999995</v>
      </c>
      <c r="M54" s="10">
        <v>74.537999999999997</v>
      </c>
      <c r="N54" s="8">
        <f t="shared" si="4"/>
        <v>80.742468566215436</v>
      </c>
    </row>
    <row r="55" spans="1:14" x14ac:dyDescent="0.25">
      <c r="A55">
        <v>2003</v>
      </c>
      <c r="B55" s="10">
        <v>86.882999999999996</v>
      </c>
      <c r="C55" s="10">
        <v>86.245000000000005</v>
      </c>
      <c r="D55" s="7">
        <v>1536.875</v>
      </c>
      <c r="E55" s="7">
        <v>14291.692999999999</v>
      </c>
      <c r="F55" s="7">
        <f t="shared" si="0"/>
        <v>15828.567999999999</v>
      </c>
      <c r="G55" s="8">
        <f t="shared" si="1"/>
        <v>86.306946617659918</v>
      </c>
      <c r="H55" s="7">
        <f t="shared" si="2"/>
        <v>1536.875</v>
      </c>
      <c r="I55" s="7">
        <f t="shared" si="3"/>
        <v>14291.692999999999</v>
      </c>
      <c r="J55" s="7">
        <v>12643.61</v>
      </c>
      <c r="K55" s="10">
        <v>86.882999999999996</v>
      </c>
      <c r="L55" s="10">
        <v>86.245000000000005</v>
      </c>
      <c r="M55" s="10">
        <v>77.231999999999999</v>
      </c>
      <c r="N55" s="8">
        <f t="shared" si="4"/>
        <v>82.277044661985471</v>
      </c>
    </row>
    <row r="56" spans="1:14" x14ac:dyDescent="0.25">
      <c r="A56">
        <v>2004</v>
      </c>
      <c r="B56" s="10">
        <v>91.091999999999999</v>
      </c>
      <c r="C56" s="10">
        <v>90.917000000000002</v>
      </c>
      <c r="D56" s="7">
        <v>1157.5830000000001</v>
      </c>
      <c r="E56" s="7">
        <v>14650.085999999999</v>
      </c>
      <c r="F56" s="7">
        <f t="shared" si="0"/>
        <v>15807.669</v>
      </c>
      <c r="G56" s="8">
        <f t="shared" si="1"/>
        <v>90.92981511050111</v>
      </c>
      <c r="H56" s="7">
        <f t="shared" si="2"/>
        <v>1157.5830000000001</v>
      </c>
      <c r="I56" s="7">
        <f t="shared" si="3"/>
        <v>14650.085999999999</v>
      </c>
      <c r="J56" s="7">
        <v>14421.583000000001</v>
      </c>
      <c r="K56" s="10">
        <v>91.091999999999999</v>
      </c>
      <c r="L56" s="10">
        <v>90.917000000000002</v>
      </c>
      <c r="M56" s="10">
        <v>85.915000000000006</v>
      </c>
      <c r="N56" s="8">
        <f t="shared" si="4"/>
        <v>88.537378395700969</v>
      </c>
    </row>
    <row r="57" spans="1:14" x14ac:dyDescent="0.25">
      <c r="A57">
        <v>2005</v>
      </c>
      <c r="B57" s="10">
        <v>100</v>
      </c>
      <c r="C57" s="10">
        <v>100</v>
      </c>
      <c r="D57" s="7">
        <v>513.14400000000001</v>
      </c>
      <c r="E57" s="7">
        <v>15791.374</v>
      </c>
      <c r="F57" s="7">
        <f t="shared" si="0"/>
        <v>16304.518</v>
      </c>
      <c r="G57" s="8">
        <f t="shared" si="1"/>
        <v>99.999999999999986</v>
      </c>
      <c r="H57" s="7">
        <f t="shared" si="2"/>
        <v>513.14400000000001</v>
      </c>
      <c r="I57" s="7">
        <f t="shared" si="3"/>
        <v>15791.374</v>
      </c>
      <c r="J57" s="7">
        <v>16967.124</v>
      </c>
      <c r="K57" s="10">
        <v>100</v>
      </c>
      <c r="L57" s="10">
        <v>100</v>
      </c>
      <c r="M57" s="10">
        <v>100</v>
      </c>
      <c r="N57" s="8">
        <f t="shared" si="4"/>
        <v>99.999999999999986</v>
      </c>
    </row>
    <row r="58" spans="1:14" x14ac:dyDescent="0.25">
      <c r="A58">
        <v>2006</v>
      </c>
      <c r="B58" s="10">
        <v>109.779</v>
      </c>
      <c r="C58" s="10">
        <v>106.276</v>
      </c>
      <c r="D58" s="7">
        <v>145.90199999999999</v>
      </c>
      <c r="E58" s="7">
        <v>16151.349</v>
      </c>
      <c r="F58" s="7">
        <f t="shared" si="0"/>
        <v>16297.251</v>
      </c>
      <c r="G58" s="8">
        <f t="shared" si="1"/>
        <v>106.30736079244285</v>
      </c>
      <c r="H58" s="7">
        <f t="shared" si="2"/>
        <v>145.90199999999999</v>
      </c>
      <c r="I58" s="7">
        <f t="shared" si="3"/>
        <v>16151.349</v>
      </c>
      <c r="J58" s="7">
        <v>18388.183000000001</v>
      </c>
      <c r="K58" s="10">
        <v>109.779</v>
      </c>
      <c r="L58" s="10">
        <v>106.276</v>
      </c>
      <c r="M58" s="10">
        <v>105.32299999999999</v>
      </c>
      <c r="N58" s="8">
        <f t="shared" si="4"/>
        <v>105.78551042754718</v>
      </c>
    </row>
    <row r="59" spans="1:14" x14ac:dyDescent="0.25">
      <c r="A59">
        <v>2007</v>
      </c>
      <c r="B59" s="10">
        <v>116.51600000000001</v>
      </c>
      <c r="C59" s="10">
        <v>109.196</v>
      </c>
      <c r="D59" s="7">
        <v>36.097000000000001</v>
      </c>
      <c r="E59" s="7">
        <v>15947.684999999999</v>
      </c>
      <c r="F59" s="7">
        <f t="shared" si="0"/>
        <v>15983.781999999999</v>
      </c>
      <c r="G59" s="8">
        <f t="shared" si="1"/>
        <v>109.21253113387057</v>
      </c>
      <c r="H59" s="7">
        <f t="shared" si="2"/>
        <v>36.097000000000001</v>
      </c>
      <c r="I59" s="7">
        <f t="shared" si="3"/>
        <v>15947.684999999999</v>
      </c>
      <c r="J59" s="7">
        <v>19693.524000000001</v>
      </c>
      <c r="K59" s="10">
        <v>116.51600000000001</v>
      </c>
      <c r="L59" s="10">
        <v>109.196</v>
      </c>
      <c r="M59" s="10">
        <v>106.46299999999999</v>
      </c>
      <c r="N59" s="8">
        <f t="shared" si="4"/>
        <v>107.69481683745965</v>
      </c>
    </row>
    <row r="60" spans="1:14" x14ac:dyDescent="0.25">
      <c r="A60">
        <v>2008</v>
      </c>
      <c r="B60" s="10"/>
      <c r="C60" s="10">
        <v>117.10299999999999</v>
      </c>
      <c r="D60" s="7">
        <v>0</v>
      </c>
      <c r="E60" s="7">
        <v>15812.2</v>
      </c>
      <c r="F60" s="7">
        <f t="shared" si="0"/>
        <v>15812.2</v>
      </c>
      <c r="G60" s="8">
        <f t="shared" si="1"/>
        <v>117.10299999999999</v>
      </c>
      <c r="H60" s="7">
        <f t="shared" si="2"/>
        <v>0</v>
      </c>
      <c r="I60" s="7">
        <f t="shared" si="3"/>
        <v>15812.2</v>
      </c>
      <c r="J60" s="7">
        <v>23478.812999999998</v>
      </c>
      <c r="K60" s="10"/>
      <c r="L60" s="10">
        <v>117.10299999999999</v>
      </c>
      <c r="M60" s="10">
        <v>124.66800000000001</v>
      </c>
      <c r="N60" s="8">
        <f t="shared" si="4"/>
        <v>121.62355589264142</v>
      </c>
    </row>
    <row r="61" spans="1:14" x14ac:dyDescent="0.25">
      <c r="A61">
        <v>2009</v>
      </c>
      <c r="B61" s="10"/>
      <c r="C61" s="10">
        <v>103.69799999999999</v>
      </c>
      <c r="D61" s="7">
        <v>0</v>
      </c>
      <c r="E61" s="7">
        <v>13472.324000000001</v>
      </c>
      <c r="F61" s="7">
        <f t="shared" si="0"/>
        <v>13472.324000000001</v>
      </c>
      <c r="G61" s="8">
        <f t="shared" si="1"/>
        <v>103.69799999999999</v>
      </c>
      <c r="H61" s="7">
        <f t="shared" si="2"/>
        <v>0</v>
      </c>
      <c r="I61" s="7">
        <f t="shared" si="3"/>
        <v>13472.324000000001</v>
      </c>
      <c r="J61" s="7">
        <v>18504.080999999998</v>
      </c>
      <c r="K61" s="10"/>
      <c r="L61" s="10">
        <v>103.69799999999999</v>
      </c>
      <c r="M61" s="10">
        <v>98.114000000000004</v>
      </c>
      <c r="N61" s="8">
        <f t="shared" si="4"/>
        <v>100.46665525364719</v>
      </c>
    </row>
    <row r="62" spans="1:14" x14ac:dyDescent="0.25">
      <c r="A62">
        <v>2010</v>
      </c>
      <c r="B62" s="10"/>
      <c r="C62" s="10">
        <v>115.259</v>
      </c>
      <c r="D62" s="7">
        <v>0</v>
      </c>
      <c r="E62" s="7">
        <v>14047.373</v>
      </c>
      <c r="F62" s="7">
        <f t="shared" si="0"/>
        <v>14047.373</v>
      </c>
      <c r="G62" s="8">
        <f t="shared" si="1"/>
        <v>115.25900000000001</v>
      </c>
      <c r="H62" s="7">
        <f t="shared" si="2"/>
        <v>0</v>
      </c>
      <c r="I62" s="7">
        <f t="shared" si="3"/>
        <v>14047.373</v>
      </c>
      <c r="J62" s="7">
        <v>21751.775000000001</v>
      </c>
      <c r="K62" s="10"/>
      <c r="L62" s="10">
        <v>115.259</v>
      </c>
      <c r="M62" s="10">
        <v>112.411</v>
      </c>
      <c r="N62" s="8">
        <f t="shared" si="4"/>
        <v>113.52853828063171</v>
      </c>
    </row>
    <row r="63" spans="1:14" x14ac:dyDescent="0.25">
      <c r="A63">
        <v>2011</v>
      </c>
      <c r="B63" s="10"/>
      <c r="C63" s="10">
        <v>127.887</v>
      </c>
      <c r="D63" s="7">
        <v>0</v>
      </c>
      <c r="E63" s="7">
        <v>14808.366</v>
      </c>
      <c r="F63" s="7">
        <f t="shared" si="0"/>
        <v>14808.366</v>
      </c>
      <c r="G63" s="8">
        <f t="shared" si="1"/>
        <v>127.887</v>
      </c>
      <c r="H63" s="7">
        <f t="shared" si="2"/>
        <v>0</v>
      </c>
      <c r="I63" s="7">
        <f t="shared" si="3"/>
        <v>14808.366</v>
      </c>
      <c r="J63" s="7">
        <v>25860.817999999999</v>
      </c>
      <c r="K63" s="10"/>
      <c r="L63" s="10">
        <v>127.887</v>
      </c>
      <c r="M63" s="10">
        <v>131.09800000000001</v>
      </c>
      <c r="N63" s="8">
        <f t="shared" si="4"/>
        <v>129.92881836050609</v>
      </c>
    </row>
  </sheetData>
  <mergeCells count="4">
    <mergeCell ref="D9:F9"/>
    <mergeCell ref="B9:C9"/>
    <mergeCell ref="H9:J9"/>
    <mergeCell ref="K9:M9"/>
  </mergeCells>
  <phoneticPr fontId="10" type="noConversion"/>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6"/>
  <dimension ref="A1:S60"/>
  <sheetViews>
    <sheetView workbookViewId="0">
      <pane xSplit="1" ySplit="5" topLeftCell="B6" activePane="bottomRight" state="frozen"/>
      <selection pane="topRight" activeCell="B1" sqref="B1"/>
      <selection pane="bottomLeft" activeCell="A3" sqref="A3"/>
      <selection pane="bottomRight" activeCell="B6" sqref="B6"/>
    </sheetView>
  </sheetViews>
  <sheetFormatPr baseColWidth="10" defaultRowHeight="13.5" x14ac:dyDescent="0.25"/>
  <cols>
    <col min="1" max="1" width="4.875" style="42" bestFit="1" customWidth="1"/>
    <col min="2" max="5" width="10.75" style="42" customWidth="1"/>
    <col min="6" max="6" width="9" style="31" bestFit="1" customWidth="1"/>
    <col min="7" max="7" width="11" style="31"/>
    <col min="8" max="8" width="7.875" style="31" bestFit="1" customWidth="1"/>
    <col min="9" max="9" width="8.875" style="31" customWidth="1"/>
    <col min="10" max="10" width="10.875" style="31" customWidth="1"/>
    <col min="11" max="11" width="6.875" style="31" customWidth="1"/>
    <col min="12" max="12" width="9.875" style="31" customWidth="1"/>
    <col min="13" max="13" width="10.875" style="31" customWidth="1"/>
    <col min="14" max="14" width="7.875" style="31" customWidth="1"/>
    <col min="15" max="16384" width="11" style="31"/>
  </cols>
  <sheetData>
    <row r="1" spans="1:19" x14ac:dyDescent="0.25">
      <c r="A1" s="51" t="s">
        <v>691</v>
      </c>
      <c r="B1" s="51"/>
      <c r="C1" s="51"/>
      <c r="D1" s="51"/>
      <c r="E1" s="51"/>
    </row>
    <row r="2" spans="1:19" x14ac:dyDescent="0.25">
      <c r="A2" s="51" t="s">
        <v>692</v>
      </c>
      <c r="B2" s="51"/>
      <c r="C2" s="51"/>
      <c r="D2" s="51"/>
      <c r="E2" s="51"/>
    </row>
    <row r="4" spans="1:19" s="41" customFormat="1" ht="12" customHeight="1" x14ac:dyDescent="0.25">
      <c r="A4" s="50"/>
      <c r="B4" s="183" t="s">
        <v>317</v>
      </c>
      <c r="C4" s="183"/>
      <c r="D4" s="183"/>
      <c r="E4" s="184"/>
      <c r="F4" s="209" t="s">
        <v>104</v>
      </c>
      <c r="G4" s="209"/>
      <c r="H4" s="209"/>
      <c r="I4" s="208" t="s">
        <v>351</v>
      </c>
      <c r="J4" s="208"/>
      <c r="K4" s="208"/>
      <c r="L4" s="208"/>
      <c r="M4" s="208"/>
      <c r="N4" s="208"/>
      <c r="O4" s="213" t="s">
        <v>319</v>
      </c>
      <c r="P4" s="213"/>
      <c r="Q4" s="213"/>
      <c r="R4" s="213"/>
      <c r="S4" s="213"/>
    </row>
    <row r="5" spans="1:19" s="41" customFormat="1" ht="40.5" x14ac:dyDescent="0.25">
      <c r="A5" s="50"/>
      <c r="B5" s="50" t="s">
        <v>84</v>
      </c>
      <c r="C5" s="50" t="s">
        <v>85</v>
      </c>
      <c r="D5" s="50" t="s">
        <v>86</v>
      </c>
      <c r="E5" s="50" t="s">
        <v>318</v>
      </c>
      <c r="F5" s="41" t="s">
        <v>84</v>
      </c>
      <c r="G5" s="41" t="s">
        <v>85</v>
      </c>
      <c r="H5" s="41" t="s">
        <v>86</v>
      </c>
      <c r="I5" s="41" t="s">
        <v>84</v>
      </c>
      <c r="J5" s="41" t="s">
        <v>85</v>
      </c>
      <c r="K5" s="41" t="s">
        <v>86</v>
      </c>
      <c r="L5" s="41" t="s">
        <v>341</v>
      </c>
      <c r="M5" s="41" t="s">
        <v>352</v>
      </c>
      <c r="N5" s="41" t="s">
        <v>353</v>
      </c>
      <c r="O5" s="41" t="s">
        <v>354</v>
      </c>
      <c r="P5" s="41" t="s">
        <v>355</v>
      </c>
      <c r="Q5" s="41" t="s">
        <v>347</v>
      </c>
      <c r="R5" s="41" t="s">
        <v>352</v>
      </c>
      <c r="S5" s="41" t="s">
        <v>356</v>
      </c>
    </row>
    <row r="6" spans="1:19" x14ac:dyDescent="0.25">
      <c r="A6" s="27">
        <v>1960</v>
      </c>
      <c r="B6" s="19">
        <v>806.41</v>
      </c>
      <c r="C6" s="19">
        <v>0</v>
      </c>
      <c r="D6" s="19">
        <v>9.3680000000000003</v>
      </c>
      <c r="E6" s="19">
        <f>D6+C6+B6</f>
        <v>815.77800000000002</v>
      </c>
      <c r="F6" s="17">
        <f>B6/$E6</f>
        <v>0.98851648365118938</v>
      </c>
      <c r="G6" s="17">
        <f t="shared" ref="G6:H6" si="0">C6/$E6</f>
        <v>0</v>
      </c>
      <c r="H6" s="17">
        <f t="shared" si="0"/>
        <v>1.1483516348810584E-2</v>
      </c>
      <c r="I6" s="32">
        <v>9.6489999999999991</v>
      </c>
      <c r="J6" s="32">
        <v>0</v>
      </c>
      <c r="K6" s="32">
        <v>8.3369999999999997</v>
      </c>
      <c r="L6" s="32">
        <f t="shared" ref="L6:L50" si="1">(F6*I6+G6*J6+H6*K6)/(F6+G6+H6)</f>
        <v>9.633933626550359</v>
      </c>
      <c r="M6" s="32">
        <f>(F6*I6+G6*J6)/(G6+F6)</f>
        <v>9.6489999999999991</v>
      </c>
      <c r="N6" s="185">
        <v>10.896000000000001</v>
      </c>
      <c r="O6" s="32">
        <f>100*I6/$N6</f>
        <v>88.555433186490433</v>
      </c>
      <c r="P6" s="32"/>
      <c r="Q6" s="32">
        <f>100*K6/$N6</f>
        <v>76.514317180616729</v>
      </c>
      <c r="R6" s="32">
        <f>100*L6/$N6</f>
        <v>88.417158833979059</v>
      </c>
      <c r="S6" s="32">
        <f>100*M6/$N6</f>
        <v>88.555433186490433</v>
      </c>
    </row>
    <row r="7" spans="1:19" x14ac:dyDescent="0.25">
      <c r="A7" s="27">
        <v>1961</v>
      </c>
      <c r="B7" s="19">
        <v>891.5</v>
      </c>
      <c r="C7" s="19">
        <v>0</v>
      </c>
      <c r="D7" s="19">
        <v>10.509</v>
      </c>
      <c r="E7" s="19">
        <f t="shared" ref="E7:E60" si="2">D7+C7+B7</f>
        <v>902.00900000000001</v>
      </c>
      <c r="F7" s="17">
        <f t="shared" ref="F7:F60" si="3">B7/$E7</f>
        <v>0.98834934019505349</v>
      </c>
      <c r="G7" s="17">
        <f t="shared" ref="G7:G60" si="4">C7/$E7</f>
        <v>0</v>
      </c>
      <c r="H7" s="17">
        <f t="shared" ref="H7:H60" si="5">D7/$E7</f>
        <v>1.1650659804946515E-2</v>
      </c>
      <c r="I7" s="32">
        <v>9.6549999999999994</v>
      </c>
      <c r="J7" s="32">
        <v>0</v>
      </c>
      <c r="K7" s="32">
        <v>8.3219999999999992</v>
      </c>
      <c r="L7" s="32">
        <f t="shared" si="1"/>
        <v>9.6394696704800058</v>
      </c>
      <c r="M7" s="32">
        <f t="shared" ref="M7:M53" si="6">(F7*I7+G7*J7)/(G7+F7)</f>
        <v>9.6549999999999994</v>
      </c>
      <c r="N7" s="185">
        <v>11.221</v>
      </c>
      <c r="O7" s="32">
        <f t="shared" ref="O7:O60" si="7">100*I7/$N7</f>
        <v>86.044024596738254</v>
      </c>
      <c r="P7" s="32"/>
      <c r="Q7" s="32">
        <f t="shared" ref="Q7:Q55" si="8">100*K7/$N7</f>
        <v>74.16451296675875</v>
      </c>
      <c r="R7" s="32">
        <f t="shared" ref="R7:R55" si="9">100*L7/$N7</f>
        <v>85.905620448088456</v>
      </c>
      <c r="S7" s="32">
        <f t="shared" ref="S7:S55" si="10">100*M7/$N7</f>
        <v>86.044024596738254</v>
      </c>
    </row>
    <row r="8" spans="1:19" x14ac:dyDescent="0.25">
      <c r="A8" s="27">
        <v>1962</v>
      </c>
      <c r="B8" s="19">
        <v>963.52</v>
      </c>
      <c r="C8" s="19">
        <v>0</v>
      </c>
      <c r="D8" s="19">
        <v>11.901999999999999</v>
      </c>
      <c r="E8" s="19">
        <f t="shared" si="2"/>
        <v>975.42200000000003</v>
      </c>
      <c r="F8" s="17">
        <f t="shared" si="3"/>
        <v>0.98779810174468075</v>
      </c>
      <c r="G8" s="17">
        <f t="shared" si="4"/>
        <v>0</v>
      </c>
      <c r="H8" s="17">
        <f t="shared" si="5"/>
        <v>1.2201898255319235E-2</v>
      </c>
      <c r="I8" s="32">
        <v>9.6530000000000005</v>
      </c>
      <c r="J8" s="32">
        <v>0</v>
      </c>
      <c r="K8" s="32">
        <v>8.2780000000000005</v>
      </c>
      <c r="L8" s="32">
        <f t="shared" si="1"/>
        <v>9.6362223898989363</v>
      </c>
      <c r="M8" s="32">
        <f t="shared" si="6"/>
        <v>9.6530000000000005</v>
      </c>
      <c r="N8" s="185">
        <v>11.7</v>
      </c>
      <c r="O8" s="32">
        <f t="shared" si="7"/>
        <v>82.504273504273513</v>
      </c>
      <c r="P8" s="32"/>
      <c r="Q8" s="32">
        <f t="shared" si="8"/>
        <v>70.752136752136764</v>
      </c>
      <c r="R8" s="32">
        <f t="shared" si="9"/>
        <v>82.360875127341345</v>
      </c>
      <c r="S8" s="32">
        <f t="shared" si="10"/>
        <v>82.504273504273513</v>
      </c>
    </row>
    <row r="9" spans="1:19" x14ac:dyDescent="0.25">
      <c r="A9" s="27">
        <v>1963</v>
      </c>
      <c r="B9" s="19">
        <v>1053.43</v>
      </c>
      <c r="C9" s="19">
        <v>0</v>
      </c>
      <c r="D9" s="19">
        <v>13.414</v>
      </c>
      <c r="E9" s="19">
        <f t="shared" si="2"/>
        <v>1066.8440000000001</v>
      </c>
      <c r="F9" s="17">
        <f t="shared" si="3"/>
        <v>0.98742646535013556</v>
      </c>
      <c r="G9" s="17">
        <f t="shared" si="4"/>
        <v>0</v>
      </c>
      <c r="H9" s="17">
        <f t="shared" si="5"/>
        <v>1.257353464986446E-2</v>
      </c>
      <c r="I9" s="32">
        <v>9.6560000000000006</v>
      </c>
      <c r="J9" s="32">
        <v>0</v>
      </c>
      <c r="K9" s="32">
        <v>8.25</v>
      </c>
      <c r="L9" s="32">
        <f t="shared" si="1"/>
        <v>9.6383216102822917</v>
      </c>
      <c r="M9" s="32">
        <f t="shared" si="6"/>
        <v>9.6560000000000006</v>
      </c>
      <c r="N9" s="185">
        <v>12.266</v>
      </c>
      <c r="O9" s="32">
        <f t="shared" si="7"/>
        <v>78.721669655959559</v>
      </c>
      <c r="P9" s="32"/>
      <c r="Q9" s="32">
        <f t="shared" si="8"/>
        <v>67.25909016794391</v>
      </c>
      <c r="R9" s="32">
        <f t="shared" si="9"/>
        <v>78.577544515590176</v>
      </c>
      <c r="S9" s="32">
        <f t="shared" si="10"/>
        <v>78.721669655959559</v>
      </c>
    </row>
    <row r="10" spans="1:19" x14ac:dyDescent="0.25">
      <c r="A10" s="27">
        <v>1964</v>
      </c>
      <c r="B10" s="19">
        <v>1169.17</v>
      </c>
      <c r="C10" s="19">
        <v>0</v>
      </c>
      <c r="D10" s="19">
        <v>15.061</v>
      </c>
      <c r="E10" s="19">
        <f t="shared" si="2"/>
        <v>1184.231</v>
      </c>
      <c r="F10" s="17">
        <f t="shared" si="3"/>
        <v>0.98728204210158332</v>
      </c>
      <c r="G10" s="17">
        <f t="shared" si="4"/>
        <v>0</v>
      </c>
      <c r="H10" s="17">
        <f t="shared" si="5"/>
        <v>1.2717957898416779E-2</v>
      </c>
      <c r="I10" s="32">
        <v>9.6310000000000002</v>
      </c>
      <c r="J10" s="32">
        <v>0</v>
      </c>
      <c r="K10" s="32">
        <v>8.157</v>
      </c>
      <c r="L10" s="32">
        <f t="shared" si="1"/>
        <v>9.6122537300577342</v>
      </c>
      <c r="M10" s="32">
        <f t="shared" si="6"/>
        <v>9.6310000000000002</v>
      </c>
      <c r="N10" s="185">
        <v>12.67</v>
      </c>
      <c r="O10" s="32">
        <f t="shared" si="7"/>
        <v>76.014206787687456</v>
      </c>
      <c r="P10" s="32"/>
      <c r="Q10" s="32">
        <f t="shared" si="8"/>
        <v>64.380426203630634</v>
      </c>
      <c r="R10" s="32">
        <f t="shared" si="9"/>
        <v>75.866248856020007</v>
      </c>
      <c r="S10" s="32">
        <f t="shared" si="10"/>
        <v>76.014206787687456</v>
      </c>
    </row>
    <row r="11" spans="1:19" x14ac:dyDescent="0.25">
      <c r="A11" s="27">
        <v>1965</v>
      </c>
      <c r="B11" s="19">
        <v>1285.99</v>
      </c>
      <c r="C11" s="19">
        <v>0</v>
      </c>
      <c r="D11" s="19">
        <v>16.329000000000001</v>
      </c>
      <c r="E11" s="19">
        <f t="shared" si="2"/>
        <v>1302.319</v>
      </c>
      <c r="F11" s="17">
        <f t="shared" si="3"/>
        <v>0.98746159735057237</v>
      </c>
      <c r="G11" s="17">
        <f t="shared" si="4"/>
        <v>0</v>
      </c>
      <c r="H11" s="17">
        <f t="shared" si="5"/>
        <v>1.2538402649427675E-2</v>
      </c>
      <c r="I11" s="32">
        <v>9.5619999999999994</v>
      </c>
      <c r="J11" s="32">
        <v>0</v>
      </c>
      <c r="K11" s="32">
        <v>8.0239999999999991</v>
      </c>
      <c r="L11" s="32">
        <f t="shared" si="1"/>
        <v>9.5427159367251804</v>
      </c>
      <c r="M11" s="32">
        <f t="shared" si="6"/>
        <v>9.5619999999999994</v>
      </c>
      <c r="N11" s="185">
        <v>13.005000000000001</v>
      </c>
      <c r="O11" s="32">
        <f t="shared" si="7"/>
        <v>73.525567089580917</v>
      </c>
      <c r="P11" s="32"/>
      <c r="Q11" s="32">
        <f t="shared" si="8"/>
        <v>61.699346405228745</v>
      </c>
      <c r="R11" s="32">
        <f t="shared" si="9"/>
        <v>73.377285172819526</v>
      </c>
      <c r="S11" s="32">
        <f t="shared" si="10"/>
        <v>73.525567089580917</v>
      </c>
    </row>
    <row r="12" spans="1:19" x14ac:dyDescent="0.25">
      <c r="A12" s="27">
        <v>1966</v>
      </c>
      <c r="B12" s="19">
        <v>1426.46</v>
      </c>
      <c r="C12" s="19">
        <v>0</v>
      </c>
      <c r="D12" s="19">
        <v>18.103000000000002</v>
      </c>
      <c r="E12" s="19">
        <f t="shared" si="2"/>
        <v>1444.5630000000001</v>
      </c>
      <c r="F12" s="17">
        <f t="shared" si="3"/>
        <v>0.98746818241918144</v>
      </c>
      <c r="G12" s="17">
        <f t="shared" si="4"/>
        <v>0</v>
      </c>
      <c r="H12" s="17">
        <f t="shared" si="5"/>
        <v>1.2531817580818559E-2</v>
      </c>
      <c r="I12" s="32">
        <v>9.5640000000000001</v>
      </c>
      <c r="J12" s="32">
        <v>0</v>
      </c>
      <c r="K12" s="32">
        <v>8.0280000000000005</v>
      </c>
      <c r="L12" s="32">
        <f t="shared" si="1"/>
        <v>9.5447511281958626</v>
      </c>
      <c r="M12" s="32">
        <f t="shared" si="6"/>
        <v>9.5640000000000001</v>
      </c>
      <c r="N12" s="185">
        <v>13.397</v>
      </c>
      <c r="O12" s="32">
        <f t="shared" si="7"/>
        <v>71.389116966485034</v>
      </c>
      <c r="P12" s="32"/>
      <c r="Q12" s="32">
        <f t="shared" si="8"/>
        <v>59.923863551541395</v>
      </c>
      <c r="R12" s="32">
        <f t="shared" si="9"/>
        <v>71.245436502171103</v>
      </c>
      <c r="S12" s="32">
        <f t="shared" si="10"/>
        <v>71.389116966485034</v>
      </c>
    </row>
    <row r="13" spans="1:19" x14ac:dyDescent="0.25">
      <c r="A13" s="27">
        <v>1967</v>
      </c>
      <c r="B13" s="19">
        <v>1606.44</v>
      </c>
      <c r="C13" s="19">
        <v>0</v>
      </c>
      <c r="D13" s="19">
        <v>20.13</v>
      </c>
      <c r="E13" s="19">
        <f t="shared" si="2"/>
        <v>1626.5700000000002</v>
      </c>
      <c r="F13" s="17">
        <f t="shared" si="3"/>
        <v>0.98762426455670516</v>
      </c>
      <c r="G13" s="17">
        <f t="shared" si="4"/>
        <v>0</v>
      </c>
      <c r="H13" s="17">
        <f t="shared" si="5"/>
        <v>1.2375735443294783E-2</v>
      </c>
      <c r="I13" s="32">
        <v>9.6929999999999996</v>
      </c>
      <c r="J13" s="32">
        <v>0</v>
      </c>
      <c r="K13" s="32">
        <v>8.09</v>
      </c>
      <c r="L13" s="32">
        <f t="shared" si="1"/>
        <v>9.6731616960843994</v>
      </c>
      <c r="M13" s="32">
        <f t="shared" si="6"/>
        <v>9.6929999999999996</v>
      </c>
      <c r="N13" s="185">
        <v>13.818</v>
      </c>
      <c r="O13" s="32">
        <f t="shared" si="7"/>
        <v>70.147633521493702</v>
      </c>
      <c r="P13" s="32"/>
      <c r="Q13" s="32">
        <f t="shared" si="8"/>
        <v>58.546822984512957</v>
      </c>
      <c r="R13" s="32">
        <f t="shared" si="9"/>
        <v>70.00406495936025</v>
      </c>
      <c r="S13" s="32">
        <f t="shared" si="10"/>
        <v>70.147633521493702</v>
      </c>
    </row>
    <row r="14" spans="1:19" x14ac:dyDescent="0.25">
      <c r="A14" s="27">
        <v>1968</v>
      </c>
      <c r="B14" s="19">
        <v>1780.97</v>
      </c>
      <c r="C14" s="19">
        <v>0</v>
      </c>
      <c r="D14" s="19">
        <v>22.655000000000001</v>
      </c>
      <c r="E14" s="19">
        <f t="shared" si="2"/>
        <v>1803.625</v>
      </c>
      <c r="F14" s="17">
        <f t="shared" si="3"/>
        <v>0.98743918497470373</v>
      </c>
      <c r="G14" s="17">
        <f t="shared" si="4"/>
        <v>0</v>
      </c>
      <c r="H14" s="17">
        <f t="shared" si="5"/>
        <v>1.2560815025296278E-2</v>
      </c>
      <c r="I14" s="32">
        <v>9.75</v>
      </c>
      <c r="J14" s="32">
        <v>0</v>
      </c>
      <c r="K14" s="32">
        <v>8.1649999999999991</v>
      </c>
      <c r="L14" s="32">
        <f t="shared" si="1"/>
        <v>9.7300911081849062</v>
      </c>
      <c r="M14" s="32">
        <f t="shared" si="6"/>
        <v>9.75</v>
      </c>
      <c r="N14" s="185">
        <v>14.513999999999999</v>
      </c>
      <c r="O14" s="32">
        <f t="shared" si="7"/>
        <v>67.176519222819351</v>
      </c>
      <c r="P14" s="32"/>
      <c r="Q14" s="32">
        <f t="shared" si="8"/>
        <v>56.256028661981532</v>
      </c>
      <c r="R14" s="32">
        <f t="shared" si="9"/>
        <v>67.039348960899176</v>
      </c>
      <c r="S14" s="32">
        <f t="shared" si="10"/>
        <v>67.176519222819351</v>
      </c>
    </row>
    <row r="15" spans="1:19" x14ac:dyDescent="0.25">
      <c r="A15" s="27">
        <v>1969</v>
      </c>
      <c r="B15" s="19">
        <v>2053.8200000000002</v>
      </c>
      <c r="C15" s="19">
        <v>0</v>
      </c>
      <c r="D15" s="19">
        <v>26.457000000000001</v>
      </c>
      <c r="E15" s="19">
        <f t="shared" si="2"/>
        <v>2080.277</v>
      </c>
      <c r="F15" s="17">
        <f t="shared" si="3"/>
        <v>0.98728198215910679</v>
      </c>
      <c r="G15" s="17">
        <f t="shared" si="4"/>
        <v>0</v>
      </c>
      <c r="H15" s="17">
        <f t="shared" si="5"/>
        <v>1.2718017840893305E-2</v>
      </c>
      <c r="I15" s="32">
        <v>10.478</v>
      </c>
      <c r="J15" s="32">
        <v>0</v>
      </c>
      <c r="K15" s="32">
        <v>8.3559999999999999</v>
      </c>
      <c r="L15" s="32">
        <f t="shared" si="1"/>
        <v>10.451012366141626</v>
      </c>
      <c r="M15" s="32">
        <f t="shared" si="6"/>
        <v>10.478000000000002</v>
      </c>
      <c r="N15" s="185">
        <v>15.544</v>
      </c>
      <c r="O15" s="32">
        <f t="shared" si="7"/>
        <v>67.408646423057121</v>
      </c>
      <c r="P15" s="32"/>
      <c r="Q15" s="32">
        <f t="shared" si="8"/>
        <v>53.757076685537825</v>
      </c>
      <c r="R15" s="32">
        <f t="shared" si="9"/>
        <v>67.235025515579167</v>
      </c>
      <c r="S15" s="32">
        <f t="shared" si="10"/>
        <v>67.408646423057135</v>
      </c>
    </row>
    <row r="16" spans="1:19" x14ac:dyDescent="0.25">
      <c r="A16" s="27">
        <v>1970</v>
      </c>
      <c r="B16" s="19">
        <v>2280.4699999999998</v>
      </c>
      <c r="C16" s="19">
        <v>0</v>
      </c>
      <c r="D16" s="19">
        <v>29.742999999999999</v>
      </c>
      <c r="E16" s="19">
        <f t="shared" si="2"/>
        <v>2310.2129999999997</v>
      </c>
      <c r="F16" s="17">
        <f t="shared" si="3"/>
        <v>0.9871254295599583</v>
      </c>
      <c r="G16" s="17">
        <f t="shared" si="4"/>
        <v>0</v>
      </c>
      <c r="H16" s="17">
        <f t="shared" si="5"/>
        <v>1.2874570440041677E-2</v>
      </c>
      <c r="I16" s="32">
        <v>10.579000000000001</v>
      </c>
      <c r="J16" s="32">
        <v>0</v>
      </c>
      <c r="K16" s="32">
        <v>8.5250000000000004</v>
      </c>
      <c r="L16" s="32">
        <f t="shared" si="1"/>
        <v>10.552555632316155</v>
      </c>
      <c r="M16" s="32">
        <f t="shared" si="6"/>
        <v>10.579000000000001</v>
      </c>
      <c r="N16" s="185">
        <v>16.324000000000002</v>
      </c>
      <c r="O16" s="32">
        <f t="shared" si="7"/>
        <v>64.806419995099233</v>
      </c>
      <c r="P16" s="32"/>
      <c r="Q16" s="32">
        <f t="shared" si="8"/>
        <v>52.223719676549862</v>
      </c>
      <c r="R16" s="32">
        <f t="shared" si="9"/>
        <v>64.644423133522139</v>
      </c>
      <c r="S16" s="32">
        <f t="shared" si="10"/>
        <v>64.806419995099233</v>
      </c>
    </row>
    <row r="17" spans="1:19" x14ac:dyDescent="0.25">
      <c r="A17" s="27">
        <v>1971</v>
      </c>
      <c r="B17" s="19">
        <v>2600.4499999999998</v>
      </c>
      <c r="C17" s="19">
        <v>0</v>
      </c>
      <c r="D17" s="19">
        <v>32.024000000000001</v>
      </c>
      <c r="E17" s="19">
        <f t="shared" si="2"/>
        <v>2632.4739999999997</v>
      </c>
      <c r="F17" s="17">
        <f t="shared" si="3"/>
        <v>0.98783501755382963</v>
      </c>
      <c r="G17" s="17">
        <f t="shared" si="4"/>
        <v>0</v>
      </c>
      <c r="H17" s="17">
        <f t="shared" si="5"/>
        <v>1.2164982446170411E-2</v>
      </c>
      <c r="I17" s="32">
        <v>11.023999999999999</v>
      </c>
      <c r="J17" s="32">
        <v>0</v>
      </c>
      <c r="K17" s="32">
        <v>9.1479999999999997</v>
      </c>
      <c r="L17" s="32">
        <f t="shared" si="1"/>
        <v>11.001178492930984</v>
      </c>
      <c r="M17" s="32">
        <f t="shared" si="6"/>
        <v>11.023999999999999</v>
      </c>
      <c r="N17" s="185">
        <v>17.247</v>
      </c>
      <c r="O17" s="32">
        <f t="shared" si="7"/>
        <v>63.918362613787899</v>
      </c>
      <c r="P17" s="32"/>
      <c r="Q17" s="32">
        <f t="shared" si="8"/>
        <v>53.041108598596857</v>
      </c>
      <c r="R17" s="32">
        <f t="shared" si="9"/>
        <v>63.786041009630573</v>
      </c>
      <c r="S17" s="32">
        <f t="shared" si="10"/>
        <v>63.918362613787899</v>
      </c>
    </row>
    <row r="18" spans="1:19" x14ac:dyDescent="0.25">
      <c r="A18" s="27">
        <v>1972</v>
      </c>
      <c r="B18" s="19">
        <v>2889.94</v>
      </c>
      <c r="C18" s="19">
        <v>0</v>
      </c>
      <c r="D18" s="19">
        <v>32.277000000000001</v>
      </c>
      <c r="E18" s="19">
        <f t="shared" si="2"/>
        <v>2922.2170000000001</v>
      </c>
      <c r="F18" s="17">
        <f t="shared" si="3"/>
        <v>0.9889546190443762</v>
      </c>
      <c r="G18" s="17">
        <f t="shared" si="4"/>
        <v>0</v>
      </c>
      <c r="H18" s="17">
        <f t="shared" si="5"/>
        <v>1.1045380955623761E-2</v>
      </c>
      <c r="I18" s="32">
        <v>11.023999999999999</v>
      </c>
      <c r="J18" s="32">
        <v>0</v>
      </c>
      <c r="K18" s="32">
        <v>9.2200000000000006</v>
      </c>
      <c r="L18" s="32">
        <f t="shared" si="1"/>
        <v>11.004074132756054</v>
      </c>
      <c r="M18" s="32">
        <f t="shared" si="6"/>
        <v>11.023999999999999</v>
      </c>
      <c r="N18" s="185">
        <v>18.257999999999999</v>
      </c>
      <c r="O18" s="32">
        <f t="shared" si="7"/>
        <v>60.379011939971512</v>
      </c>
      <c r="P18" s="32"/>
      <c r="Q18" s="32">
        <f t="shared" si="8"/>
        <v>50.498411655164865</v>
      </c>
      <c r="R18" s="32">
        <f t="shared" si="9"/>
        <v>60.269876945755584</v>
      </c>
      <c r="S18" s="32">
        <f t="shared" si="10"/>
        <v>60.379011939971512</v>
      </c>
    </row>
    <row r="19" spans="1:19" x14ac:dyDescent="0.25">
      <c r="A19" s="27">
        <v>1973</v>
      </c>
      <c r="B19" s="19">
        <v>3277.74</v>
      </c>
      <c r="C19" s="19">
        <v>0</v>
      </c>
      <c r="D19" s="19">
        <v>34.685000000000002</v>
      </c>
      <c r="E19" s="19">
        <f t="shared" si="2"/>
        <v>3312.4249999999997</v>
      </c>
      <c r="F19" s="17">
        <f t="shared" si="3"/>
        <v>0.98952881952044203</v>
      </c>
      <c r="G19" s="17">
        <f t="shared" si="4"/>
        <v>0</v>
      </c>
      <c r="H19" s="17">
        <f t="shared" si="5"/>
        <v>1.0471180479558029E-2</v>
      </c>
      <c r="I19" s="32">
        <v>11.443</v>
      </c>
      <c r="J19" s="32">
        <v>0</v>
      </c>
      <c r="K19" s="32">
        <v>9.4979999999999993</v>
      </c>
      <c r="L19" s="32">
        <f t="shared" si="1"/>
        <v>11.422633553967259</v>
      </c>
      <c r="M19" s="32">
        <f t="shared" si="6"/>
        <v>11.443</v>
      </c>
      <c r="N19" s="185">
        <v>19.585999999999999</v>
      </c>
      <c r="O19" s="32">
        <f t="shared" si="7"/>
        <v>58.424384764627796</v>
      </c>
      <c r="P19" s="32"/>
      <c r="Q19" s="32">
        <f t="shared" si="8"/>
        <v>48.493822117839272</v>
      </c>
      <c r="R19" s="32">
        <f t="shared" si="9"/>
        <v>58.320400050889717</v>
      </c>
      <c r="S19" s="32">
        <f t="shared" si="10"/>
        <v>58.424384764627796</v>
      </c>
    </row>
    <row r="20" spans="1:19" x14ac:dyDescent="0.25">
      <c r="A20" s="27">
        <v>1974</v>
      </c>
      <c r="B20" s="19">
        <v>4374.42</v>
      </c>
      <c r="C20" s="19">
        <v>0</v>
      </c>
      <c r="D20" s="19">
        <v>52.154000000000003</v>
      </c>
      <c r="E20" s="19">
        <f t="shared" si="2"/>
        <v>4426.5740000000005</v>
      </c>
      <c r="F20" s="17">
        <f t="shared" si="3"/>
        <v>0.9882179762498039</v>
      </c>
      <c r="G20" s="17">
        <f t="shared" si="4"/>
        <v>0</v>
      </c>
      <c r="H20" s="17">
        <f t="shared" si="5"/>
        <v>1.1782023750195976E-2</v>
      </c>
      <c r="I20" s="32">
        <v>16.145</v>
      </c>
      <c r="J20" s="32">
        <v>0</v>
      </c>
      <c r="K20" s="32">
        <v>12.68</v>
      </c>
      <c r="L20" s="32">
        <f t="shared" si="1"/>
        <v>16.104175287705573</v>
      </c>
      <c r="M20" s="32">
        <f t="shared" si="6"/>
        <v>16.145</v>
      </c>
      <c r="N20" s="185">
        <v>22.402999999999999</v>
      </c>
      <c r="O20" s="32">
        <f t="shared" si="7"/>
        <v>72.066241128420302</v>
      </c>
      <c r="P20" s="32"/>
      <c r="Q20" s="32">
        <f t="shared" si="8"/>
        <v>56.599562558585909</v>
      </c>
      <c r="R20" s="32">
        <f t="shared" si="9"/>
        <v>71.884012354173876</v>
      </c>
      <c r="S20" s="32">
        <f t="shared" si="10"/>
        <v>72.066241128420302</v>
      </c>
    </row>
    <row r="21" spans="1:19" x14ac:dyDescent="0.25">
      <c r="A21" s="27">
        <v>1975</v>
      </c>
      <c r="B21" s="19">
        <v>4818.53</v>
      </c>
      <c r="C21" s="19">
        <v>0</v>
      </c>
      <c r="D21" s="19">
        <v>65.188000000000002</v>
      </c>
      <c r="E21" s="19">
        <f t="shared" si="2"/>
        <v>4883.7179999999998</v>
      </c>
      <c r="F21" s="17">
        <f t="shared" si="3"/>
        <v>0.98665197294356466</v>
      </c>
      <c r="G21" s="17">
        <f t="shared" si="4"/>
        <v>0</v>
      </c>
      <c r="H21" s="17">
        <f t="shared" si="5"/>
        <v>1.3348027056435282E-2</v>
      </c>
      <c r="I21" s="32">
        <v>16.806999999999999</v>
      </c>
      <c r="J21" s="32">
        <v>0</v>
      </c>
      <c r="K21" s="32">
        <v>13.541</v>
      </c>
      <c r="L21" s="32">
        <f t="shared" si="1"/>
        <v>16.763405343633682</v>
      </c>
      <c r="M21" s="32">
        <f t="shared" si="6"/>
        <v>16.806999999999999</v>
      </c>
      <c r="N21" s="185">
        <v>25.015000000000001</v>
      </c>
      <c r="O21" s="32">
        <f t="shared" si="7"/>
        <v>67.187687387567451</v>
      </c>
      <c r="P21" s="32"/>
      <c r="Q21" s="32">
        <f t="shared" si="8"/>
        <v>54.131521087347593</v>
      </c>
      <c r="R21" s="32">
        <f t="shared" si="9"/>
        <v>67.01341332653881</v>
      </c>
      <c r="S21" s="32">
        <f t="shared" si="10"/>
        <v>67.187687387567451</v>
      </c>
    </row>
    <row r="22" spans="1:19" x14ac:dyDescent="0.25">
      <c r="A22" s="27">
        <v>1976</v>
      </c>
      <c r="B22" s="19">
        <v>5524.76</v>
      </c>
      <c r="C22" s="19">
        <v>0</v>
      </c>
      <c r="D22" s="19">
        <v>86.457999999999998</v>
      </c>
      <c r="E22" s="19">
        <f t="shared" si="2"/>
        <v>5611.2179999999998</v>
      </c>
      <c r="F22" s="17">
        <f t="shared" si="3"/>
        <v>0.98459193708032733</v>
      </c>
      <c r="G22" s="17">
        <f t="shared" si="4"/>
        <v>0</v>
      </c>
      <c r="H22" s="17">
        <f t="shared" si="5"/>
        <v>1.5408062919672699E-2</v>
      </c>
      <c r="I22" s="32">
        <v>18.202000000000002</v>
      </c>
      <c r="J22" s="32">
        <v>0</v>
      </c>
      <c r="K22" s="32">
        <v>14.909000000000001</v>
      </c>
      <c r="L22" s="32">
        <f t="shared" si="1"/>
        <v>18.151261248805518</v>
      </c>
      <c r="M22" s="32">
        <f t="shared" si="6"/>
        <v>18.202000000000002</v>
      </c>
      <c r="N22" s="185">
        <v>27.425999999999998</v>
      </c>
      <c r="O22" s="32">
        <f t="shared" si="7"/>
        <v>66.367680303361794</v>
      </c>
      <c r="P22" s="32"/>
      <c r="Q22" s="32">
        <f t="shared" si="8"/>
        <v>54.360825494056741</v>
      </c>
      <c r="R22" s="32">
        <f t="shared" si="9"/>
        <v>66.182677928992632</v>
      </c>
      <c r="S22" s="32">
        <f t="shared" si="10"/>
        <v>66.367680303361794</v>
      </c>
    </row>
    <row r="23" spans="1:19" x14ac:dyDescent="0.25">
      <c r="A23" s="27">
        <v>1977</v>
      </c>
      <c r="B23" s="19">
        <v>6357.91</v>
      </c>
      <c r="C23" s="19">
        <v>0</v>
      </c>
      <c r="D23" s="19">
        <v>118.319</v>
      </c>
      <c r="E23" s="19">
        <f t="shared" si="2"/>
        <v>6476.2290000000003</v>
      </c>
      <c r="F23" s="17">
        <f t="shared" si="3"/>
        <v>0.98173026308983202</v>
      </c>
      <c r="G23" s="17">
        <f t="shared" si="4"/>
        <v>0</v>
      </c>
      <c r="H23" s="17">
        <f t="shared" si="5"/>
        <v>1.8269736910167939E-2</v>
      </c>
      <c r="I23" s="32">
        <v>21.350999999999999</v>
      </c>
      <c r="J23" s="32">
        <v>0</v>
      </c>
      <c r="K23" s="32">
        <v>16.414000000000001</v>
      </c>
      <c r="L23" s="32">
        <f t="shared" si="1"/>
        <v>21.260802308874499</v>
      </c>
      <c r="M23" s="32">
        <f t="shared" si="6"/>
        <v>21.350999999999999</v>
      </c>
      <c r="N23" s="185">
        <v>29.984999999999999</v>
      </c>
      <c r="O23" s="32">
        <f t="shared" si="7"/>
        <v>71.205602801400701</v>
      </c>
      <c r="P23" s="32"/>
      <c r="Q23" s="32">
        <f t="shared" si="8"/>
        <v>54.740703685175923</v>
      </c>
      <c r="R23" s="32">
        <f t="shared" si="9"/>
        <v>70.904793426294816</v>
      </c>
      <c r="S23" s="32">
        <f t="shared" si="10"/>
        <v>71.205602801400701</v>
      </c>
    </row>
    <row r="24" spans="1:19" x14ac:dyDescent="0.25">
      <c r="A24" s="27">
        <v>1978</v>
      </c>
      <c r="B24" s="19">
        <v>7322</v>
      </c>
      <c r="C24" s="19">
        <v>0</v>
      </c>
      <c r="D24" s="19">
        <v>164.48</v>
      </c>
      <c r="E24" s="19">
        <f t="shared" si="2"/>
        <v>7486.48</v>
      </c>
      <c r="F24" s="17">
        <f t="shared" si="3"/>
        <v>0.97802972825680434</v>
      </c>
      <c r="G24" s="17">
        <f t="shared" si="4"/>
        <v>0</v>
      </c>
      <c r="H24" s="17">
        <f t="shared" si="5"/>
        <v>2.1970271743195734E-2</v>
      </c>
      <c r="I24" s="32">
        <v>23.542000000000002</v>
      </c>
      <c r="J24" s="32">
        <v>0</v>
      </c>
      <c r="K24" s="32">
        <v>18.082000000000001</v>
      </c>
      <c r="L24" s="32">
        <f t="shared" si="1"/>
        <v>23.422042316282152</v>
      </c>
      <c r="M24" s="32">
        <f t="shared" si="6"/>
        <v>23.542000000000002</v>
      </c>
      <c r="N24" s="185">
        <v>32.594999999999999</v>
      </c>
      <c r="O24" s="32">
        <f t="shared" si="7"/>
        <v>72.225801503298058</v>
      </c>
      <c r="P24" s="32"/>
      <c r="Q24" s="32">
        <f t="shared" si="8"/>
        <v>55.474766068415406</v>
      </c>
      <c r="R24" s="32">
        <f t="shared" si="9"/>
        <v>71.85777670281378</v>
      </c>
      <c r="S24" s="32">
        <f t="shared" si="10"/>
        <v>72.225801503298058</v>
      </c>
    </row>
    <row r="25" spans="1:19" x14ac:dyDescent="0.25">
      <c r="A25" s="27">
        <v>1979</v>
      </c>
      <c r="B25" s="19">
        <v>8425.02</v>
      </c>
      <c r="C25" s="19">
        <v>0</v>
      </c>
      <c r="D25" s="19">
        <v>241.833</v>
      </c>
      <c r="E25" s="19">
        <f t="shared" si="2"/>
        <v>8666.853000000001</v>
      </c>
      <c r="F25" s="17">
        <f t="shared" si="3"/>
        <v>0.97209679222665935</v>
      </c>
      <c r="G25" s="17">
        <f t="shared" si="4"/>
        <v>0</v>
      </c>
      <c r="H25" s="17">
        <f t="shared" si="5"/>
        <v>2.7903207773340561E-2</v>
      </c>
      <c r="I25" s="32">
        <v>27.053000000000001</v>
      </c>
      <c r="J25" s="32">
        <v>0</v>
      </c>
      <c r="K25" s="32">
        <v>22.359000000000002</v>
      </c>
      <c r="L25" s="32">
        <f t="shared" si="1"/>
        <v>26.922022342711941</v>
      </c>
      <c r="M25" s="32">
        <f t="shared" si="6"/>
        <v>27.053000000000001</v>
      </c>
      <c r="N25" s="185">
        <v>36.158000000000001</v>
      </c>
      <c r="O25" s="32">
        <f t="shared" si="7"/>
        <v>74.818850600143818</v>
      </c>
      <c r="P25" s="32"/>
      <c r="Q25" s="32">
        <f t="shared" si="8"/>
        <v>61.83693788373251</v>
      </c>
      <c r="R25" s="32">
        <f t="shared" si="9"/>
        <v>74.456613592322412</v>
      </c>
      <c r="S25" s="32">
        <f t="shared" si="10"/>
        <v>74.818850600143818</v>
      </c>
    </row>
    <row r="26" spans="1:19" x14ac:dyDescent="0.25">
      <c r="A26" s="27">
        <v>1980</v>
      </c>
      <c r="B26" s="19">
        <v>9895.33</v>
      </c>
      <c r="C26" s="19">
        <v>0</v>
      </c>
      <c r="D26" s="19">
        <v>375.25799999999998</v>
      </c>
      <c r="E26" s="19">
        <f t="shared" si="2"/>
        <v>10270.588</v>
      </c>
      <c r="F26" s="17">
        <f t="shared" si="3"/>
        <v>0.96346285139662891</v>
      </c>
      <c r="G26" s="17">
        <f t="shared" si="4"/>
        <v>0</v>
      </c>
      <c r="H26" s="17">
        <f t="shared" si="5"/>
        <v>3.6537148603371102E-2</v>
      </c>
      <c r="I26" s="32">
        <v>31.439</v>
      </c>
      <c r="J26" s="32">
        <v>0</v>
      </c>
      <c r="K26" s="32">
        <v>27.838000000000001</v>
      </c>
      <c r="L26" s="32">
        <f t="shared" si="1"/>
        <v>31.30742972787926</v>
      </c>
      <c r="M26" s="32">
        <f t="shared" si="6"/>
        <v>31.438999999999997</v>
      </c>
      <c r="N26" s="185">
        <v>40.881999999999998</v>
      </c>
      <c r="O26" s="32">
        <f t="shared" si="7"/>
        <v>76.901814979697676</v>
      </c>
      <c r="P26" s="32"/>
      <c r="Q26" s="32">
        <f t="shared" si="8"/>
        <v>68.09353749816546</v>
      </c>
      <c r="R26" s="32">
        <f t="shared" si="9"/>
        <v>76.579985636415202</v>
      </c>
      <c r="S26" s="32">
        <f t="shared" si="10"/>
        <v>76.901814979697662</v>
      </c>
    </row>
    <row r="27" spans="1:19" x14ac:dyDescent="0.25">
      <c r="A27" s="27">
        <v>1981</v>
      </c>
      <c r="B27" s="19">
        <v>11606.72</v>
      </c>
      <c r="C27" s="19">
        <v>0</v>
      </c>
      <c r="D27" s="19">
        <v>549.65</v>
      </c>
      <c r="E27" s="19">
        <f t="shared" si="2"/>
        <v>12156.369999999999</v>
      </c>
      <c r="F27" s="17">
        <f t="shared" si="3"/>
        <v>0.95478502217356009</v>
      </c>
      <c r="G27" s="17">
        <f t="shared" si="4"/>
        <v>0</v>
      </c>
      <c r="H27" s="17">
        <f t="shared" si="5"/>
        <v>4.5214977826439968E-2</v>
      </c>
      <c r="I27" s="32">
        <v>35.813000000000002</v>
      </c>
      <c r="J27" s="32">
        <v>0</v>
      </c>
      <c r="K27" s="32">
        <v>33.122</v>
      </c>
      <c r="L27" s="32">
        <f t="shared" si="1"/>
        <v>35.691326494669056</v>
      </c>
      <c r="M27" s="32">
        <f t="shared" si="6"/>
        <v>35.813000000000002</v>
      </c>
      <c r="N27" s="185">
        <v>46.457000000000001</v>
      </c>
      <c r="O27" s="32">
        <f t="shared" si="7"/>
        <v>77.088490432012406</v>
      </c>
      <c r="P27" s="32"/>
      <c r="Q27" s="32">
        <f t="shared" si="8"/>
        <v>71.296037195686324</v>
      </c>
      <c r="R27" s="32">
        <f t="shared" si="9"/>
        <v>76.826584787371232</v>
      </c>
      <c r="S27" s="32">
        <f t="shared" si="10"/>
        <v>77.088490432012406</v>
      </c>
    </row>
    <row r="28" spans="1:19" x14ac:dyDescent="0.25">
      <c r="A28" s="27">
        <v>1982</v>
      </c>
      <c r="B28" s="19">
        <v>13366.84</v>
      </c>
      <c r="C28" s="19">
        <v>0</v>
      </c>
      <c r="D28" s="19">
        <v>761.94799999999998</v>
      </c>
      <c r="E28" s="19">
        <f t="shared" si="2"/>
        <v>14128.788</v>
      </c>
      <c r="F28" s="17">
        <f t="shared" si="3"/>
        <v>0.94607124121332986</v>
      </c>
      <c r="G28" s="17">
        <f t="shared" si="4"/>
        <v>0</v>
      </c>
      <c r="H28" s="17">
        <f t="shared" si="5"/>
        <v>5.392875878667016E-2</v>
      </c>
      <c r="I28" s="32">
        <v>40.682000000000002</v>
      </c>
      <c r="J28" s="32">
        <v>0</v>
      </c>
      <c r="K28" s="32">
        <v>38.484000000000002</v>
      </c>
      <c r="L28" s="32">
        <f t="shared" si="1"/>
        <v>40.563464588186903</v>
      </c>
      <c r="M28" s="32">
        <f t="shared" si="6"/>
        <v>40.682000000000002</v>
      </c>
      <c r="N28" s="185">
        <v>51.936999999999998</v>
      </c>
      <c r="O28" s="32">
        <f t="shared" si="7"/>
        <v>78.32951460423206</v>
      </c>
      <c r="P28" s="32"/>
      <c r="Q28" s="32">
        <f t="shared" si="8"/>
        <v>74.097464235516114</v>
      </c>
      <c r="R28" s="32">
        <f t="shared" si="9"/>
        <v>78.101285380724534</v>
      </c>
      <c r="S28" s="32">
        <f t="shared" si="10"/>
        <v>78.32951460423206</v>
      </c>
    </row>
    <row r="29" spans="1:19" x14ac:dyDescent="0.25">
      <c r="A29" s="27">
        <v>1983</v>
      </c>
      <c r="B29" s="19">
        <v>14382.03</v>
      </c>
      <c r="C29" s="19">
        <v>0</v>
      </c>
      <c r="D29" s="19">
        <v>924.50900000000001</v>
      </c>
      <c r="E29" s="19">
        <f t="shared" si="2"/>
        <v>15306.539000000001</v>
      </c>
      <c r="F29" s="17">
        <f t="shared" si="3"/>
        <v>0.9396003890886111</v>
      </c>
      <c r="G29" s="17">
        <f t="shared" si="4"/>
        <v>0</v>
      </c>
      <c r="H29" s="17">
        <f t="shared" si="5"/>
        <v>6.0399610911388915E-2</v>
      </c>
      <c r="I29" s="32">
        <v>43.542000000000002</v>
      </c>
      <c r="J29" s="32">
        <v>0</v>
      </c>
      <c r="K29" s="32">
        <v>41.918999999999997</v>
      </c>
      <c r="L29" s="32">
        <f t="shared" si="1"/>
        <v>43.443971431490823</v>
      </c>
      <c r="M29" s="32">
        <f t="shared" si="6"/>
        <v>43.542000000000002</v>
      </c>
      <c r="N29" s="185">
        <v>56.901000000000003</v>
      </c>
      <c r="O29" s="32">
        <f t="shared" si="7"/>
        <v>76.522380977487202</v>
      </c>
      <c r="P29" s="32"/>
      <c r="Q29" s="32">
        <f t="shared" si="8"/>
        <v>73.670058522697303</v>
      </c>
      <c r="R29" s="32">
        <f t="shared" si="9"/>
        <v>76.350101811024103</v>
      </c>
      <c r="S29" s="32">
        <f t="shared" si="10"/>
        <v>76.522380977487202</v>
      </c>
    </row>
    <row r="30" spans="1:19" x14ac:dyDescent="0.25">
      <c r="A30" s="27">
        <v>1984</v>
      </c>
      <c r="B30" s="19">
        <v>15643.66</v>
      </c>
      <c r="C30" s="19">
        <v>0</v>
      </c>
      <c r="D30" s="19">
        <v>1122.452</v>
      </c>
      <c r="E30" s="19">
        <f t="shared" si="2"/>
        <v>16766.112000000001</v>
      </c>
      <c r="F30" s="17">
        <f t="shared" si="3"/>
        <v>0.9330523379540826</v>
      </c>
      <c r="G30" s="17">
        <f t="shared" si="4"/>
        <v>0</v>
      </c>
      <c r="H30" s="17">
        <f t="shared" si="5"/>
        <v>6.6947662045917386E-2</v>
      </c>
      <c r="I30" s="32">
        <v>47.173999999999999</v>
      </c>
      <c r="J30" s="32">
        <v>0</v>
      </c>
      <c r="K30" s="32">
        <v>45.247999999999998</v>
      </c>
      <c r="L30" s="32">
        <f t="shared" si="1"/>
        <v>47.045058802899561</v>
      </c>
      <c r="M30" s="32">
        <f t="shared" si="6"/>
        <v>47.173999999999999</v>
      </c>
      <c r="N30" s="185">
        <v>61.4</v>
      </c>
      <c r="O30" s="32">
        <f t="shared" si="7"/>
        <v>76.830618892508141</v>
      </c>
      <c r="P30" s="32"/>
      <c r="Q30" s="32">
        <f t="shared" si="8"/>
        <v>73.693811074918571</v>
      </c>
      <c r="R30" s="32">
        <f t="shared" si="9"/>
        <v>76.620616942833152</v>
      </c>
      <c r="S30" s="32">
        <f t="shared" si="10"/>
        <v>76.830618892508141</v>
      </c>
    </row>
    <row r="31" spans="1:19" x14ac:dyDescent="0.25">
      <c r="A31" s="27">
        <v>1985</v>
      </c>
      <c r="B31" s="19">
        <v>17138.64</v>
      </c>
      <c r="C31" s="19">
        <v>0</v>
      </c>
      <c r="D31" s="19">
        <v>1417.335</v>
      </c>
      <c r="E31" s="19">
        <f t="shared" si="2"/>
        <v>18555.974999999999</v>
      </c>
      <c r="F31" s="17">
        <f t="shared" si="3"/>
        <v>0.92361840323669331</v>
      </c>
      <c r="G31" s="17">
        <f t="shared" si="4"/>
        <v>0</v>
      </c>
      <c r="H31" s="17">
        <f t="shared" si="5"/>
        <v>7.6381596763306706E-2</v>
      </c>
      <c r="I31" s="32">
        <v>52.235999999999997</v>
      </c>
      <c r="J31" s="32">
        <v>0</v>
      </c>
      <c r="K31" s="32">
        <v>52.149000000000001</v>
      </c>
      <c r="L31" s="32">
        <f t="shared" si="1"/>
        <v>52.229354801081591</v>
      </c>
      <c r="M31" s="32">
        <f t="shared" si="6"/>
        <v>52.235999999999997</v>
      </c>
      <c r="N31" s="185">
        <v>65.204999999999998</v>
      </c>
      <c r="O31" s="32">
        <f t="shared" si="7"/>
        <v>80.110420979986188</v>
      </c>
      <c r="P31" s="32"/>
      <c r="Q31" s="32">
        <f t="shared" si="8"/>
        <v>79.976995629169537</v>
      </c>
      <c r="R31" s="32">
        <f t="shared" si="9"/>
        <v>80.100229738642113</v>
      </c>
      <c r="S31" s="32">
        <f t="shared" si="10"/>
        <v>80.110420979986188</v>
      </c>
    </row>
    <row r="32" spans="1:19" x14ac:dyDescent="0.25">
      <c r="A32" s="27">
        <v>1986</v>
      </c>
      <c r="B32" s="19">
        <v>15460.95</v>
      </c>
      <c r="C32" s="19">
        <v>0</v>
      </c>
      <c r="D32" s="19">
        <v>1287.114</v>
      </c>
      <c r="E32" s="19">
        <f t="shared" si="2"/>
        <v>16748.064000000002</v>
      </c>
      <c r="F32" s="17">
        <f t="shared" si="3"/>
        <v>0.92314849047627234</v>
      </c>
      <c r="G32" s="17">
        <f t="shared" si="4"/>
        <v>0</v>
      </c>
      <c r="H32" s="17">
        <f t="shared" si="5"/>
        <v>7.6851509523727629E-2</v>
      </c>
      <c r="I32" s="32">
        <v>45.603999999999999</v>
      </c>
      <c r="J32" s="32">
        <v>0</v>
      </c>
      <c r="K32" s="32">
        <v>42.749000000000002</v>
      </c>
      <c r="L32" s="32">
        <f t="shared" si="1"/>
        <v>45.384588940309754</v>
      </c>
      <c r="M32" s="32">
        <f t="shared" si="6"/>
        <v>45.603999999999999</v>
      </c>
      <c r="N32" s="185">
        <v>66.965000000000003</v>
      </c>
      <c r="O32" s="32">
        <f t="shared" si="7"/>
        <v>68.10124692003285</v>
      </c>
      <c r="P32" s="32"/>
      <c r="Q32" s="32">
        <f t="shared" si="8"/>
        <v>63.837825729858885</v>
      </c>
      <c r="R32" s="32">
        <f t="shared" si="9"/>
        <v>67.77359656583252</v>
      </c>
      <c r="S32" s="32">
        <f t="shared" si="10"/>
        <v>68.10124692003285</v>
      </c>
    </row>
    <row r="33" spans="1:19" x14ac:dyDescent="0.25">
      <c r="A33" s="27">
        <v>1987</v>
      </c>
      <c r="B33" s="19">
        <v>15541.89</v>
      </c>
      <c r="C33" s="19">
        <v>0</v>
      </c>
      <c r="D33" s="19">
        <v>1394.326</v>
      </c>
      <c r="E33" s="19">
        <f t="shared" si="2"/>
        <v>16936.216</v>
      </c>
      <c r="F33" s="17">
        <f t="shared" si="3"/>
        <v>0.9176719286055397</v>
      </c>
      <c r="G33" s="17">
        <f t="shared" si="4"/>
        <v>0</v>
      </c>
      <c r="H33" s="17">
        <f t="shared" si="5"/>
        <v>8.2328071394460245E-2</v>
      </c>
      <c r="I33" s="32">
        <v>46.11</v>
      </c>
      <c r="J33" s="32">
        <v>0</v>
      </c>
      <c r="K33" s="32">
        <v>41.725999999999999</v>
      </c>
      <c r="L33" s="32">
        <f t="shared" si="1"/>
        <v>45.749073735006682</v>
      </c>
      <c r="M33" s="32">
        <f t="shared" si="6"/>
        <v>46.11</v>
      </c>
      <c r="N33" s="185">
        <v>68.972999999999999</v>
      </c>
      <c r="O33" s="32">
        <f t="shared" si="7"/>
        <v>66.852246531251353</v>
      </c>
      <c r="P33" s="32"/>
      <c r="Q33" s="32">
        <f t="shared" si="8"/>
        <v>60.496136169225643</v>
      </c>
      <c r="R33" s="32">
        <f t="shared" si="9"/>
        <v>66.328960223575436</v>
      </c>
      <c r="S33" s="32">
        <f t="shared" si="10"/>
        <v>66.852246531251353</v>
      </c>
    </row>
    <row r="34" spans="1:19" x14ac:dyDescent="0.25">
      <c r="A34" s="27">
        <v>1988</v>
      </c>
      <c r="B34" s="19">
        <v>15984.53</v>
      </c>
      <c r="C34" s="19">
        <v>0</v>
      </c>
      <c r="D34" s="19">
        <v>1598.3340000000001</v>
      </c>
      <c r="E34" s="19">
        <f t="shared" si="2"/>
        <v>17582.864000000001</v>
      </c>
      <c r="F34" s="17">
        <f t="shared" si="3"/>
        <v>0.90909706177560146</v>
      </c>
      <c r="G34" s="17">
        <f t="shared" si="4"/>
        <v>0</v>
      </c>
      <c r="H34" s="17">
        <f t="shared" si="5"/>
        <v>9.0902938224398475E-2</v>
      </c>
      <c r="I34" s="32">
        <v>46.527999999999999</v>
      </c>
      <c r="J34" s="32">
        <v>0</v>
      </c>
      <c r="K34" s="32">
        <v>41.261000000000003</v>
      </c>
      <c r="L34" s="32">
        <f t="shared" si="1"/>
        <v>46.049214224372093</v>
      </c>
      <c r="M34" s="32">
        <f t="shared" si="6"/>
        <v>46.527999999999999</v>
      </c>
      <c r="N34" s="185">
        <v>70.828999999999994</v>
      </c>
      <c r="O34" s="32">
        <f t="shared" si="7"/>
        <v>65.690606954778417</v>
      </c>
      <c r="P34" s="32"/>
      <c r="Q34" s="32">
        <f t="shared" si="8"/>
        <v>58.254387327224734</v>
      </c>
      <c r="R34" s="32">
        <f t="shared" si="9"/>
        <v>65.014632741351846</v>
      </c>
      <c r="S34" s="32">
        <f t="shared" si="10"/>
        <v>65.690606954778417</v>
      </c>
    </row>
    <row r="35" spans="1:19" x14ac:dyDescent="0.25">
      <c r="A35" s="27">
        <v>1989</v>
      </c>
      <c r="B35" s="19">
        <v>17058.25</v>
      </c>
      <c r="C35" s="19">
        <v>4.5069999999999997</v>
      </c>
      <c r="D35" s="19">
        <v>2026.2159999999999</v>
      </c>
      <c r="E35" s="19">
        <f t="shared" si="2"/>
        <v>19088.972999999998</v>
      </c>
      <c r="F35" s="17">
        <f t="shared" si="3"/>
        <v>0.89361800658422019</v>
      </c>
      <c r="G35" s="17">
        <f t="shared" si="4"/>
        <v>2.3610489679041404E-4</v>
      </c>
      <c r="H35" s="17">
        <f t="shared" si="5"/>
        <v>0.10614588851898947</v>
      </c>
      <c r="I35" s="32">
        <v>49.698</v>
      </c>
      <c r="J35" s="32">
        <v>54.9</v>
      </c>
      <c r="K35" s="32">
        <v>43.497999999999998</v>
      </c>
      <c r="L35" s="32">
        <f t="shared" si="1"/>
        <v>49.041123708855373</v>
      </c>
      <c r="M35" s="32">
        <f t="shared" si="6"/>
        <v>49.699374069501204</v>
      </c>
      <c r="N35" s="185">
        <v>73.545000000000002</v>
      </c>
      <c r="O35" s="32">
        <f t="shared" si="7"/>
        <v>67.574954109728736</v>
      </c>
      <c r="P35" s="32">
        <f t="shared" ref="P35:P55" si="11">100*J35/$N35</f>
        <v>74.648174586987551</v>
      </c>
      <c r="Q35" s="32">
        <f t="shared" si="8"/>
        <v>59.144741314841255</v>
      </c>
      <c r="R35" s="32">
        <f t="shared" si="9"/>
        <v>66.681791704202013</v>
      </c>
      <c r="S35" s="32">
        <f t="shared" si="10"/>
        <v>67.576822448162616</v>
      </c>
    </row>
    <row r="36" spans="1:19" x14ac:dyDescent="0.25">
      <c r="A36" s="27">
        <v>1990</v>
      </c>
      <c r="B36" s="19">
        <v>14882.21</v>
      </c>
      <c r="C36" s="19">
        <v>2378.9110000000001</v>
      </c>
      <c r="D36" s="19">
        <v>2549.2460000000001</v>
      </c>
      <c r="E36" s="19">
        <f t="shared" si="2"/>
        <v>19810.366999999998</v>
      </c>
      <c r="F36" s="17">
        <f t="shared" si="3"/>
        <v>0.75123343247502683</v>
      </c>
      <c r="G36" s="17">
        <f t="shared" si="4"/>
        <v>0.12008414584141729</v>
      </c>
      <c r="H36" s="17">
        <f t="shared" si="5"/>
        <v>0.1286824216835559</v>
      </c>
      <c r="I36" s="32">
        <v>51.326000000000001</v>
      </c>
      <c r="J36" s="32">
        <v>56.698</v>
      </c>
      <c r="K36" s="32">
        <v>46.008000000000003</v>
      </c>
      <c r="L36" s="32">
        <f t="shared" si="1"/>
        <v>51.286758912946944</v>
      </c>
      <c r="M36" s="32">
        <f t="shared" si="6"/>
        <v>52.066363843808297</v>
      </c>
      <c r="N36" s="185">
        <v>75.656999999999996</v>
      </c>
      <c r="O36" s="32">
        <f t="shared" si="7"/>
        <v>67.840384894986599</v>
      </c>
      <c r="P36" s="32">
        <f t="shared" si="11"/>
        <v>74.940851474417443</v>
      </c>
      <c r="Q36" s="32">
        <f t="shared" si="8"/>
        <v>60.811293072683299</v>
      </c>
      <c r="R36" s="32">
        <f t="shared" si="9"/>
        <v>67.78851780132301</v>
      </c>
      <c r="S36" s="32">
        <f t="shared" si="10"/>
        <v>68.818964330872618</v>
      </c>
    </row>
    <row r="37" spans="1:19" x14ac:dyDescent="0.25">
      <c r="A37" s="27">
        <v>1991</v>
      </c>
      <c r="B37" s="19">
        <v>12948.3</v>
      </c>
      <c r="C37" s="19">
        <v>4165.8270000000002</v>
      </c>
      <c r="D37" s="19">
        <v>2972.3760000000002</v>
      </c>
      <c r="E37" s="19">
        <f t="shared" si="2"/>
        <v>20086.503000000001</v>
      </c>
      <c r="F37" s="17">
        <f t="shared" si="3"/>
        <v>0.64462689199807444</v>
      </c>
      <c r="G37" s="17">
        <f t="shared" si="4"/>
        <v>0.20739433837736715</v>
      </c>
      <c r="H37" s="17">
        <f t="shared" si="5"/>
        <v>0.14797876962455836</v>
      </c>
      <c r="I37" s="32">
        <v>51.654000000000003</v>
      </c>
      <c r="J37" s="32">
        <v>55.688000000000002</v>
      </c>
      <c r="K37" s="32">
        <v>46.651000000000003</v>
      </c>
      <c r="L37" s="32">
        <f t="shared" si="1"/>
        <v>51.75029097658264</v>
      </c>
      <c r="M37" s="32">
        <f t="shared" si="6"/>
        <v>52.635934171576501</v>
      </c>
      <c r="N37" s="185">
        <v>77.724000000000004</v>
      </c>
      <c r="O37" s="32">
        <f t="shared" si="7"/>
        <v>66.458236838042311</v>
      </c>
      <c r="P37" s="32">
        <f t="shared" si="11"/>
        <v>71.648396891565028</v>
      </c>
      <c r="Q37" s="32">
        <f t="shared" si="8"/>
        <v>60.021357624414598</v>
      </c>
      <c r="R37" s="32">
        <f t="shared" si="9"/>
        <v>66.582125182160766</v>
      </c>
      <c r="S37" s="32">
        <f t="shared" si="10"/>
        <v>67.721597153487338</v>
      </c>
    </row>
    <row r="38" spans="1:19" x14ac:dyDescent="0.25">
      <c r="A38" s="27">
        <v>1992</v>
      </c>
      <c r="B38" s="19">
        <v>11173.75</v>
      </c>
      <c r="C38" s="19">
        <v>5316.8230000000003</v>
      </c>
      <c r="D38" s="19">
        <v>3290.9279999999999</v>
      </c>
      <c r="E38" s="19">
        <f t="shared" si="2"/>
        <v>19781.501</v>
      </c>
      <c r="F38" s="17">
        <f t="shared" si="3"/>
        <v>0.56485855143146113</v>
      </c>
      <c r="G38" s="17">
        <f t="shared" si="4"/>
        <v>0.26877753108826274</v>
      </c>
      <c r="H38" s="17">
        <f t="shared" si="5"/>
        <v>0.16636391748027612</v>
      </c>
      <c r="I38" s="32">
        <v>50.704000000000001</v>
      </c>
      <c r="J38" s="32">
        <v>54.457999999999998</v>
      </c>
      <c r="K38" s="32">
        <v>44.973999999999997</v>
      </c>
      <c r="L38" s="32">
        <f t="shared" si="1"/>
        <v>50.759725604543348</v>
      </c>
      <c r="M38" s="32">
        <f t="shared" si="6"/>
        <v>51.914349303326205</v>
      </c>
      <c r="N38" s="185">
        <v>79.724000000000004</v>
      </c>
      <c r="O38" s="32">
        <f t="shared" si="7"/>
        <v>63.599417992072645</v>
      </c>
      <c r="P38" s="32">
        <f t="shared" si="11"/>
        <v>68.308163162912052</v>
      </c>
      <c r="Q38" s="32">
        <f t="shared" si="8"/>
        <v>56.412121820279957</v>
      </c>
      <c r="R38" s="32">
        <f t="shared" si="9"/>
        <v>63.669316146384205</v>
      </c>
      <c r="S38" s="32">
        <f t="shared" si="10"/>
        <v>65.117592322670973</v>
      </c>
    </row>
    <row r="39" spans="1:19" x14ac:dyDescent="0.25">
      <c r="A39" s="27">
        <v>1993</v>
      </c>
      <c r="B39" s="19">
        <v>10119.959999999999</v>
      </c>
      <c r="C39" s="19">
        <v>6331.2759999999998</v>
      </c>
      <c r="D39" s="19">
        <v>3884.3319999999999</v>
      </c>
      <c r="E39" s="19">
        <f t="shared" si="2"/>
        <v>20335.567999999999</v>
      </c>
      <c r="F39" s="17">
        <f t="shared" si="3"/>
        <v>0.49764825846025051</v>
      </c>
      <c r="G39" s="17">
        <f t="shared" si="4"/>
        <v>0.31134001273040418</v>
      </c>
      <c r="H39" s="17">
        <f t="shared" si="5"/>
        <v>0.19101172880934528</v>
      </c>
      <c r="I39" s="32">
        <v>52.530999999999999</v>
      </c>
      <c r="J39" s="32">
        <v>56.091999999999999</v>
      </c>
      <c r="K39" s="32">
        <v>47.581000000000003</v>
      </c>
      <c r="L39" s="32">
        <f t="shared" si="1"/>
        <v>52.694173727726714</v>
      </c>
      <c r="M39" s="32">
        <f t="shared" si="6"/>
        <v>53.901454708448654</v>
      </c>
      <c r="N39" s="185">
        <v>80.921000000000006</v>
      </c>
      <c r="O39" s="32">
        <f t="shared" si="7"/>
        <v>64.916399945625969</v>
      </c>
      <c r="P39" s="32">
        <f t="shared" si="11"/>
        <v>69.316988173650842</v>
      </c>
      <c r="Q39" s="32">
        <f t="shared" si="8"/>
        <v>58.799322796307507</v>
      </c>
      <c r="R39" s="32">
        <f t="shared" si="9"/>
        <v>65.118045659009042</v>
      </c>
      <c r="S39" s="32">
        <f t="shared" si="10"/>
        <v>66.609971093348634</v>
      </c>
    </row>
    <row r="40" spans="1:19" x14ac:dyDescent="0.25">
      <c r="A40" s="27">
        <v>1994</v>
      </c>
      <c r="B40" s="19">
        <v>9252.69</v>
      </c>
      <c r="C40" s="19">
        <v>7242.0110000000004</v>
      </c>
      <c r="D40" s="19">
        <v>4501.558</v>
      </c>
      <c r="E40" s="19">
        <f t="shared" si="2"/>
        <v>20996.258999999998</v>
      </c>
      <c r="F40" s="17">
        <f t="shared" si="3"/>
        <v>0.44068279020562667</v>
      </c>
      <c r="G40" s="17">
        <f t="shared" si="4"/>
        <v>0.34491911154268012</v>
      </c>
      <c r="H40" s="17">
        <f t="shared" si="5"/>
        <v>0.21439809825169334</v>
      </c>
      <c r="I40" s="32">
        <v>54.368000000000002</v>
      </c>
      <c r="J40" s="32">
        <v>58.277999999999999</v>
      </c>
      <c r="K40" s="32">
        <v>50.389000000000003</v>
      </c>
      <c r="L40" s="32">
        <f t="shared" si="1"/>
        <v>54.86354369318839</v>
      </c>
      <c r="M40" s="32">
        <f t="shared" si="6"/>
        <v>56.084688469224155</v>
      </c>
      <c r="N40" s="185">
        <v>81.671999999999997</v>
      </c>
      <c r="O40" s="32">
        <f t="shared" si="7"/>
        <v>66.568713879909893</v>
      </c>
      <c r="P40" s="32">
        <f t="shared" si="11"/>
        <v>71.356156332647672</v>
      </c>
      <c r="Q40" s="32">
        <f t="shared" si="8"/>
        <v>61.696787148594389</v>
      </c>
      <c r="R40" s="32">
        <f t="shared" si="9"/>
        <v>67.175462451254276</v>
      </c>
      <c r="S40" s="32">
        <f t="shared" si="10"/>
        <v>68.670644124331673</v>
      </c>
    </row>
    <row r="41" spans="1:19" x14ac:dyDescent="0.25">
      <c r="A41" s="27">
        <v>1995</v>
      </c>
      <c r="B41" s="19">
        <v>8440.66</v>
      </c>
      <c r="C41" s="19">
        <v>8070.6440000000002</v>
      </c>
      <c r="D41" s="19">
        <v>4997.1440000000002</v>
      </c>
      <c r="E41" s="19">
        <f t="shared" si="2"/>
        <v>21508.448</v>
      </c>
      <c r="F41" s="17">
        <f t="shared" si="3"/>
        <v>0.39243463777581722</v>
      </c>
      <c r="G41" s="17">
        <f t="shared" si="4"/>
        <v>0.37523135095568028</v>
      </c>
      <c r="H41" s="17">
        <f t="shared" si="5"/>
        <v>0.2323340112685025</v>
      </c>
      <c r="I41" s="32">
        <v>56.69</v>
      </c>
      <c r="J41" s="32">
        <v>61.780999999999999</v>
      </c>
      <c r="K41" s="32">
        <v>50.433999999999997</v>
      </c>
      <c r="L41" s="32">
        <f t="shared" si="1"/>
        <v>57.146821233219612</v>
      </c>
      <c r="M41" s="32">
        <f t="shared" si="6"/>
        <v>59.17845570307469</v>
      </c>
      <c r="N41" s="185">
        <v>82.421999999999997</v>
      </c>
      <c r="O41" s="32">
        <f t="shared" si="7"/>
        <v>68.780180049016039</v>
      </c>
      <c r="P41" s="32">
        <f t="shared" si="11"/>
        <v>74.956928975273584</v>
      </c>
      <c r="Q41" s="32">
        <f t="shared" si="8"/>
        <v>61.189973550751013</v>
      </c>
      <c r="R41" s="32">
        <f t="shared" si="9"/>
        <v>69.334426771031545</v>
      </c>
      <c r="S41" s="32">
        <f t="shared" si="10"/>
        <v>71.799344474866771</v>
      </c>
    </row>
    <row r="42" spans="1:19" x14ac:dyDescent="0.25">
      <c r="A42" s="27">
        <v>1996</v>
      </c>
      <c r="B42" s="19">
        <v>7630.44</v>
      </c>
      <c r="C42" s="19">
        <v>9192.9570000000003</v>
      </c>
      <c r="D42" s="19">
        <v>5960.4030000000002</v>
      </c>
      <c r="E42" s="19">
        <f t="shared" si="2"/>
        <v>22783.8</v>
      </c>
      <c r="F42" s="17">
        <f t="shared" si="3"/>
        <v>0.33490638084955099</v>
      </c>
      <c r="G42" s="17">
        <f t="shared" si="4"/>
        <v>0.40348655623732654</v>
      </c>
      <c r="H42" s="17">
        <f t="shared" si="5"/>
        <v>0.26160706291312252</v>
      </c>
      <c r="I42" s="32">
        <v>60.161000000000001</v>
      </c>
      <c r="J42" s="32">
        <v>65.597999999999999</v>
      </c>
      <c r="K42" s="32">
        <v>56.048000000000002</v>
      </c>
      <c r="L42" s="32">
        <f t="shared" si="1"/>
        <v>61.278766556500685</v>
      </c>
      <c r="M42" s="32">
        <f t="shared" si="6"/>
        <v>63.131987798064806</v>
      </c>
      <c r="N42" s="185">
        <v>83.700999999999993</v>
      </c>
      <c r="O42" s="32">
        <f t="shared" si="7"/>
        <v>71.876082723026016</v>
      </c>
      <c r="P42" s="32">
        <f t="shared" si="11"/>
        <v>78.371823514653357</v>
      </c>
      <c r="Q42" s="32">
        <f t="shared" si="8"/>
        <v>66.962162937121434</v>
      </c>
      <c r="R42" s="32">
        <f t="shared" si="9"/>
        <v>73.211510682668887</v>
      </c>
      <c r="S42" s="32">
        <f t="shared" si="10"/>
        <v>75.425607577047828</v>
      </c>
    </row>
    <row r="43" spans="1:19" x14ac:dyDescent="0.25">
      <c r="A43" s="27">
        <v>1997</v>
      </c>
      <c r="B43" s="19">
        <v>6896.65</v>
      </c>
      <c r="C43" s="19">
        <v>10126.337</v>
      </c>
      <c r="D43" s="19">
        <v>6666.567</v>
      </c>
      <c r="E43" s="19">
        <f t="shared" si="2"/>
        <v>23689.553999999996</v>
      </c>
      <c r="F43" s="17">
        <f t="shared" si="3"/>
        <v>0.29112620693492164</v>
      </c>
      <c r="G43" s="17">
        <f t="shared" si="4"/>
        <v>0.42746001043329063</v>
      </c>
      <c r="H43" s="17">
        <f t="shared" si="5"/>
        <v>0.2814137826317879</v>
      </c>
      <c r="I43" s="32">
        <v>62.429000000000002</v>
      </c>
      <c r="J43" s="32">
        <v>68.081999999999994</v>
      </c>
      <c r="K43" s="32">
        <v>58.198</v>
      </c>
      <c r="L43" s="32">
        <f t="shared" si="1"/>
        <v>63.654769724664291</v>
      </c>
      <c r="M43" s="32">
        <f t="shared" si="6"/>
        <v>65.791757843908357</v>
      </c>
      <c r="N43" s="185">
        <v>84.346999999999994</v>
      </c>
      <c r="O43" s="32">
        <f t="shared" si="7"/>
        <v>74.014487770756531</v>
      </c>
      <c r="P43" s="32">
        <f t="shared" si="11"/>
        <v>80.716563718923013</v>
      </c>
      <c r="Q43" s="32">
        <f t="shared" si="8"/>
        <v>68.998304622571055</v>
      </c>
      <c r="R43" s="32">
        <f t="shared" si="9"/>
        <v>75.467734151379773</v>
      </c>
      <c r="S43" s="32">
        <f t="shared" si="10"/>
        <v>78.001301580267651</v>
      </c>
    </row>
    <row r="44" spans="1:19" x14ac:dyDescent="0.25">
      <c r="A44" s="27">
        <v>1998</v>
      </c>
      <c r="B44" s="19">
        <v>5921.45</v>
      </c>
      <c r="C44" s="19">
        <v>10564.504999999999</v>
      </c>
      <c r="D44" s="19">
        <v>6802.8710000000001</v>
      </c>
      <c r="E44" s="19">
        <f t="shared" si="2"/>
        <v>23288.826000000001</v>
      </c>
      <c r="F44" s="17">
        <f t="shared" si="3"/>
        <v>0.25426142133570834</v>
      </c>
      <c r="G44" s="17">
        <f t="shared" si="4"/>
        <v>0.45362977936285837</v>
      </c>
      <c r="H44" s="17">
        <f t="shared" si="5"/>
        <v>0.29210879930143324</v>
      </c>
      <c r="I44" s="32">
        <v>61.118000000000002</v>
      </c>
      <c r="J44" s="32">
        <v>66.379000000000005</v>
      </c>
      <c r="K44" s="32">
        <v>55.347999999999999</v>
      </c>
      <c r="L44" s="32">
        <f t="shared" si="1"/>
        <v>61.819078497258729</v>
      </c>
      <c r="M44" s="32">
        <f t="shared" si="6"/>
        <v>64.48934614312607</v>
      </c>
      <c r="N44" s="185">
        <v>84.512</v>
      </c>
      <c r="O44" s="32">
        <f t="shared" si="7"/>
        <v>72.318723968193865</v>
      </c>
      <c r="P44" s="32">
        <f t="shared" si="11"/>
        <v>78.543875425975017</v>
      </c>
      <c r="Q44" s="32">
        <f t="shared" si="8"/>
        <v>65.491291177584245</v>
      </c>
      <c r="R44" s="32">
        <f t="shared" si="9"/>
        <v>73.148284855711296</v>
      </c>
      <c r="S44" s="32">
        <f t="shared" si="10"/>
        <v>76.307916204948484</v>
      </c>
    </row>
    <row r="45" spans="1:19" x14ac:dyDescent="0.25">
      <c r="A45" s="27">
        <v>1999</v>
      </c>
      <c r="B45" s="19">
        <v>5206.57</v>
      </c>
      <c r="C45" s="19">
        <v>11695.617</v>
      </c>
      <c r="D45" s="19">
        <v>7680.857</v>
      </c>
      <c r="E45" s="19">
        <f t="shared" si="2"/>
        <v>24583.044000000002</v>
      </c>
      <c r="F45" s="17">
        <f t="shared" si="3"/>
        <v>0.2117951706875682</v>
      </c>
      <c r="G45" s="17">
        <f t="shared" si="4"/>
        <v>0.47575951131194327</v>
      </c>
      <c r="H45" s="17">
        <f t="shared" si="5"/>
        <v>0.31244531800048847</v>
      </c>
      <c r="I45" s="32">
        <v>63.597000000000001</v>
      </c>
      <c r="J45" s="32">
        <v>68.55</v>
      </c>
      <c r="K45" s="32">
        <v>58.786999999999999</v>
      </c>
      <c r="L45" s="32">
        <f t="shared" si="1"/>
        <v>64.450574879945705</v>
      </c>
      <c r="M45" s="32">
        <f t="shared" si="6"/>
        <v>67.024271926467264</v>
      </c>
      <c r="N45" s="185">
        <v>84.08</v>
      </c>
      <c r="O45" s="32">
        <f t="shared" si="7"/>
        <v>75.638677450047567</v>
      </c>
      <c r="P45" s="32">
        <f t="shared" si="11"/>
        <v>81.529495718363464</v>
      </c>
      <c r="Q45" s="32">
        <f t="shared" si="8"/>
        <v>69.917935299714557</v>
      </c>
      <c r="R45" s="32">
        <f t="shared" si="9"/>
        <v>76.653871170249417</v>
      </c>
      <c r="S45" s="32">
        <f t="shared" si="10"/>
        <v>79.714880978196078</v>
      </c>
    </row>
    <row r="46" spans="1:19" x14ac:dyDescent="0.25">
      <c r="A46" s="27">
        <v>2000</v>
      </c>
      <c r="B46" s="19">
        <v>4255.88</v>
      </c>
      <c r="C46" s="19">
        <v>14302.936</v>
      </c>
      <c r="D46" s="19">
        <v>9851.1419999999998</v>
      </c>
      <c r="E46" s="19">
        <f t="shared" si="2"/>
        <v>28409.958000000002</v>
      </c>
      <c r="F46" s="17">
        <f t="shared" si="3"/>
        <v>0.14980240379095244</v>
      </c>
      <c r="G46" s="17">
        <f t="shared" si="4"/>
        <v>0.5034479811620981</v>
      </c>
      <c r="H46" s="17">
        <f t="shared" si="5"/>
        <v>0.34674961504694934</v>
      </c>
      <c r="I46" s="32">
        <v>74.37</v>
      </c>
      <c r="J46" s="32">
        <v>79.161000000000001</v>
      </c>
      <c r="K46" s="32">
        <v>72.778000000000006</v>
      </c>
      <c r="L46" s="32">
        <f t="shared" si="1"/>
        <v>76.22999389059288</v>
      </c>
      <c r="M46" s="32">
        <f t="shared" si="6"/>
        <v>78.062335026975859</v>
      </c>
      <c r="N46" s="185">
        <v>85.995999999999995</v>
      </c>
      <c r="O46" s="32">
        <f t="shared" si="7"/>
        <v>86.480766547281277</v>
      </c>
      <c r="P46" s="32">
        <f t="shared" si="11"/>
        <v>92.051955904925819</v>
      </c>
      <c r="Q46" s="32">
        <f t="shared" si="8"/>
        <v>84.629517651983818</v>
      </c>
      <c r="R46" s="32">
        <f t="shared" si="9"/>
        <v>88.643650740258707</v>
      </c>
      <c r="S46" s="32">
        <f t="shared" si="10"/>
        <v>90.774379072254362</v>
      </c>
    </row>
    <row r="47" spans="1:19" x14ac:dyDescent="0.25">
      <c r="A47" s="27">
        <v>2001</v>
      </c>
      <c r="B47" s="19">
        <v>2983.91</v>
      </c>
      <c r="C47" s="19">
        <v>14358.428</v>
      </c>
      <c r="D47" s="19">
        <v>10021.108</v>
      </c>
      <c r="E47" s="19">
        <f t="shared" si="2"/>
        <v>27363.446</v>
      </c>
      <c r="F47" s="17">
        <f t="shared" si="3"/>
        <v>0.10904730347193843</v>
      </c>
      <c r="G47" s="17">
        <f t="shared" si="4"/>
        <v>0.52473025510018001</v>
      </c>
      <c r="H47" s="17">
        <f t="shared" si="5"/>
        <v>0.36622244142788157</v>
      </c>
      <c r="I47" s="32">
        <v>71.331000000000003</v>
      </c>
      <c r="J47" s="32">
        <v>75.397000000000006</v>
      </c>
      <c r="K47" s="32">
        <v>68.677000000000007</v>
      </c>
      <c r="L47" s="32">
        <f t="shared" si="1"/>
        <v>72.492598857687739</v>
      </c>
      <c r="M47" s="32">
        <f t="shared" si="6"/>
        <v>74.6974070120188</v>
      </c>
      <c r="N47" s="185">
        <v>87.646000000000001</v>
      </c>
      <c r="O47" s="32">
        <f t="shared" si="7"/>
        <v>81.385345594778997</v>
      </c>
      <c r="P47" s="32">
        <f t="shared" si="11"/>
        <v>86.024462040481041</v>
      </c>
      <c r="Q47" s="32">
        <f t="shared" si="8"/>
        <v>78.35725532254753</v>
      </c>
      <c r="R47" s="32">
        <f t="shared" si="9"/>
        <v>82.710675738411027</v>
      </c>
      <c r="S47" s="32">
        <f t="shared" si="10"/>
        <v>85.226259055768438</v>
      </c>
    </row>
    <row r="48" spans="1:19" x14ac:dyDescent="0.25">
      <c r="A48" s="27">
        <v>2002</v>
      </c>
      <c r="B48" s="19">
        <v>2133.11</v>
      </c>
      <c r="C48" s="19">
        <v>14162.661</v>
      </c>
      <c r="D48" s="19">
        <v>10217.313</v>
      </c>
      <c r="E48" s="19">
        <f t="shared" si="2"/>
        <v>26513.084000000003</v>
      </c>
      <c r="F48" s="17">
        <f t="shared" si="3"/>
        <v>8.045499346662198E-2</v>
      </c>
      <c r="G48" s="17">
        <f t="shared" si="4"/>
        <v>0.53417629574892145</v>
      </c>
      <c r="H48" s="17">
        <f t="shared" si="5"/>
        <v>0.38536871078445645</v>
      </c>
      <c r="I48" s="32">
        <v>69.662000000000006</v>
      </c>
      <c r="J48" s="32">
        <v>73.632999999999996</v>
      </c>
      <c r="K48" s="32">
        <v>66.308000000000007</v>
      </c>
      <c r="L48" s="32">
        <f t="shared" si="1"/>
        <v>70.490687414447905</v>
      </c>
      <c r="M48" s="32">
        <f t="shared" si="6"/>
        <v>73.113197665394296</v>
      </c>
      <c r="N48" s="185">
        <v>88.563000000000002</v>
      </c>
      <c r="O48" s="32">
        <f t="shared" si="7"/>
        <v>78.658130370470744</v>
      </c>
      <c r="P48" s="32">
        <f t="shared" si="11"/>
        <v>83.141944152750014</v>
      </c>
      <c r="Q48" s="32">
        <f t="shared" si="8"/>
        <v>74.870995788308903</v>
      </c>
      <c r="R48" s="32">
        <f t="shared" si="9"/>
        <v>79.593834236021706</v>
      </c>
      <c r="S48" s="32">
        <f t="shared" si="10"/>
        <v>82.555014696198512</v>
      </c>
    </row>
    <row r="49" spans="1:19" x14ac:dyDescent="0.25">
      <c r="A49" s="27">
        <v>2003</v>
      </c>
      <c r="B49" s="19">
        <v>1536.87</v>
      </c>
      <c r="C49" s="19">
        <v>14034.129000000001</v>
      </c>
      <c r="D49" s="19">
        <v>11444.118</v>
      </c>
      <c r="E49" s="19">
        <f t="shared" si="2"/>
        <v>27015.117000000002</v>
      </c>
      <c r="F49" s="17">
        <f t="shared" si="3"/>
        <v>5.6889259446849694E-2</v>
      </c>
      <c r="G49" s="17">
        <f t="shared" si="4"/>
        <v>0.51949169792601679</v>
      </c>
      <c r="H49" s="17">
        <f t="shared" si="5"/>
        <v>0.42361904262713351</v>
      </c>
      <c r="I49" s="32">
        <v>70.638000000000005</v>
      </c>
      <c r="J49" s="32">
        <v>74.828000000000003</v>
      </c>
      <c r="K49" s="32">
        <v>68.704999999999998</v>
      </c>
      <c r="L49" s="32">
        <f t="shared" si="1"/>
        <v>71.995814604911757</v>
      </c>
      <c r="M49" s="32">
        <f t="shared" si="6"/>
        <v>74.414443663633918</v>
      </c>
      <c r="N49" s="185">
        <v>90.028000000000006</v>
      </c>
      <c r="O49" s="32">
        <f t="shared" si="7"/>
        <v>78.462256186964055</v>
      </c>
      <c r="P49" s="32">
        <f t="shared" si="11"/>
        <v>83.116363797929523</v>
      </c>
      <c r="Q49" s="32">
        <f t="shared" si="8"/>
        <v>76.315146398898122</v>
      </c>
      <c r="R49" s="32">
        <f t="shared" si="9"/>
        <v>79.970469859279063</v>
      </c>
      <c r="S49" s="32">
        <f t="shared" si="10"/>
        <v>82.656999670806769</v>
      </c>
    </row>
    <row r="50" spans="1:19" x14ac:dyDescent="0.25">
      <c r="A50" s="27">
        <v>2004</v>
      </c>
      <c r="B50" s="19">
        <v>1157.58</v>
      </c>
      <c r="C50" s="19">
        <v>14386.07</v>
      </c>
      <c r="D50" s="19">
        <v>13053.413</v>
      </c>
      <c r="E50" s="19">
        <f t="shared" si="2"/>
        <v>28597.063000000002</v>
      </c>
      <c r="F50" s="17">
        <f t="shared" si="3"/>
        <v>4.0478982054905424E-2</v>
      </c>
      <c r="G50" s="17">
        <f t="shared" si="4"/>
        <v>0.50306110106481905</v>
      </c>
      <c r="H50" s="17">
        <f t="shared" si="5"/>
        <v>0.45645991688027543</v>
      </c>
      <c r="I50" s="32">
        <v>74.06</v>
      </c>
      <c r="J50" s="32">
        <v>78.881</v>
      </c>
      <c r="K50" s="32">
        <v>76.429000000000002</v>
      </c>
      <c r="L50" s="32">
        <f t="shared" si="1"/>
        <v>77.566611111322871</v>
      </c>
      <c r="M50" s="32">
        <f t="shared" si="6"/>
        <v>78.521966363756263</v>
      </c>
      <c r="N50" s="185">
        <v>91.915999999999997</v>
      </c>
      <c r="O50" s="32">
        <f t="shared" si="7"/>
        <v>80.573567170024802</v>
      </c>
      <c r="P50" s="32">
        <f t="shared" si="11"/>
        <v>85.818573480134049</v>
      </c>
      <c r="Q50" s="32">
        <f t="shared" si="8"/>
        <v>83.150920405587726</v>
      </c>
      <c r="R50" s="32">
        <f t="shared" si="9"/>
        <v>84.388584263156446</v>
      </c>
      <c r="S50" s="32">
        <f t="shared" si="10"/>
        <v>85.427962883237157</v>
      </c>
    </row>
    <row r="51" spans="1:19" x14ac:dyDescent="0.25">
      <c r="A51" s="27">
        <v>2005</v>
      </c>
      <c r="B51" s="19">
        <v>513.14</v>
      </c>
      <c r="C51" s="19">
        <v>15506.782999999999</v>
      </c>
      <c r="D51" s="19">
        <v>15357.459000000001</v>
      </c>
      <c r="E51" s="19">
        <f t="shared" si="2"/>
        <v>31377.381999999998</v>
      </c>
      <c r="F51" s="17">
        <f t="shared" si="3"/>
        <v>1.6353818173868044E-2</v>
      </c>
      <c r="G51" s="17">
        <f t="shared" si="4"/>
        <v>0.49420257560047554</v>
      </c>
      <c r="H51" s="17">
        <f t="shared" si="5"/>
        <v>0.48944360622565647</v>
      </c>
      <c r="I51" s="32">
        <v>81.302000000000007</v>
      </c>
      <c r="J51" s="32">
        <v>86.760999999999996</v>
      </c>
      <c r="K51" s="32">
        <v>88.959000000000003</v>
      </c>
      <c r="L51" s="32">
        <f t="shared" ref="L51:L60" si="12">(F51*I51+G51*J51+H51*K51)/(F51+G51+H51)</f>
        <v>87.747521553072858</v>
      </c>
      <c r="M51" s="32">
        <f t="shared" si="6"/>
        <v>86.586140778766534</v>
      </c>
      <c r="N51" s="185">
        <v>93.584000000000003</v>
      </c>
      <c r="O51" s="32">
        <f t="shared" si="7"/>
        <v>86.875961702855193</v>
      </c>
      <c r="P51" s="32">
        <f t="shared" si="11"/>
        <v>92.709223798939988</v>
      </c>
      <c r="Q51" s="32">
        <f t="shared" si="8"/>
        <v>95.057915883056921</v>
      </c>
      <c r="R51" s="32">
        <f t="shared" si="9"/>
        <v>93.763380014823966</v>
      </c>
      <c r="S51" s="32">
        <f t="shared" si="10"/>
        <v>92.522376451921829</v>
      </c>
    </row>
    <row r="52" spans="1:19" x14ac:dyDescent="0.25">
      <c r="A52" s="27">
        <v>2006</v>
      </c>
      <c r="B52" s="19">
        <v>145.9</v>
      </c>
      <c r="C52" s="19">
        <v>15860.275</v>
      </c>
      <c r="D52" s="19">
        <v>16643.704000000002</v>
      </c>
      <c r="E52" s="19">
        <f t="shared" si="2"/>
        <v>32649.879000000001</v>
      </c>
      <c r="F52" s="17">
        <f t="shared" si="3"/>
        <v>4.4686229924466182E-3</v>
      </c>
      <c r="G52" s="17">
        <f t="shared" si="4"/>
        <v>0.48576826272464896</v>
      </c>
      <c r="H52" s="17">
        <f t="shared" si="5"/>
        <v>0.50976311428290444</v>
      </c>
      <c r="I52" s="32">
        <v>89.254999999999995</v>
      </c>
      <c r="J52" s="32">
        <v>92.206999999999994</v>
      </c>
      <c r="K52" s="32">
        <v>93.694000000000003</v>
      </c>
      <c r="L52" s="32">
        <f t="shared" si="12"/>
        <v>92.951826375864982</v>
      </c>
      <c r="M52" s="32">
        <f t="shared" si="6"/>
        <v>92.180091834869984</v>
      </c>
      <c r="N52" s="185">
        <v>95.564999999999998</v>
      </c>
      <c r="O52" s="32">
        <f t="shared" si="7"/>
        <v>93.397164233767597</v>
      </c>
      <c r="P52" s="32">
        <f t="shared" si="11"/>
        <v>96.4861612515042</v>
      </c>
      <c r="Q52" s="32">
        <f t="shared" si="8"/>
        <v>98.04217025061476</v>
      </c>
      <c r="R52" s="32">
        <f t="shared" si="9"/>
        <v>97.265553681645983</v>
      </c>
      <c r="S52" s="32">
        <f t="shared" si="10"/>
        <v>96.458004326761866</v>
      </c>
    </row>
    <row r="53" spans="1:19" x14ac:dyDescent="0.25">
      <c r="A53" s="27">
        <v>2007</v>
      </c>
      <c r="B53" s="49">
        <v>36.1</v>
      </c>
      <c r="C53" s="49">
        <v>15660.285</v>
      </c>
      <c r="D53" s="49">
        <v>17825.206999999999</v>
      </c>
      <c r="E53" s="19">
        <f t="shared" si="2"/>
        <v>33521.591999999997</v>
      </c>
      <c r="F53" s="17">
        <f t="shared" si="3"/>
        <v>1.0769178265757785E-3</v>
      </c>
      <c r="G53" s="17">
        <f t="shared" si="4"/>
        <v>0.46717008547804056</v>
      </c>
      <c r="H53" s="17">
        <f t="shared" si="5"/>
        <v>0.53175299669538367</v>
      </c>
      <c r="I53" s="32">
        <v>94.74</v>
      </c>
      <c r="J53" s="32">
        <v>94.74</v>
      </c>
      <c r="K53" s="32">
        <v>94.707999999999998</v>
      </c>
      <c r="L53" s="32">
        <f t="shared" si="12"/>
        <v>94.722983904105746</v>
      </c>
      <c r="M53" s="32">
        <f t="shared" si="6"/>
        <v>94.74</v>
      </c>
      <c r="N53" s="185">
        <v>97.594999999999999</v>
      </c>
      <c r="O53" s="32">
        <f t="shared" si="7"/>
        <v>97.074645217480409</v>
      </c>
      <c r="P53" s="32">
        <f t="shared" si="11"/>
        <v>97.074645217480409</v>
      </c>
      <c r="Q53" s="32">
        <f t="shared" si="8"/>
        <v>97.041856652492442</v>
      </c>
      <c r="R53" s="32">
        <f t="shared" si="9"/>
        <v>97.057209799790712</v>
      </c>
      <c r="S53" s="32">
        <f t="shared" si="10"/>
        <v>97.074645217480409</v>
      </c>
    </row>
    <row r="54" spans="1:19" x14ac:dyDescent="0.25">
      <c r="A54" s="27">
        <v>2008</v>
      </c>
      <c r="B54" s="49">
        <v>0</v>
      </c>
      <c r="C54" s="49">
        <v>15527.236999999999</v>
      </c>
      <c r="D54" s="49">
        <v>21251.388999999999</v>
      </c>
      <c r="E54" s="19">
        <f t="shared" si="2"/>
        <v>36778.625999999997</v>
      </c>
      <c r="F54" s="17">
        <f t="shared" si="3"/>
        <v>0</v>
      </c>
      <c r="G54" s="17">
        <f t="shared" si="4"/>
        <v>0.42218099719114033</v>
      </c>
      <c r="H54" s="17">
        <f t="shared" si="5"/>
        <v>0.57781900280885967</v>
      </c>
      <c r="I54" s="43">
        <v>0</v>
      </c>
      <c r="J54" s="32">
        <v>101.6</v>
      </c>
      <c r="K54" s="32">
        <v>110.904</v>
      </c>
      <c r="L54" s="32">
        <f t="shared" si="12"/>
        <v>106.97602800213363</v>
      </c>
      <c r="M54" s="32">
        <f t="shared" ref="M54:M60" si="13">(F54*I54+G54*J54)/(G54+F54)</f>
        <v>101.6</v>
      </c>
      <c r="N54" s="185">
        <v>100.32599999999999</v>
      </c>
      <c r="O54" s="32">
        <f t="shared" si="7"/>
        <v>0</v>
      </c>
      <c r="P54" s="32">
        <f t="shared" si="11"/>
        <v>101.26986025556685</v>
      </c>
      <c r="Q54" s="32">
        <f t="shared" si="8"/>
        <v>110.54362777345852</v>
      </c>
      <c r="R54" s="32">
        <f t="shared" si="9"/>
        <v>106.62841935503621</v>
      </c>
      <c r="S54" s="32">
        <f t="shared" si="10"/>
        <v>101.26986025556685</v>
      </c>
    </row>
    <row r="55" spans="1:19" x14ac:dyDescent="0.25">
      <c r="A55" s="27">
        <v>2009</v>
      </c>
      <c r="B55" s="49">
        <v>0</v>
      </c>
      <c r="C55" s="49">
        <v>13229.526</v>
      </c>
      <c r="D55" s="49">
        <v>16748.609</v>
      </c>
      <c r="E55" s="19">
        <f t="shared" si="2"/>
        <v>29978.135000000002</v>
      </c>
      <c r="F55" s="17">
        <f t="shared" si="3"/>
        <v>0</v>
      </c>
      <c r="G55" s="17">
        <f t="shared" si="4"/>
        <v>0.4413058384052243</v>
      </c>
      <c r="H55" s="17">
        <f t="shared" si="5"/>
        <v>0.55869416159477558</v>
      </c>
      <c r="I55" s="43">
        <v>0</v>
      </c>
      <c r="J55" s="32">
        <v>89.97</v>
      </c>
      <c r="K55" s="32">
        <v>87.281000000000006</v>
      </c>
      <c r="L55" s="32">
        <f t="shared" si="12"/>
        <v>88.467671399471655</v>
      </c>
      <c r="M55" s="32">
        <f t="shared" si="13"/>
        <v>89.970000000000013</v>
      </c>
      <c r="N55" s="185">
        <v>98.83</v>
      </c>
      <c r="O55" s="32">
        <f t="shared" si="7"/>
        <v>0</v>
      </c>
      <c r="P55" s="32">
        <f t="shared" si="11"/>
        <v>91.035110796316914</v>
      </c>
      <c r="Q55" s="32">
        <f t="shared" si="8"/>
        <v>88.314277041384202</v>
      </c>
      <c r="R55" s="32">
        <f t="shared" si="9"/>
        <v>89.514996862766026</v>
      </c>
      <c r="S55" s="32">
        <f t="shared" si="10"/>
        <v>91.035110796316928</v>
      </c>
    </row>
    <row r="56" spans="1:19" x14ac:dyDescent="0.25">
      <c r="A56" s="27">
        <v>2010</v>
      </c>
      <c r="B56" s="49">
        <v>0</v>
      </c>
      <c r="C56" s="49">
        <v>13810.368</v>
      </c>
      <c r="D56" s="49">
        <v>19556.565999999999</v>
      </c>
      <c r="E56" s="19">
        <f t="shared" si="2"/>
        <v>33366.934000000001</v>
      </c>
      <c r="F56" s="17">
        <f t="shared" si="3"/>
        <v>0</v>
      </c>
      <c r="G56" s="17">
        <f t="shared" si="4"/>
        <v>0.41389382674476471</v>
      </c>
      <c r="H56" s="17">
        <f t="shared" si="5"/>
        <v>0.58610617325523517</v>
      </c>
      <c r="I56" s="43">
        <v>0</v>
      </c>
      <c r="J56" s="31">
        <v>100</v>
      </c>
      <c r="K56" s="31">
        <v>100</v>
      </c>
      <c r="L56" s="32">
        <f t="shared" si="12"/>
        <v>100.00000000000001</v>
      </c>
      <c r="M56" s="32">
        <f t="shared" si="13"/>
        <v>100</v>
      </c>
      <c r="N56" s="185">
        <v>100</v>
      </c>
      <c r="O56" s="32">
        <f t="shared" si="7"/>
        <v>0</v>
      </c>
      <c r="P56" s="32">
        <f t="shared" ref="P56:S57" si="14">100*J56/$N56</f>
        <v>100</v>
      </c>
      <c r="Q56" s="32">
        <f t="shared" si="14"/>
        <v>100</v>
      </c>
      <c r="R56" s="32">
        <f t="shared" si="14"/>
        <v>100.00000000000001</v>
      </c>
      <c r="S56" s="32">
        <f t="shared" si="14"/>
        <v>100</v>
      </c>
    </row>
    <row r="57" spans="1:19" x14ac:dyDescent="0.25">
      <c r="A57" s="27">
        <v>2011</v>
      </c>
      <c r="B57" s="49">
        <v>0</v>
      </c>
      <c r="C57" s="49">
        <v>14558.566999999999</v>
      </c>
      <c r="D57" s="49">
        <v>22993.829000000002</v>
      </c>
      <c r="E57" s="19">
        <f t="shared" si="2"/>
        <v>37552.396000000001</v>
      </c>
      <c r="F57" s="17">
        <f t="shared" si="3"/>
        <v>0</v>
      </c>
      <c r="G57" s="17">
        <f t="shared" si="4"/>
        <v>0.38768676704410548</v>
      </c>
      <c r="H57" s="17">
        <f t="shared" si="5"/>
        <v>0.61231323295589446</v>
      </c>
      <c r="I57" s="43">
        <v>0</v>
      </c>
      <c r="J57" s="31">
        <v>110.95699999999999</v>
      </c>
      <c r="K57" s="31">
        <v>116.623</v>
      </c>
      <c r="L57" s="32">
        <f t="shared" si="12"/>
        <v>114.42636677792808</v>
      </c>
      <c r="M57" s="32">
        <f t="shared" si="13"/>
        <v>110.95699999999999</v>
      </c>
      <c r="N57" s="185">
        <v>101.81699999999999</v>
      </c>
      <c r="O57" s="32">
        <f t="shared" si="7"/>
        <v>0</v>
      </c>
      <c r="P57" s="32">
        <f t="shared" si="14"/>
        <v>108.97688991032932</v>
      </c>
      <c r="Q57" s="32">
        <f t="shared" si="14"/>
        <v>114.54177593132779</v>
      </c>
      <c r="R57" s="32">
        <f t="shared" si="14"/>
        <v>112.38434326087794</v>
      </c>
      <c r="S57" s="32">
        <f t="shared" si="14"/>
        <v>108.97688991032932</v>
      </c>
    </row>
    <row r="58" spans="1:19" x14ac:dyDescent="0.25">
      <c r="A58" s="27">
        <v>2012</v>
      </c>
      <c r="B58" s="49">
        <v>0</v>
      </c>
      <c r="C58" s="49">
        <v>14347.063</v>
      </c>
      <c r="D58" s="49">
        <v>24541.564999999999</v>
      </c>
      <c r="E58" s="19">
        <f t="shared" si="2"/>
        <v>38888.627999999997</v>
      </c>
      <c r="F58" s="17">
        <f t="shared" si="3"/>
        <v>0</v>
      </c>
      <c r="G58" s="17">
        <f t="shared" si="4"/>
        <v>0.36892695211566739</v>
      </c>
      <c r="H58" s="17">
        <f t="shared" si="5"/>
        <v>0.63107304788433272</v>
      </c>
      <c r="I58" s="43">
        <v>0</v>
      </c>
      <c r="J58" s="31">
        <v>116.715</v>
      </c>
      <c r="K58" s="31">
        <v>122.28</v>
      </c>
      <c r="L58" s="43">
        <f t="shared" si="12"/>
        <v>120.22692151147632</v>
      </c>
      <c r="M58" s="43">
        <f t="shared" si="13"/>
        <v>116.71499999999999</v>
      </c>
      <c r="N58" s="185">
        <v>103.25</v>
      </c>
      <c r="O58" s="32">
        <f t="shared" si="7"/>
        <v>0</v>
      </c>
      <c r="P58" s="32">
        <f t="shared" ref="P58:P60" si="15">100*J58/$N58</f>
        <v>113.04116222760291</v>
      </c>
      <c r="Q58" s="32">
        <f t="shared" ref="Q58:Q60" si="16">100*K58/$N58</f>
        <v>118.43099273607749</v>
      </c>
      <c r="R58" s="32">
        <f t="shared" ref="R58:R60" si="17">100*L58/$N58</f>
        <v>116.44253899416593</v>
      </c>
      <c r="S58" s="32">
        <f t="shared" ref="S58:S60" si="18">100*M58/$N58</f>
        <v>113.04116222760288</v>
      </c>
    </row>
    <row r="59" spans="1:19" x14ac:dyDescent="0.25">
      <c r="A59" s="27">
        <v>2013</v>
      </c>
      <c r="B59" s="49">
        <v>0</v>
      </c>
      <c r="C59" s="49">
        <v>13553.416999999999</v>
      </c>
      <c r="D59" s="49">
        <v>23532.192999999999</v>
      </c>
      <c r="E59" s="19">
        <f t="shared" si="2"/>
        <v>37085.61</v>
      </c>
      <c r="F59" s="17">
        <f t="shared" si="3"/>
        <v>0</v>
      </c>
      <c r="G59" s="17">
        <f t="shared" si="4"/>
        <v>0.36546296528491778</v>
      </c>
      <c r="H59" s="17">
        <f t="shared" si="5"/>
        <v>0.63453703471508216</v>
      </c>
      <c r="I59" s="43">
        <v>0</v>
      </c>
      <c r="J59" s="31">
        <v>114.843</v>
      </c>
      <c r="K59" s="31">
        <v>118.533</v>
      </c>
      <c r="L59" s="43">
        <f t="shared" si="12"/>
        <v>117.18444165809865</v>
      </c>
      <c r="M59" s="43">
        <f t="shared" si="13"/>
        <v>114.843</v>
      </c>
      <c r="N59" s="185">
        <v>104.062</v>
      </c>
      <c r="O59" s="32">
        <f t="shared" si="7"/>
        <v>0</v>
      </c>
      <c r="P59" s="32">
        <f t="shared" si="15"/>
        <v>110.36016989871425</v>
      </c>
      <c r="Q59" s="32">
        <f t="shared" si="16"/>
        <v>113.90613288232015</v>
      </c>
      <c r="R59" s="32">
        <f t="shared" si="17"/>
        <v>112.61021473554099</v>
      </c>
      <c r="S59" s="32">
        <f t="shared" si="18"/>
        <v>110.36016989871425</v>
      </c>
    </row>
    <row r="60" spans="1:19" x14ac:dyDescent="0.25">
      <c r="A60" s="27">
        <v>2014</v>
      </c>
      <c r="B60" s="49">
        <v>0</v>
      </c>
      <c r="C60" s="49">
        <v>13141.416999999999</v>
      </c>
      <c r="D60" s="49">
        <v>22643.51</v>
      </c>
      <c r="E60" s="19">
        <f t="shared" si="2"/>
        <v>35784.926999999996</v>
      </c>
      <c r="F60" s="17">
        <f t="shared" si="3"/>
        <v>0</v>
      </c>
      <c r="G60" s="17">
        <f t="shared" si="4"/>
        <v>0.3672333046816052</v>
      </c>
      <c r="H60" s="17">
        <f t="shared" si="5"/>
        <v>0.6327666953183948</v>
      </c>
      <c r="I60" s="43">
        <v>0</v>
      </c>
      <c r="J60" s="31">
        <v>111.3</v>
      </c>
      <c r="K60" s="31">
        <v>113.146</v>
      </c>
      <c r="L60" s="43">
        <f t="shared" si="12"/>
        <v>112.46808731955775</v>
      </c>
      <c r="M60" s="43">
        <f t="shared" si="13"/>
        <v>111.3</v>
      </c>
      <c r="N60" s="185">
        <v>104.029</v>
      </c>
      <c r="O60" s="32">
        <f t="shared" si="7"/>
        <v>0</v>
      </c>
      <c r="P60" s="32">
        <f t="shared" si="15"/>
        <v>106.98939718732277</v>
      </c>
      <c r="Q60" s="32">
        <f t="shared" si="16"/>
        <v>108.76390237337667</v>
      </c>
      <c r="R60" s="32">
        <f t="shared" si="17"/>
        <v>108.11224496972743</v>
      </c>
      <c r="S60" s="32">
        <f t="shared" si="18"/>
        <v>106.98939718732277</v>
      </c>
    </row>
  </sheetData>
  <mergeCells count="3">
    <mergeCell ref="O4:S4"/>
    <mergeCell ref="F4:H4"/>
    <mergeCell ref="I4:N4"/>
  </mergeCells>
  <phoneticPr fontId="10" type="noConversion"/>
  <pageMargins left="0.78740157499999996" right="0.78740157499999996" top="0.984251969" bottom="0.984251969" header="0.4921259845" footer="0.4921259845"/>
  <headerFooter alignWithMargins="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5"/>
  <dimension ref="A1:P22"/>
  <sheetViews>
    <sheetView topLeftCell="B1" workbookViewId="0">
      <selection activeCell="N18" sqref="N18"/>
    </sheetView>
  </sheetViews>
  <sheetFormatPr baseColWidth="10" defaultRowHeight="13.5" x14ac:dyDescent="0.25"/>
  <cols>
    <col min="10" max="11" width="9.875" customWidth="1"/>
    <col min="12" max="12" width="8.875" customWidth="1"/>
  </cols>
  <sheetData>
    <row r="1" spans="1:16" x14ac:dyDescent="0.25">
      <c r="A1" t="s">
        <v>117</v>
      </c>
    </row>
    <row r="3" spans="1:16" x14ac:dyDescent="0.25">
      <c r="A3" t="s">
        <v>118</v>
      </c>
    </row>
    <row r="4" spans="1:16" x14ac:dyDescent="0.25">
      <c r="A4" t="s">
        <v>119</v>
      </c>
    </row>
    <row r="6" spans="1:16" x14ac:dyDescent="0.25">
      <c r="B6" s="211" t="s">
        <v>124</v>
      </c>
      <c r="C6" s="211"/>
      <c r="D6" s="211"/>
      <c r="E6" s="211"/>
      <c r="F6" s="211" t="s">
        <v>349</v>
      </c>
      <c r="G6" s="211"/>
      <c r="H6" s="211"/>
      <c r="I6" s="211"/>
      <c r="J6" s="211"/>
      <c r="K6" s="38" t="s">
        <v>125</v>
      </c>
      <c r="L6" s="12"/>
      <c r="M6" s="12"/>
      <c r="N6" s="12"/>
    </row>
    <row r="8" spans="1:16" x14ac:dyDescent="0.25">
      <c r="B8" t="s">
        <v>121</v>
      </c>
      <c r="C8" t="s">
        <v>122</v>
      </c>
      <c r="D8" t="s">
        <v>123</v>
      </c>
      <c r="E8" t="s">
        <v>120</v>
      </c>
      <c r="F8" t="s">
        <v>121</v>
      </c>
      <c r="G8" t="s">
        <v>122</v>
      </c>
      <c r="H8" t="s">
        <v>123</v>
      </c>
      <c r="I8" t="s">
        <v>129</v>
      </c>
      <c r="J8" t="s">
        <v>120</v>
      </c>
      <c r="K8" t="s">
        <v>130</v>
      </c>
      <c r="L8" t="s">
        <v>126</v>
      </c>
      <c r="M8" t="s">
        <v>127</v>
      </c>
      <c r="N8" t="s">
        <v>128</v>
      </c>
      <c r="O8" t="s">
        <v>694</v>
      </c>
      <c r="P8" t="s">
        <v>695</v>
      </c>
    </row>
    <row r="9" spans="1:16" x14ac:dyDescent="0.25">
      <c r="A9">
        <v>2005</v>
      </c>
      <c r="B9" s="10">
        <v>1.2746</v>
      </c>
      <c r="C9" s="10">
        <v>1.1658999999999999</v>
      </c>
      <c r="D9" s="10">
        <v>1.2053</v>
      </c>
      <c r="E9" s="10">
        <v>1.0268000000000002</v>
      </c>
      <c r="F9">
        <v>327</v>
      </c>
      <c r="G9">
        <v>7411</v>
      </c>
      <c r="H9">
        <v>3232</v>
      </c>
      <c r="I9">
        <f t="shared" ref="I9:I14" si="0">H9+G9+F9</f>
        <v>10970</v>
      </c>
      <c r="J9">
        <v>31048</v>
      </c>
      <c r="K9" s="9">
        <f t="shared" ref="K9:K14" si="1">(C9*G9+D9*H9)/(G9+H9)</f>
        <v>1.1778647467819223</v>
      </c>
      <c r="L9" s="9">
        <f t="shared" ref="L9:L14" si="2">(B9*F9+C9*G9+D9*H9)/(F9+G9+H9)</f>
        <v>1.1807482862351868</v>
      </c>
      <c r="M9" s="9">
        <f t="shared" ref="M9:M14" si="3">E9</f>
        <v>1.0268000000000002</v>
      </c>
      <c r="N9" s="9">
        <f t="shared" ref="N9:N15" si="4">(L9*I9+J9*M9)/(I9+J9)</f>
        <v>1.0669926007901376</v>
      </c>
    </row>
    <row r="10" spans="1:16" x14ac:dyDescent="0.25">
      <c r="A10">
        <v>2006</v>
      </c>
      <c r="B10" s="10">
        <v>1.3540000000000001</v>
      </c>
      <c r="C10" s="10">
        <v>1.2367999999999999</v>
      </c>
      <c r="D10" s="10">
        <v>1.2743</v>
      </c>
      <c r="E10" s="10">
        <v>1.0774999999999999</v>
      </c>
      <c r="F10">
        <v>85</v>
      </c>
      <c r="G10">
        <v>7579</v>
      </c>
      <c r="H10">
        <v>2664</v>
      </c>
      <c r="I10">
        <f t="shared" si="0"/>
        <v>10328</v>
      </c>
      <c r="J10">
        <v>31891</v>
      </c>
      <c r="K10" s="9">
        <f t="shared" si="1"/>
        <v>1.2465530020501805</v>
      </c>
      <c r="L10" s="9">
        <f t="shared" si="2"/>
        <v>1.2474372966692486</v>
      </c>
      <c r="M10" s="9">
        <f t="shared" si="3"/>
        <v>1.0774999999999999</v>
      </c>
      <c r="N10" s="9">
        <f t="shared" si="4"/>
        <v>1.1190716241502641</v>
      </c>
    </row>
    <row r="11" spans="1:16" x14ac:dyDescent="0.25">
      <c r="A11" s="13">
        <v>2007</v>
      </c>
      <c r="B11" s="10">
        <v>0</v>
      </c>
      <c r="C11" s="14">
        <v>1.2765</v>
      </c>
      <c r="D11" s="14">
        <v>1.3086</v>
      </c>
      <c r="E11" s="14">
        <v>1.0949</v>
      </c>
      <c r="F11">
        <v>20</v>
      </c>
      <c r="G11">
        <v>7492</v>
      </c>
      <c r="H11">
        <v>2351</v>
      </c>
      <c r="I11">
        <f t="shared" si="0"/>
        <v>9863</v>
      </c>
      <c r="J11">
        <v>32958</v>
      </c>
      <c r="K11" s="9">
        <f t="shared" si="1"/>
        <v>1.2841670832063394</v>
      </c>
      <c r="L11" s="9">
        <f t="shared" si="2"/>
        <v>1.2815630741153807</v>
      </c>
      <c r="M11" s="9">
        <f t="shared" si="3"/>
        <v>1.0949</v>
      </c>
      <c r="N11" s="9">
        <f t="shared" si="4"/>
        <v>1.1378942761729058</v>
      </c>
    </row>
    <row r="12" spans="1:16" x14ac:dyDescent="0.25">
      <c r="A12">
        <v>2008</v>
      </c>
      <c r="B12" s="10">
        <v>0</v>
      </c>
      <c r="C12" s="14">
        <v>1.3537999999999999</v>
      </c>
      <c r="D12" s="14">
        <v>1.3929</v>
      </c>
      <c r="E12" s="14">
        <v>1.2670999999999999</v>
      </c>
      <c r="F12" s="10">
        <v>0</v>
      </c>
      <c r="G12" s="10">
        <v>7266</v>
      </c>
      <c r="H12" s="10">
        <v>1834</v>
      </c>
      <c r="I12">
        <f t="shared" si="0"/>
        <v>9100</v>
      </c>
      <c r="J12" s="10">
        <v>32827</v>
      </c>
      <c r="K12" s="9">
        <f t="shared" si="1"/>
        <v>1.3616801538461536</v>
      </c>
      <c r="L12" s="9">
        <f t="shared" si="2"/>
        <v>1.3616801538461536</v>
      </c>
      <c r="M12" s="9">
        <f t="shared" si="3"/>
        <v>1.2670999999999999</v>
      </c>
      <c r="N12" s="9">
        <f t="shared" si="4"/>
        <v>1.2876280463663032</v>
      </c>
    </row>
    <row r="13" spans="1:16" x14ac:dyDescent="0.25">
      <c r="A13">
        <v>2009</v>
      </c>
      <c r="B13" s="10">
        <v>0</v>
      </c>
      <c r="C13" s="10">
        <v>1.2092000000000001</v>
      </c>
      <c r="D13" s="10">
        <v>1.2431000000000001</v>
      </c>
      <c r="E13" s="10">
        <v>1.0024</v>
      </c>
      <c r="F13">
        <v>54.9</v>
      </c>
      <c r="G13">
        <v>6491</v>
      </c>
      <c r="H13">
        <v>1716</v>
      </c>
      <c r="I13">
        <f t="shared" si="0"/>
        <v>8261.9</v>
      </c>
      <c r="J13">
        <v>32881</v>
      </c>
      <c r="K13" s="9">
        <f t="shared" si="1"/>
        <v>1.2162881442670892</v>
      </c>
      <c r="L13" s="9">
        <f t="shared" si="2"/>
        <v>1.2082059574674109</v>
      </c>
      <c r="M13" s="9">
        <f t="shared" si="3"/>
        <v>1.0024</v>
      </c>
      <c r="N13" s="9">
        <f t="shared" si="4"/>
        <v>1.0437278655612512</v>
      </c>
    </row>
    <row r="14" spans="1:16" x14ac:dyDescent="0.25">
      <c r="A14">
        <v>2010</v>
      </c>
      <c r="B14" s="10">
        <v>0</v>
      </c>
      <c r="C14" s="10">
        <v>1.35127037037</v>
      </c>
      <c r="D14" s="10">
        <v>1.3873592592599999</v>
      </c>
      <c r="E14" s="10">
        <v>1.1662037036999999</v>
      </c>
      <c r="F14">
        <v>1041</v>
      </c>
      <c r="G14">
        <v>5510</v>
      </c>
      <c r="H14">
        <v>1663</v>
      </c>
      <c r="I14">
        <f t="shared" si="0"/>
        <v>8214</v>
      </c>
      <c r="J14">
        <v>33588</v>
      </c>
      <c r="K14" s="9">
        <f t="shared" si="1"/>
        <v>1.3596372771348222</v>
      </c>
      <c r="L14" s="9">
        <f t="shared" si="2"/>
        <v>1.1873238603467349</v>
      </c>
      <c r="M14" s="9">
        <f t="shared" si="3"/>
        <v>1.1662037036999999</v>
      </c>
      <c r="N14" s="9">
        <f t="shared" si="4"/>
        <v>1.1703537674935094</v>
      </c>
    </row>
    <row r="15" spans="1:16" x14ac:dyDescent="0.25">
      <c r="A15">
        <v>2011</v>
      </c>
      <c r="B15" s="10">
        <v>0</v>
      </c>
      <c r="C15" s="10">
        <v>1.49953461538</v>
      </c>
      <c r="D15" s="10">
        <v>1.5374288461500001</v>
      </c>
      <c r="E15" s="10">
        <v>1.3354423076899999</v>
      </c>
      <c r="F15" s="10">
        <v>0</v>
      </c>
      <c r="I15">
        <v>7804.1</v>
      </c>
      <c r="J15">
        <v>34077</v>
      </c>
      <c r="L15" s="9">
        <v>1.5</v>
      </c>
      <c r="M15">
        <v>1.34</v>
      </c>
      <c r="N15" s="9">
        <f t="shared" si="4"/>
        <v>1.369814307647125</v>
      </c>
      <c r="O15">
        <v>7.8</v>
      </c>
      <c r="P15" s="8">
        <v>34</v>
      </c>
    </row>
    <row r="16" spans="1:16" x14ac:dyDescent="0.25">
      <c r="A16">
        <v>2012</v>
      </c>
      <c r="B16">
        <v>0</v>
      </c>
      <c r="C16">
        <v>1.5658000000000001</v>
      </c>
      <c r="D16" s="154">
        <v>1.6182000000000001</v>
      </c>
      <c r="E16">
        <v>1.3957999999999999</v>
      </c>
      <c r="L16">
        <v>1.57</v>
      </c>
      <c r="M16">
        <v>1.4</v>
      </c>
      <c r="N16" s="9">
        <f>(L16*O16+M16*P16)/(16+P16)</f>
        <v>1.1816566866267464</v>
      </c>
      <c r="O16">
        <v>7.3</v>
      </c>
      <c r="P16" s="8">
        <v>34.1</v>
      </c>
    </row>
    <row r="17" spans="1:16" x14ac:dyDescent="0.25">
      <c r="A17">
        <v>2013</v>
      </c>
      <c r="B17">
        <v>0</v>
      </c>
      <c r="C17">
        <v>1.53667</v>
      </c>
      <c r="D17" s="154">
        <v>1.5942099999999999</v>
      </c>
      <c r="E17">
        <v>1.35049</v>
      </c>
      <c r="L17">
        <v>1.54</v>
      </c>
      <c r="M17">
        <v>1.35</v>
      </c>
      <c r="N17" s="9">
        <f t="shared" ref="N17:N18" si="5">(L17*O17+M17*P17)/(16+P17)</f>
        <v>1.1375298804780878</v>
      </c>
      <c r="O17">
        <v>7.1</v>
      </c>
      <c r="P17" s="8">
        <v>34.200000000000003</v>
      </c>
    </row>
    <row r="18" spans="1:16" x14ac:dyDescent="0.25">
      <c r="A18">
        <v>2014</v>
      </c>
      <c r="B18">
        <v>0</v>
      </c>
      <c r="C18">
        <v>1.4845999999999999</v>
      </c>
      <c r="D18" s="154">
        <v>1.5448</v>
      </c>
      <c r="E18">
        <v>1.2856000000000001</v>
      </c>
      <c r="L18" s="9">
        <v>1.48</v>
      </c>
      <c r="M18">
        <v>1.29</v>
      </c>
      <c r="N18" s="9">
        <f t="shared" si="5"/>
        <v>1.0889682539682539</v>
      </c>
      <c r="O18">
        <v>7.1</v>
      </c>
      <c r="P18" s="8">
        <v>34.4</v>
      </c>
    </row>
    <row r="22" spans="1:16" x14ac:dyDescent="0.25">
      <c r="C22" s="154"/>
      <c r="D22" s="154"/>
      <c r="E22" s="154"/>
    </row>
  </sheetData>
  <mergeCells count="2">
    <mergeCell ref="B6:E6"/>
    <mergeCell ref="F6:J6"/>
  </mergeCells>
  <phoneticPr fontId="10" type="noConversion"/>
  <pageMargins left="0.78740157499999996" right="0.78740157499999996" top="0.984251969" bottom="0.984251969" header="0.4921259845" footer="0.4921259845"/>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P241"/>
  <sheetViews>
    <sheetView workbookViewId="0">
      <pane xSplit="3" ySplit="13" topLeftCell="D26" activePane="bottomRight" state="frozen"/>
      <selection pane="topRight" activeCell="D1" sqref="D1"/>
      <selection pane="bottomLeft" activeCell="A12" sqref="A12"/>
      <selection pane="bottomRight" activeCell="K12" sqref="K12"/>
    </sheetView>
  </sheetViews>
  <sheetFormatPr baseColWidth="10" defaultColWidth="10" defaultRowHeight="12.75" x14ac:dyDescent="0.2"/>
  <cols>
    <col min="1" max="16384" width="10" style="33"/>
  </cols>
  <sheetData>
    <row r="1" spans="1:16" x14ac:dyDescent="0.2">
      <c r="A1" s="33" t="s">
        <v>243</v>
      </c>
    </row>
    <row r="3" spans="1:16" x14ac:dyDescent="0.2">
      <c r="A3" s="33" t="s">
        <v>244</v>
      </c>
      <c r="B3" s="33" t="s">
        <v>245</v>
      </c>
    </row>
    <row r="4" spans="1:16" x14ac:dyDescent="0.2">
      <c r="A4" s="33" t="s">
        <v>246</v>
      </c>
      <c r="B4" s="33" t="s">
        <v>247</v>
      </c>
    </row>
    <row r="5" spans="1:16" x14ac:dyDescent="0.2">
      <c r="A5" s="33" t="s">
        <v>248</v>
      </c>
      <c r="B5" s="33" t="s">
        <v>249</v>
      </c>
    </row>
    <row r="6" spans="1:16" x14ac:dyDescent="0.2">
      <c r="A6" s="33" t="s">
        <v>250</v>
      </c>
      <c r="B6" s="33" t="s">
        <v>251</v>
      </c>
    </row>
    <row r="7" spans="1:16" x14ac:dyDescent="0.2">
      <c r="A7" s="33" t="s">
        <v>252</v>
      </c>
      <c r="B7" s="33" t="s">
        <v>253</v>
      </c>
    </row>
    <row r="8" spans="1:16" x14ac:dyDescent="0.2">
      <c r="A8" s="33" t="s">
        <v>254</v>
      </c>
      <c r="B8" s="33" t="s">
        <v>255</v>
      </c>
    </row>
    <row r="9" spans="1:16" x14ac:dyDescent="0.2">
      <c r="A9" s="33" t="s">
        <v>256</v>
      </c>
      <c r="B9" s="33" t="s">
        <v>257</v>
      </c>
    </row>
    <row r="11" spans="1:16" x14ac:dyDescent="0.2">
      <c r="A11" s="34" t="s">
        <v>269</v>
      </c>
      <c r="G11" s="34" t="s">
        <v>268</v>
      </c>
      <c r="K11" s="33" t="s">
        <v>737</v>
      </c>
    </row>
    <row r="13" spans="1:16" ht="27" x14ac:dyDescent="0.2">
      <c r="A13" s="33" t="s">
        <v>258</v>
      </c>
      <c r="B13" s="33" t="s">
        <v>259</v>
      </c>
      <c r="C13" s="33" t="s">
        <v>260</v>
      </c>
      <c r="D13" s="33" t="s">
        <v>261</v>
      </c>
      <c r="E13" s="33" t="s">
        <v>262</v>
      </c>
      <c r="H13" s="34" t="s">
        <v>270</v>
      </c>
      <c r="K13" s="147" t="s">
        <v>260</v>
      </c>
      <c r="L13" s="147" t="s">
        <v>708</v>
      </c>
      <c r="M13" s="147" t="s">
        <v>709</v>
      </c>
      <c r="N13" s="147" t="s">
        <v>710</v>
      </c>
      <c r="O13" s="147" t="s">
        <v>709</v>
      </c>
      <c r="P13" s="147" t="s">
        <v>710</v>
      </c>
    </row>
    <row r="14" spans="1:16" ht="13.5" x14ac:dyDescent="0.2">
      <c r="A14" s="33">
        <v>4</v>
      </c>
      <c r="B14" s="33" t="s">
        <v>265</v>
      </c>
      <c r="C14" s="33">
        <v>1953</v>
      </c>
      <c r="D14" s="33">
        <v>100</v>
      </c>
      <c r="E14" s="33" t="s">
        <v>264</v>
      </c>
      <c r="G14" s="35">
        <v>1953</v>
      </c>
      <c r="H14" s="37">
        <v>100</v>
      </c>
      <c r="K14" s="186">
        <v>2014</v>
      </c>
      <c r="L14" s="186" t="s">
        <v>713</v>
      </c>
      <c r="M14" s="190">
        <v>1648</v>
      </c>
      <c r="N14" s="149">
        <v>41810</v>
      </c>
      <c r="O14" s="186" t="s">
        <v>732</v>
      </c>
      <c r="P14" s="149">
        <v>41810</v>
      </c>
    </row>
    <row r="15" spans="1:16" ht="13.5" x14ac:dyDescent="0.2">
      <c r="A15" s="33">
        <v>1</v>
      </c>
      <c r="B15" s="33" t="s">
        <v>263</v>
      </c>
      <c r="C15" s="33">
        <v>1954</v>
      </c>
      <c r="D15" s="33">
        <v>99</v>
      </c>
      <c r="E15" s="33" t="s">
        <v>264</v>
      </c>
      <c r="G15" s="36">
        <v>1954</v>
      </c>
      <c r="H15" s="37">
        <v>98.75</v>
      </c>
      <c r="K15" s="186">
        <v>2014</v>
      </c>
      <c r="L15" s="186" t="s">
        <v>711</v>
      </c>
      <c r="M15" s="190">
        <v>1621</v>
      </c>
      <c r="N15" s="149">
        <v>41901</v>
      </c>
      <c r="O15" s="186" t="s">
        <v>731</v>
      </c>
      <c r="P15" s="149">
        <v>41901</v>
      </c>
    </row>
    <row r="16" spans="1:16" ht="13.5" x14ac:dyDescent="0.2">
      <c r="A16" s="33">
        <v>2</v>
      </c>
      <c r="B16" s="33" t="s">
        <v>267</v>
      </c>
      <c r="C16" s="33">
        <v>1954</v>
      </c>
      <c r="D16" s="33">
        <v>100</v>
      </c>
      <c r="E16" s="33" t="s">
        <v>264</v>
      </c>
      <c r="G16" s="36">
        <v>1955</v>
      </c>
      <c r="H16" s="37">
        <v>103.25</v>
      </c>
      <c r="K16" s="186">
        <v>2014</v>
      </c>
      <c r="L16" s="186" t="s">
        <v>717</v>
      </c>
      <c r="M16" s="190">
        <v>1627</v>
      </c>
      <c r="N16" s="149">
        <v>41993</v>
      </c>
      <c r="O16" s="186" t="s">
        <v>730</v>
      </c>
      <c r="P16" s="149">
        <v>41993</v>
      </c>
    </row>
    <row r="17" spans="1:16" ht="13.5" x14ac:dyDescent="0.2">
      <c r="A17" s="33">
        <v>3</v>
      </c>
      <c r="B17" s="33" t="s">
        <v>266</v>
      </c>
      <c r="C17" s="33">
        <v>1954</v>
      </c>
      <c r="D17" s="33">
        <v>98</v>
      </c>
      <c r="E17" s="33" t="s">
        <v>264</v>
      </c>
      <c r="G17" s="36">
        <v>1956</v>
      </c>
      <c r="H17" s="37">
        <v>116.25</v>
      </c>
      <c r="K17" s="186">
        <v>2014</v>
      </c>
      <c r="L17" s="186" t="s">
        <v>715</v>
      </c>
      <c r="M17" s="190">
        <v>1625</v>
      </c>
      <c r="N17" s="149">
        <v>42078</v>
      </c>
      <c r="O17" s="186" t="s">
        <v>729</v>
      </c>
      <c r="P17" s="149">
        <v>42078</v>
      </c>
    </row>
    <row r="18" spans="1:16" ht="13.5" x14ac:dyDescent="0.2">
      <c r="A18" s="33">
        <v>4</v>
      </c>
      <c r="B18" s="33" t="s">
        <v>265</v>
      </c>
      <c r="C18" s="33">
        <v>1954</v>
      </c>
      <c r="D18" s="33">
        <v>98</v>
      </c>
      <c r="E18" s="33" t="s">
        <v>264</v>
      </c>
      <c r="G18" s="36">
        <v>1957</v>
      </c>
      <c r="H18" s="37">
        <v>126.75</v>
      </c>
      <c r="K18" s="186">
        <v>2015</v>
      </c>
      <c r="L18" s="186" t="s">
        <v>713</v>
      </c>
      <c r="M18" s="190">
        <v>1632</v>
      </c>
      <c r="N18" s="149">
        <v>42175</v>
      </c>
      <c r="O18" s="186" t="s">
        <v>728</v>
      </c>
      <c r="P18" s="149">
        <v>42175</v>
      </c>
    </row>
    <row r="19" spans="1:16" ht="13.5" x14ac:dyDescent="0.2">
      <c r="A19" s="33">
        <v>1</v>
      </c>
      <c r="B19" s="33" t="s">
        <v>263</v>
      </c>
      <c r="C19" s="33">
        <v>1955</v>
      </c>
      <c r="D19" s="33">
        <v>101</v>
      </c>
      <c r="E19" s="33" t="s">
        <v>264</v>
      </c>
      <c r="G19" s="36">
        <v>1958</v>
      </c>
      <c r="H19" s="37">
        <v>138.5</v>
      </c>
      <c r="K19" s="186">
        <v>2015</v>
      </c>
      <c r="L19" s="186" t="s">
        <v>711</v>
      </c>
      <c r="M19" s="190">
        <v>1614</v>
      </c>
      <c r="N19" s="149">
        <v>42267</v>
      </c>
      <c r="O19" s="186" t="s">
        <v>727</v>
      </c>
      <c r="P19" s="149">
        <v>42267</v>
      </c>
    </row>
    <row r="20" spans="1:16" ht="13.5" x14ac:dyDescent="0.2">
      <c r="A20" s="33">
        <v>2</v>
      </c>
      <c r="B20" s="33" t="s">
        <v>267</v>
      </c>
      <c r="C20" s="33">
        <v>1955</v>
      </c>
      <c r="D20" s="33">
        <v>102</v>
      </c>
      <c r="E20" s="33" t="s">
        <v>264</v>
      </c>
      <c r="G20" s="36">
        <v>1959</v>
      </c>
      <c r="H20" s="37">
        <v>142</v>
      </c>
      <c r="K20" s="186">
        <v>2015</v>
      </c>
      <c r="L20" s="186" t="s">
        <v>717</v>
      </c>
      <c r="M20" s="190">
        <v>1608</v>
      </c>
      <c r="N20" s="149">
        <v>42361</v>
      </c>
      <c r="O20" s="186" t="s">
        <v>726</v>
      </c>
      <c r="P20" s="149">
        <v>42361</v>
      </c>
    </row>
    <row r="21" spans="1:16" ht="13.5" x14ac:dyDescent="0.2">
      <c r="A21" s="33">
        <v>3</v>
      </c>
      <c r="B21" s="33" t="s">
        <v>266</v>
      </c>
      <c r="C21" s="33">
        <v>1955</v>
      </c>
      <c r="D21" s="33">
        <v>104</v>
      </c>
      <c r="E21" s="33" t="s">
        <v>264</v>
      </c>
      <c r="G21" s="36">
        <v>1960</v>
      </c>
      <c r="H21" s="37">
        <v>142.25</v>
      </c>
      <c r="K21" s="186">
        <v>2015</v>
      </c>
      <c r="L21" s="186" t="s">
        <v>715</v>
      </c>
      <c r="M21" s="190">
        <v>1629</v>
      </c>
      <c r="N21" s="149">
        <v>42453</v>
      </c>
      <c r="O21" s="186" t="s">
        <v>725</v>
      </c>
      <c r="P21" s="149">
        <v>42453</v>
      </c>
    </row>
    <row r="22" spans="1:16" ht="13.5" x14ac:dyDescent="0.2">
      <c r="A22" s="33">
        <v>4</v>
      </c>
      <c r="B22" s="33" t="s">
        <v>265</v>
      </c>
      <c r="C22" s="33">
        <v>1955</v>
      </c>
      <c r="D22" s="33">
        <v>106</v>
      </c>
      <c r="E22" s="33" t="s">
        <v>264</v>
      </c>
      <c r="G22" s="36">
        <v>1961</v>
      </c>
      <c r="H22" s="37">
        <v>144.75</v>
      </c>
      <c r="K22" s="186">
        <v>2016</v>
      </c>
      <c r="L22" s="186" t="s">
        <v>713</v>
      </c>
      <c r="M22" s="190">
        <v>1615</v>
      </c>
      <c r="N22" s="149">
        <v>42543</v>
      </c>
      <c r="O22" s="186" t="s">
        <v>724</v>
      </c>
      <c r="P22" s="149">
        <v>42543</v>
      </c>
    </row>
    <row r="23" spans="1:16" ht="13.5" x14ac:dyDescent="0.2">
      <c r="A23" s="33">
        <v>1</v>
      </c>
      <c r="B23" s="33" t="s">
        <v>263</v>
      </c>
      <c r="C23" s="33">
        <v>1956</v>
      </c>
      <c r="D23" s="33">
        <v>111</v>
      </c>
      <c r="E23" s="33" t="s">
        <v>264</v>
      </c>
      <c r="G23" s="36">
        <v>1962</v>
      </c>
      <c r="H23" s="37">
        <v>152.25</v>
      </c>
      <c r="K23" s="186">
        <v>2016</v>
      </c>
      <c r="L23" s="186" t="s">
        <v>711</v>
      </c>
      <c r="M23" s="190">
        <v>1622</v>
      </c>
      <c r="N23" s="149">
        <v>42634</v>
      </c>
      <c r="O23" s="186" t="s">
        <v>723</v>
      </c>
      <c r="P23" s="149">
        <v>42634</v>
      </c>
    </row>
    <row r="24" spans="1:16" ht="13.5" x14ac:dyDescent="0.2">
      <c r="A24" s="33">
        <v>2</v>
      </c>
      <c r="B24" s="33" t="s">
        <v>267</v>
      </c>
      <c r="C24" s="33">
        <v>1956</v>
      </c>
      <c r="D24" s="33">
        <v>115</v>
      </c>
      <c r="E24" s="33" t="s">
        <v>264</v>
      </c>
      <c r="G24" s="36">
        <v>1963</v>
      </c>
      <c r="H24" s="37">
        <v>167</v>
      </c>
      <c r="K24" s="186">
        <v>2016</v>
      </c>
      <c r="L24" s="186" t="s">
        <v>717</v>
      </c>
      <c r="M24" s="190">
        <v>1643</v>
      </c>
      <c r="N24" s="149">
        <v>42726</v>
      </c>
      <c r="O24" s="186" t="s">
        <v>722</v>
      </c>
      <c r="P24" s="149">
        <v>42726</v>
      </c>
    </row>
    <row r="25" spans="1:16" ht="13.5" x14ac:dyDescent="0.2">
      <c r="A25" s="33">
        <v>3</v>
      </c>
      <c r="B25" s="33" t="s">
        <v>266</v>
      </c>
      <c r="C25" s="33">
        <v>1956</v>
      </c>
      <c r="D25" s="33">
        <v>119</v>
      </c>
      <c r="E25" s="33" t="s">
        <v>264</v>
      </c>
      <c r="G25" s="36">
        <v>1964</v>
      </c>
      <c r="H25" s="37">
        <v>178.25</v>
      </c>
      <c r="K25" s="186">
        <v>2016</v>
      </c>
      <c r="L25" s="186" t="s">
        <v>715</v>
      </c>
      <c r="M25" s="190">
        <v>1645</v>
      </c>
      <c r="N25" s="149">
        <v>42816</v>
      </c>
      <c r="O25" s="186" t="s">
        <v>721</v>
      </c>
      <c r="P25" s="149">
        <v>42816</v>
      </c>
    </row>
    <row r="26" spans="1:16" ht="13.5" x14ac:dyDescent="0.2">
      <c r="A26" s="33">
        <v>4</v>
      </c>
      <c r="B26" s="33" t="s">
        <v>265</v>
      </c>
      <c r="C26" s="33">
        <v>1956</v>
      </c>
      <c r="D26" s="33">
        <v>120</v>
      </c>
      <c r="E26" s="33" t="s">
        <v>264</v>
      </c>
      <c r="G26" s="36">
        <v>1965</v>
      </c>
      <c r="H26" s="37">
        <v>188.25</v>
      </c>
      <c r="K26" s="186">
        <v>2017</v>
      </c>
      <c r="L26" s="186" t="s">
        <v>713</v>
      </c>
      <c r="M26" s="190">
        <v>1650</v>
      </c>
      <c r="N26" s="149">
        <v>42907</v>
      </c>
      <c r="O26" s="186" t="s">
        <v>720</v>
      </c>
      <c r="P26" s="149">
        <v>42907</v>
      </c>
    </row>
    <row r="27" spans="1:16" ht="13.5" x14ac:dyDescent="0.2">
      <c r="A27" s="33">
        <v>1</v>
      </c>
      <c r="B27" s="33" t="s">
        <v>263</v>
      </c>
      <c r="C27" s="33">
        <v>1957</v>
      </c>
      <c r="D27" s="33">
        <v>122</v>
      </c>
      <c r="E27" s="33" t="s">
        <v>264</v>
      </c>
      <c r="G27" s="36">
        <v>1966</v>
      </c>
      <c r="H27" s="37">
        <v>193</v>
      </c>
      <c r="K27" s="186">
        <v>2017</v>
      </c>
      <c r="L27" s="186" t="s">
        <v>711</v>
      </c>
      <c r="M27" s="190">
        <v>1664</v>
      </c>
      <c r="N27" s="149">
        <v>42998</v>
      </c>
      <c r="O27" s="186" t="s">
        <v>719</v>
      </c>
      <c r="P27" s="149">
        <v>42998</v>
      </c>
    </row>
    <row r="28" spans="1:16" ht="13.5" x14ac:dyDescent="0.2">
      <c r="A28" s="33">
        <v>2</v>
      </c>
      <c r="B28" s="33" t="s">
        <v>267</v>
      </c>
      <c r="C28" s="33">
        <v>1957</v>
      </c>
      <c r="D28" s="33">
        <v>125</v>
      </c>
      <c r="E28" s="33" t="s">
        <v>264</v>
      </c>
      <c r="G28" s="36">
        <v>1967</v>
      </c>
      <c r="H28" s="37">
        <v>196.25</v>
      </c>
      <c r="K28" s="186">
        <v>2017</v>
      </c>
      <c r="L28" s="186" t="s">
        <v>717</v>
      </c>
      <c r="M28" s="190">
        <v>1670</v>
      </c>
      <c r="N28" s="149">
        <v>43089</v>
      </c>
      <c r="O28" s="186" t="s">
        <v>718</v>
      </c>
      <c r="P28" s="149">
        <v>43089</v>
      </c>
    </row>
    <row r="29" spans="1:16" ht="13.5" x14ac:dyDescent="0.2">
      <c r="A29" s="33">
        <v>3</v>
      </c>
      <c r="B29" s="33" t="s">
        <v>266</v>
      </c>
      <c r="C29" s="33">
        <v>1957</v>
      </c>
      <c r="D29" s="33">
        <v>128</v>
      </c>
      <c r="E29" s="33" t="s">
        <v>264</v>
      </c>
      <c r="G29" s="36">
        <v>1968</v>
      </c>
      <c r="H29" s="37">
        <v>205.25</v>
      </c>
      <c r="K29" s="186">
        <v>2017</v>
      </c>
      <c r="L29" s="186" t="s">
        <v>715</v>
      </c>
      <c r="M29" s="190">
        <v>1667</v>
      </c>
      <c r="N29" s="149">
        <v>43181</v>
      </c>
      <c r="O29" s="186" t="s">
        <v>716</v>
      </c>
      <c r="P29" s="149">
        <v>43181</v>
      </c>
    </row>
    <row r="30" spans="1:16" ht="13.5" x14ac:dyDescent="0.2">
      <c r="A30" s="33">
        <v>4</v>
      </c>
      <c r="B30" s="33" t="s">
        <v>265</v>
      </c>
      <c r="C30" s="33">
        <v>1957</v>
      </c>
      <c r="D30" s="33">
        <v>132</v>
      </c>
      <c r="E30" s="33" t="s">
        <v>264</v>
      </c>
      <c r="G30" s="36">
        <v>1969</v>
      </c>
      <c r="H30" s="37">
        <v>217</v>
      </c>
      <c r="K30" s="186">
        <v>2018</v>
      </c>
      <c r="L30" s="186" t="s">
        <v>713</v>
      </c>
      <c r="M30" s="190">
        <v>1671</v>
      </c>
      <c r="N30" s="149">
        <v>43278</v>
      </c>
      <c r="O30" s="186" t="s">
        <v>714</v>
      </c>
      <c r="P30" s="149">
        <v>43278</v>
      </c>
    </row>
    <row r="31" spans="1:16" ht="13.5" x14ac:dyDescent="0.2">
      <c r="A31" s="33">
        <v>1</v>
      </c>
      <c r="B31" s="33" t="s">
        <v>263</v>
      </c>
      <c r="C31" s="33">
        <v>1958</v>
      </c>
      <c r="D31" s="33">
        <v>137</v>
      </c>
      <c r="E31" s="33" t="s">
        <v>264</v>
      </c>
      <c r="G31" s="36">
        <v>1970</v>
      </c>
      <c r="H31" s="37">
        <v>223</v>
      </c>
      <c r="K31" s="186">
        <v>2018</v>
      </c>
      <c r="L31" s="186" t="s">
        <v>711</v>
      </c>
      <c r="M31" s="190">
        <v>1699</v>
      </c>
      <c r="N31" s="149">
        <v>43363</v>
      </c>
      <c r="O31" s="186" t="s">
        <v>712</v>
      </c>
      <c r="P31" s="149">
        <v>43363</v>
      </c>
    </row>
    <row r="32" spans="1:16" ht="13.5" x14ac:dyDescent="0.2">
      <c r="A32" s="33">
        <v>2</v>
      </c>
      <c r="B32" s="33" t="s">
        <v>267</v>
      </c>
      <c r="C32" s="33">
        <v>1958</v>
      </c>
      <c r="D32" s="33">
        <v>138</v>
      </c>
      <c r="E32" s="33" t="s">
        <v>264</v>
      </c>
      <c r="G32" s="36">
        <v>1971</v>
      </c>
      <c r="H32" s="37">
        <v>236.25</v>
      </c>
      <c r="K32" s="186"/>
      <c r="L32" s="186"/>
      <c r="M32" s="190"/>
      <c r="N32" s="149"/>
      <c r="O32" s="186"/>
      <c r="P32" s="149"/>
    </row>
    <row r="33" spans="1:16" ht="13.5" x14ac:dyDescent="0.25">
      <c r="A33" s="33">
        <v>3</v>
      </c>
      <c r="B33" s="33" t="s">
        <v>266</v>
      </c>
      <c r="C33" s="33">
        <v>1958</v>
      </c>
      <c r="D33" s="33">
        <v>139</v>
      </c>
      <c r="E33" s="33" t="s">
        <v>264</v>
      </c>
      <c r="G33" s="36">
        <v>1972</v>
      </c>
      <c r="H33" s="37">
        <v>250.25</v>
      </c>
      <c r="K33" s="1" t="s">
        <v>260</v>
      </c>
      <c r="L33"/>
      <c r="M33" s="1" t="s">
        <v>733</v>
      </c>
      <c r="N33"/>
      <c r="O33"/>
      <c r="P33"/>
    </row>
    <row r="34" spans="1:16" ht="13.5" x14ac:dyDescent="0.25">
      <c r="A34" s="33">
        <v>4</v>
      </c>
      <c r="B34" s="33" t="s">
        <v>265</v>
      </c>
      <c r="C34" s="33">
        <v>1958</v>
      </c>
      <c r="D34" s="33">
        <v>140</v>
      </c>
      <c r="E34" s="33" t="s">
        <v>264</v>
      </c>
      <c r="G34" s="36">
        <v>1973</v>
      </c>
      <c r="H34" s="37">
        <v>271</v>
      </c>
      <c r="K34" s="186">
        <v>2014</v>
      </c>
      <c r="L34"/>
      <c r="M34" s="189">
        <f>AVERAGE(M14:M17)</f>
        <v>1630.25</v>
      </c>
      <c r="N34"/>
      <c r="O34"/>
      <c r="P34"/>
    </row>
    <row r="35" spans="1:16" ht="13.5" x14ac:dyDescent="0.25">
      <c r="A35" s="33">
        <v>1</v>
      </c>
      <c r="B35" s="33" t="s">
        <v>263</v>
      </c>
      <c r="C35" s="33">
        <v>1959</v>
      </c>
      <c r="D35" s="33">
        <v>142</v>
      </c>
      <c r="E35" s="33" t="s">
        <v>264</v>
      </c>
      <c r="G35" s="36">
        <v>1974</v>
      </c>
      <c r="H35" s="37">
        <v>313.5</v>
      </c>
      <c r="K35" s="186">
        <v>2015</v>
      </c>
      <c r="L35"/>
      <c r="M35" s="189">
        <f>AVERAGE(M18:M21)</f>
        <v>1620.75</v>
      </c>
      <c r="N35"/>
      <c r="O35"/>
      <c r="P35"/>
    </row>
    <row r="36" spans="1:16" ht="13.5" x14ac:dyDescent="0.25">
      <c r="A36" s="33">
        <v>2</v>
      </c>
      <c r="B36" s="33" t="s">
        <v>267</v>
      </c>
      <c r="C36" s="33">
        <v>1959</v>
      </c>
      <c r="D36" s="33">
        <v>142</v>
      </c>
      <c r="E36" s="33" t="s">
        <v>264</v>
      </c>
      <c r="G36" s="36">
        <v>1975</v>
      </c>
      <c r="H36" s="37">
        <v>354.75</v>
      </c>
      <c r="K36" s="186">
        <v>2016</v>
      </c>
      <c r="L36"/>
      <c r="M36" s="189">
        <f>AVERAGE(M22:M25)</f>
        <v>1631.25</v>
      </c>
      <c r="N36"/>
      <c r="O36"/>
      <c r="P36"/>
    </row>
    <row r="37" spans="1:16" ht="13.5" x14ac:dyDescent="0.25">
      <c r="A37" s="33">
        <v>3</v>
      </c>
      <c r="B37" s="33" t="s">
        <v>266</v>
      </c>
      <c r="C37" s="33">
        <v>1959</v>
      </c>
      <c r="D37" s="33">
        <v>142</v>
      </c>
      <c r="E37" s="33" t="s">
        <v>264</v>
      </c>
      <c r="G37" s="36">
        <v>1976</v>
      </c>
      <c r="H37" s="37">
        <v>396</v>
      </c>
      <c r="K37" s="186">
        <v>2017</v>
      </c>
      <c r="L37"/>
      <c r="M37" s="189">
        <f>AVERAGE(M26:M29)</f>
        <v>1662.75</v>
      </c>
      <c r="N37"/>
      <c r="O37"/>
      <c r="P37"/>
    </row>
    <row r="38" spans="1:16" x14ac:dyDescent="0.2">
      <c r="A38" s="33">
        <v>4</v>
      </c>
      <c r="B38" s="33" t="s">
        <v>265</v>
      </c>
      <c r="C38" s="33">
        <v>1959</v>
      </c>
      <c r="D38" s="33">
        <v>142</v>
      </c>
      <c r="E38" s="33" t="s">
        <v>264</v>
      </c>
      <c r="G38" s="36">
        <v>1977</v>
      </c>
      <c r="H38" s="37">
        <v>433.25</v>
      </c>
    </row>
    <row r="39" spans="1:16" x14ac:dyDescent="0.2">
      <c r="A39" s="33">
        <v>1</v>
      </c>
      <c r="B39" s="33" t="s">
        <v>263</v>
      </c>
      <c r="C39" s="33">
        <v>1960</v>
      </c>
      <c r="D39" s="33">
        <v>144</v>
      </c>
      <c r="E39" s="33" t="s">
        <v>264</v>
      </c>
      <c r="G39" s="36">
        <v>1978</v>
      </c>
      <c r="H39" s="37">
        <v>471</v>
      </c>
    </row>
    <row r="40" spans="1:16" x14ac:dyDescent="0.2">
      <c r="A40" s="33">
        <v>2</v>
      </c>
      <c r="B40" s="33" t="s">
        <v>267</v>
      </c>
      <c r="C40" s="33">
        <v>1960</v>
      </c>
      <c r="D40" s="33">
        <v>141</v>
      </c>
      <c r="E40" s="33" t="s">
        <v>264</v>
      </c>
      <c r="G40" s="36">
        <v>1979</v>
      </c>
      <c r="H40" s="37">
        <v>521.25</v>
      </c>
    </row>
    <row r="41" spans="1:16" x14ac:dyDescent="0.2">
      <c r="A41" s="33">
        <v>3</v>
      </c>
      <c r="B41" s="33" t="s">
        <v>266</v>
      </c>
      <c r="C41" s="33">
        <v>1960</v>
      </c>
      <c r="D41" s="33">
        <v>142</v>
      </c>
      <c r="E41" s="33" t="s">
        <v>264</v>
      </c>
      <c r="G41" s="36">
        <v>1980</v>
      </c>
      <c r="H41" s="37">
        <v>592.5</v>
      </c>
    </row>
    <row r="42" spans="1:16" x14ac:dyDescent="0.2">
      <c r="A42" s="33">
        <v>4</v>
      </c>
      <c r="B42" s="33" t="s">
        <v>265</v>
      </c>
      <c r="C42" s="33">
        <v>1960</v>
      </c>
      <c r="D42" s="33">
        <v>142</v>
      </c>
      <c r="E42" s="33" t="s">
        <v>264</v>
      </c>
      <c r="G42" s="36">
        <v>1981</v>
      </c>
      <c r="H42" s="37">
        <v>647.75</v>
      </c>
    </row>
    <row r="43" spans="1:16" x14ac:dyDescent="0.2">
      <c r="A43" s="33">
        <v>1</v>
      </c>
      <c r="B43" s="33" t="s">
        <v>263</v>
      </c>
      <c r="C43" s="33">
        <v>1961</v>
      </c>
      <c r="D43" s="33">
        <v>143</v>
      </c>
      <c r="E43" s="33" t="s">
        <v>264</v>
      </c>
      <c r="G43" s="36">
        <v>1982</v>
      </c>
      <c r="H43" s="37">
        <v>718.25</v>
      </c>
    </row>
    <row r="44" spans="1:16" x14ac:dyDescent="0.2">
      <c r="A44" s="33">
        <v>2</v>
      </c>
      <c r="B44" s="33" t="s">
        <v>267</v>
      </c>
      <c r="C44" s="33">
        <v>1961</v>
      </c>
      <c r="D44" s="33">
        <v>144</v>
      </c>
      <c r="E44" s="33" t="s">
        <v>264</v>
      </c>
      <c r="G44" s="36">
        <v>1983</v>
      </c>
      <c r="H44" s="37">
        <v>766</v>
      </c>
    </row>
    <row r="45" spans="1:16" x14ac:dyDescent="0.2">
      <c r="A45" s="33">
        <v>3</v>
      </c>
      <c r="B45" s="33" t="s">
        <v>266</v>
      </c>
      <c r="C45" s="33">
        <v>1961</v>
      </c>
      <c r="D45" s="33">
        <v>145</v>
      </c>
      <c r="E45" s="33" t="s">
        <v>264</v>
      </c>
      <c r="G45" s="36">
        <v>1984</v>
      </c>
      <c r="H45" s="37">
        <v>811.25</v>
      </c>
    </row>
    <row r="46" spans="1:16" x14ac:dyDescent="0.2">
      <c r="A46" s="33">
        <v>4</v>
      </c>
      <c r="B46" s="33" t="s">
        <v>265</v>
      </c>
      <c r="C46" s="33">
        <v>1961</v>
      </c>
      <c r="D46" s="33">
        <v>147</v>
      </c>
      <c r="E46" s="33" t="s">
        <v>264</v>
      </c>
      <c r="G46" s="36">
        <v>1985</v>
      </c>
      <c r="H46" s="37">
        <v>837</v>
      </c>
    </row>
    <row r="47" spans="1:16" x14ac:dyDescent="0.2">
      <c r="A47" s="33">
        <v>1</v>
      </c>
      <c r="B47" s="33" t="s">
        <v>263</v>
      </c>
      <c r="C47" s="33">
        <v>1962</v>
      </c>
      <c r="D47" s="33">
        <v>149</v>
      </c>
      <c r="E47" s="33" t="s">
        <v>264</v>
      </c>
      <c r="G47" s="36">
        <v>1986</v>
      </c>
      <c r="H47" s="37">
        <v>864</v>
      </c>
    </row>
    <row r="48" spans="1:16" x14ac:dyDescent="0.2">
      <c r="A48" s="33">
        <v>2</v>
      </c>
      <c r="B48" s="33" t="s">
        <v>267</v>
      </c>
      <c r="C48" s="33">
        <v>1962</v>
      </c>
      <c r="D48" s="33">
        <v>151</v>
      </c>
      <c r="E48" s="33" t="s">
        <v>264</v>
      </c>
      <c r="G48" s="36">
        <v>1987</v>
      </c>
      <c r="H48" s="37">
        <v>889.5</v>
      </c>
    </row>
    <row r="49" spans="1:8" x14ac:dyDescent="0.2">
      <c r="A49" s="33">
        <v>3</v>
      </c>
      <c r="B49" s="33" t="s">
        <v>266</v>
      </c>
      <c r="C49" s="33">
        <v>1962</v>
      </c>
      <c r="D49" s="33">
        <v>153</v>
      </c>
      <c r="E49" s="33" t="s">
        <v>264</v>
      </c>
      <c r="G49" s="36">
        <v>1988</v>
      </c>
      <c r="H49" s="37">
        <v>914.5</v>
      </c>
    </row>
    <row r="50" spans="1:8" x14ac:dyDescent="0.2">
      <c r="A50" s="33">
        <v>4</v>
      </c>
      <c r="B50" s="33" t="s">
        <v>265</v>
      </c>
      <c r="C50" s="33">
        <v>1962</v>
      </c>
      <c r="D50" s="33">
        <v>156</v>
      </c>
      <c r="E50" s="33" t="s">
        <v>264</v>
      </c>
      <c r="G50" s="36">
        <v>1989</v>
      </c>
      <c r="H50" s="37">
        <v>927.25</v>
      </c>
    </row>
    <row r="51" spans="1:8" x14ac:dyDescent="0.2">
      <c r="A51" s="33">
        <v>1</v>
      </c>
      <c r="B51" s="33" t="s">
        <v>263</v>
      </c>
      <c r="C51" s="33">
        <v>1963</v>
      </c>
      <c r="D51" s="33">
        <v>159</v>
      </c>
      <c r="E51" s="33" t="s">
        <v>264</v>
      </c>
      <c r="G51" s="36">
        <v>1990</v>
      </c>
      <c r="H51" s="37">
        <v>949.5</v>
      </c>
    </row>
    <row r="52" spans="1:8" x14ac:dyDescent="0.2">
      <c r="A52" s="33">
        <v>2</v>
      </c>
      <c r="B52" s="33" t="s">
        <v>267</v>
      </c>
      <c r="C52" s="33">
        <v>1963</v>
      </c>
      <c r="D52" s="33">
        <v>168</v>
      </c>
      <c r="E52" s="33" t="s">
        <v>264</v>
      </c>
      <c r="G52" s="36">
        <v>1991</v>
      </c>
      <c r="H52" s="37">
        <v>990.5</v>
      </c>
    </row>
    <row r="53" spans="1:8" x14ac:dyDescent="0.2">
      <c r="A53" s="33">
        <v>3</v>
      </c>
      <c r="B53" s="33" t="s">
        <v>266</v>
      </c>
      <c r="C53" s="33">
        <v>1963</v>
      </c>
      <c r="D53" s="33">
        <v>170</v>
      </c>
      <c r="E53" s="33" t="s">
        <v>264</v>
      </c>
      <c r="G53" s="36">
        <v>1992</v>
      </c>
      <c r="H53" s="37">
        <v>1005.25</v>
      </c>
    </row>
    <row r="54" spans="1:8" x14ac:dyDescent="0.2">
      <c r="A54" s="33">
        <v>4</v>
      </c>
      <c r="B54" s="33" t="s">
        <v>265</v>
      </c>
      <c r="C54" s="33">
        <v>1963</v>
      </c>
      <c r="D54" s="33">
        <v>171</v>
      </c>
      <c r="E54" s="33" t="s">
        <v>264</v>
      </c>
      <c r="G54" s="36">
        <v>1993</v>
      </c>
      <c r="H54" s="37">
        <v>1016.75</v>
      </c>
    </row>
    <row r="55" spans="1:8" x14ac:dyDescent="0.2">
      <c r="A55" s="33">
        <v>1</v>
      </c>
      <c r="B55" s="33" t="s">
        <v>263</v>
      </c>
      <c r="C55" s="33">
        <v>1964</v>
      </c>
      <c r="D55" s="33">
        <v>173</v>
      </c>
      <c r="E55" s="33" t="s">
        <v>264</v>
      </c>
      <c r="G55" s="36">
        <v>1994</v>
      </c>
      <c r="H55" s="37">
        <v>1018.25</v>
      </c>
    </row>
    <row r="56" spans="1:8" x14ac:dyDescent="0.2">
      <c r="A56" s="33">
        <v>2</v>
      </c>
      <c r="B56" s="33" t="s">
        <v>267</v>
      </c>
      <c r="C56" s="33">
        <v>1964</v>
      </c>
      <c r="D56" s="33">
        <v>176</v>
      </c>
      <c r="E56" s="33" t="s">
        <v>264</v>
      </c>
      <c r="G56" s="36">
        <v>1995</v>
      </c>
      <c r="H56" s="37">
        <v>1017.75</v>
      </c>
    </row>
    <row r="57" spans="1:8" x14ac:dyDescent="0.2">
      <c r="A57" s="33">
        <v>3</v>
      </c>
      <c r="B57" s="33" t="s">
        <v>266</v>
      </c>
      <c r="C57" s="33">
        <v>1964</v>
      </c>
      <c r="D57" s="33">
        <v>180</v>
      </c>
      <c r="E57" s="33" t="s">
        <v>264</v>
      </c>
      <c r="G57" s="36">
        <v>1996</v>
      </c>
      <c r="H57" s="37">
        <v>1035.75</v>
      </c>
    </row>
    <row r="58" spans="1:8" x14ac:dyDescent="0.2">
      <c r="A58" s="33">
        <v>4</v>
      </c>
      <c r="B58" s="33" t="s">
        <v>265</v>
      </c>
      <c r="C58" s="33">
        <v>1964</v>
      </c>
      <c r="D58" s="33">
        <v>184</v>
      </c>
      <c r="E58" s="33" t="s">
        <v>264</v>
      </c>
      <c r="G58" s="36">
        <v>1997</v>
      </c>
      <c r="H58" s="37">
        <v>1060.5</v>
      </c>
    </row>
    <row r="59" spans="1:8" x14ac:dyDescent="0.2">
      <c r="A59" s="33">
        <v>1</v>
      </c>
      <c r="B59" s="33" t="s">
        <v>263</v>
      </c>
      <c r="C59" s="33">
        <v>1965</v>
      </c>
      <c r="D59" s="33">
        <v>186</v>
      </c>
      <c r="E59" s="33" t="s">
        <v>264</v>
      </c>
      <c r="G59" s="36">
        <v>1998</v>
      </c>
      <c r="H59" s="37">
        <v>1061.75</v>
      </c>
    </row>
    <row r="60" spans="1:8" x14ac:dyDescent="0.2">
      <c r="A60" s="33">
        <v>2</v>
      </c>
      <c r="B60" s="33" t="s">
        <v>267</v>
      </c>
      <c r="C60" s="33">
        <v>1965</v>
      </c>
      <c r="D60" s="33">
        <v>188</v>
      </c>
      <c r="E60" s="33" t="s">
        <v>264</v>
      </c>
      <c r="G60" s="36">
        <v>1999</v>
      </c>
      <c r="H60" s="37">
        <v>1072.5</v>
      </c>
    </row>
    <row r="61" spans="1:8" x14ac:dyDescent="0.2">
      <c r="A61" s="33">
        <v>3</v>
      </c>
      <c r="B61" s="33" t="s">
        <v>266</v>
      </c>
      <c r="C61" s="33">
        <v>1965</v>
      </c>
      <c r="D61" s="33">
        <v>189</v>
      </c>
      <c r="E61" s="33" t="s">
        <v>264</v>
      </c>
      <c r="G61" s="36">
        <v>2000</v>
      </c>
      <c r="H61" s="37">
        <v>1098</v>
      </c>
    </row>
    <row r="62" spans="1:8" x14ac:dyDescent="0.2">
      <c r="A62" s="33">
        <v>4</v>
      </c>
      <c r="B62" s="33" t="s">
        <v>265</v>
      </c>
      <c r="C62" s="33">
        <v>1965</v>
      </c>
      <c r="D62" s="33">
        <v>190</v>
      </c>
      <c r="E62" s="33" t="s">
        <v>264</v>
      </c>
      <c r="G62" s="36">
        <v>2001</v>
      </c>
      <c r="H62" s="37">
        <v>1137.25</v>
      </c>
    </row>
    <row r="63" spans="1:8" x14ac:dyDescent="0.2">
      <c r="A63" s="33">
        <v>1</v>
      </c>
      <c r="B63" s="33" t="s">
        <v>263</v>
      </c>
      <c r="C63" s="33">
        <v>1966</v>
      </c>
      <c r="D63" s="33">
        <v>191</v>
      </c>
      <c r="E63" s="33" t="s">
        <v>264</v>
      </c>
      <c r="G63" s="36">
        <v>2002</v>
      </c>
      <c r="H63" s="37">
        <v>1166</v>
      </c>
    </row>
    <row r="64" spans="1:8" x14ac:dyDescent="0.2">
      <c r="A64" s="33">
        <v>2</v>
      </c>
      <c r="B64" s="33" t="s">
        <v>267</v>
      </c>
      <c r="C64" s="33">
        <v>1966</v>
      </c>
      <c r="D64" s="33">
        <v>193</v>
      </c>
      <c r="E64" s="33" t="s">
        <v>264</v>
      </c>
      <c r="G64" s="36">
        <v>2003</v>
      </c>
      <c r="H64" s="37">
        <v>1200.5</v>
      </c>
    </row>
    <row r="65" spans="1:8" x14ac:dyDescent="0.2">
      <c r="A65" s="33">
        <v>3</v>
      </c>
      <c r="B65" s="33" t="s">
        <v>266</v>
      </c>
      <c r="C65" s="33">
        <v>1966</v>
      </c>
      <c r="D65" s="33">
        <v>194</v>
      </c>
      <c r="E65" s="33" t="s">
        <v>264</v>
      </c>
      <c r="G65" s="36">
        <v>2004</v>
      </c>
      <c r="H65" s="37">
        <v>1258.25</v>
      </c>
    </row>
    <row r="66" spans="1:8" x14ac:dyDescent="0.2">
      <c r="A66" s="33">
        <v>4</v>
      </c>
      <c r="B66" s="33" t="s">
        <v>265</v>
      </c>
      <c r="C66" s="33">
        <v>1966</v>
      </c>
      <c r="D66" s="33">
        <v>194</v>
      </c>
      <c r="E66" s="33" t="s">
        <v>264</v>
      </c>
      <c r="G66" s="36">
        <v>2005</v>
      </c>
      <c r="H66" s="37">
        <v>1289</v>
      </c>
    </row>
    <row r="67" spans="1:8" x14ac:dyDescent="0.2">
      <c r="A67" s="33">
        <v>1</v>
      </c>
      <c r="B67" s="33" t="s">
        <v>263</v>
      </c>
      <c r="C67" s="33">
        <v>1967</v>
      </c>
      <c r="D67" s="33">
        <v>195</v>
      </c>
      <c r="E67" s="33" t="s">
        <v>264</v>
      </c>
      <c r="G67" s="36">
        <v>2006</v>
      </c>
      <c r="H67" s="37">
        <v>1378.75</v>
      </c>
    </row>
    <row r="68" spans="1:8" x14ac:dyDescent="0.2">
      <c r="A68" s="33">
        <v>2</v>
      </c>
      <c r="B68" s="33" t="s">
        <v>267</v>
      </c>
      <c r="C68" s="33">
        <v>1967</v>
      </c>
      <c r="D68" s="33">
        <v>196</v>
      </c>
      <c r="E68" s="33" t="s">
        <v>264</v>
      </c>
      <c r="G68" s="36">
        <v>2007</v>
      </c>
      <c r="H68" s="37">
        <v>1434.25</v>
      </c>
    </row>
    <row r="69" spans="1:8" x14ac:dyDescent="0.2">
      <c r="A69" s="33">
        <v>3</v>
      </c>
      <c r="B69" s="33" t="s">
        <v>266</v>
      </c>
      <c r="C69" s="33">
        <v>1967</v>
      </c>
      <c r="D69" s="33">
        <v>197</v>
      </c>
      <c r="E69" s="33" t="s">
        <v>264</v>
      </c>
      <c r="G69" s="36">
        <v>2008</v>
      </c>
      <c r="H69" s="37">
        <v>1497</v>
      </c>
    </row>
    <row r="70" spans="1:8" x14ac:dyDescent="0.2">
      <c r="A70" s="33">
        <v>4</v>
      </c>
      <c r="B70" s="33" t="s">
        <v>265</v>
      </c>
      <c r="C70" s="33">
        <v>1967</v>
      </c>
      <c r="D70" s="33">
        <v>197</v>
      </c>
      <c r="E70" s="33" t="s">
        <v>264</v>
      </c>
      <c r="G70" s="33">
        <v>2009</v>
      </c>
      <c r="H70" s="37">
        <f>AVERAGE(D235:D238)</f>
        <v>1502.5</v>
      </c>
    </row>
    <row r="71" spans="1:8" x14ac:dyDescent="0.2">
      <c r="A71" s="33">
        <v>1</v>
      </c>
      <c r="B71" s="33" t="s">
        <v>263</v>
      </c>
      <c r="C71" s="33">
        <v>1968</v>
      </c>
      <c r="D71" s="33">
        <v>198</v>
      </c>
      <c r="E71" s="33" t="s">
        <v>264</v>
      </c>
    </row>
    <row r="72" spans="1:8" x14ac:dyDescent="0.2">
      <c r="A72" s="33">
        <v>2</v>
      </c>
      <c r="B72" s="33" t="s">
        <v>267</v>
      </c>
      <c r="C72" s="33">
        <v>1968</v>
      </c>
      <c r="D72" s="33">
        <v>201</v>
      </c>
      <c r="E72" s="33" t="s">
        <v>264</v>
      </c>
    </row>
    <row r="73" spans="1:8" x14ac:dyDescent="0.2">
      <c r="A73" s="33">
        <v>3</v>
      </c>
      <c r="B73" s="33" t="s">
        <v>266</v>
      </c>
      <c r="C73" s="33">
        <v>1968</v>
      </c>
      <c r="D73" s="33">
        <v>209</v>
      </c>
      <c r="E73" s="33" t="s">
        <v>264</v>
      </c>
    </row>
    <row r="74" spans="1:8" x14ac:dyDescent="0.2">
      <c r="A74" s="33">
        <v>4</v>
      </c>
      <c r="B74" s="33" t="s">
        <v>265</v>
      </c>
      <c r="C74" s="33">
        <v>1968</v>
      </c>
      <c r="D74" s="33">
        <v>213</v>
      </c>
      <c r="E74" s="33" t="s">
        <v>264</v>
      </c>
    </row>
    <row r="75" spans="1:8" x14ac:dyDescent="0.2">
      <c r="A75" s="33">
        <v>1</v>
      </c>
      <c r="B75" s="33" t="s">
        <v>263</v>
      </c>
      <c r="C75" s="33">
        <v>1969</v>
      </c>
      <c r="D75" s="33">
        <v>216</v>
      </c>
      <c r="E75" s="33" t="s">
        <v>264</v>
      </c>
    </row>
    <row r="76" spans="1:8" x14ac:dyDescent="0.2">
      <c r="A76" s="33">
        <v>2</v>
      </c>
      <c r="B76" s="33" t="s">
        <v>267</v>
      </c>
      <c r="C76" s="33">
        <v>1969</v>
      </c>
      <c r="D76" s="33">
        <v>216</v>
      </c>
      <c r="E76" s="33" t="s">
        <v>264</v>
      </c>
    </row>
    <row r="77" spans="1:8" x14ac:dyDescent="0.2">
      <c r="A77" s="33">
        <v>3</v>
      </c>
      <c r="B77" s="33" t="s">
        <v>266</v>
      </c>
      <c r="C77" s="33">
        <v>1969</v>
      </c>
      <c r="D77" s="33">
        <v>217</v>
      </c>
      <c r="E77" s="33" t="s">
        <v>264</v>
      </c>
    </row>
    <row r="78" spans="1:8" x14ac:dyDescent="0.2">
      <c r="A78" s="33">
        <v>4</v>
      </c>
      <c r="B78" s="33" t="s">
        <v>265</v>
      </c>
      <c r="C78" s="33">
        <v>1969</v>
      </c>
      <c r="D78" s="33">
        <v>219</v>
      </c>
      <c r="E78" s="33" t="s">
        <v>264</v>
      </c>
    </row>
    <row r="79" spans="1:8" x14ac:dyDescent="0.2">
      <c r="A79" s="33">
        <v>1</v>
      </c>
      <c r="B79" s="33" t="s">
        <v>263</v>
      </c>
      <c r="C79" s="33">
        <v>1970</v>
      </c>
      <c r="D79" s="33">
        <v>220</v>
      </c>
      <c r="E79" s="33" t="s">
        <v>264</v>
      </c>
    </row>
    <row r="80" spans="1:8" x14ac:dyDescent="0.2">
      <c r="A80" s="33">
        <v>2</v>
      </c>
      <c r="B80" s="33" t="s">
        <v>267</v>
      </c>
      <c r="C80" s="33">
        <v>1970</v>
      </c>
      <c r="D80" s="33">
        <v>222</v>
      </c>
      <c r="E80" s="33" t="s">
        <v>264</v>
      </c>
    </row>
    <row r="81" spans="1:5" x14ac:dyDescent="0.2">
      <c r="A81" s="33">
        <v>3</v>
      </c>
      <c r="B81" s="33" t="s">
        <v>266</v>
      </c>
      <c r="C81" s="33">
        <v>1970</v>
      </c>
      <c r="D81" s="33">
        <v>224</v>
      </c>
      <c r="E81" s="33" t="s">
        <v>264</v>
      </c>
    </row>
    <row r="82" spans="1:5" x14ac:dyDescent="0.2">
      <c r="A82" s="33">
        <v>4</v>
      </c>
      <c r="B82" s="33" t="s">
        <v>265</v>
      </c>
      <c r="C82" s="33">
        <v>1970</v>
      </c>
      <c r="D82" s="33">
        <v>226</v>
      </c>
      <c r="E82" s="33" t="s">
        <v>264</v>
      </c>
    </row>
    <row r="83" spans="1:5" x14ac:dyDescent="0.2">
      <c r="A83" s="33">
        <v>1</v>
      </c>
      <c r="B83" s="33" t="s">
        <v>263</v>
      </c>
      <c r="C83" s="33">
        <v>1971</v>
      </c>
      <c r="D83" s="33">
        <v>231</v>
      </c>
      <c r="E83" s="33" t="s">
        <v>264</v>
      </c>
    </row>
    <row r="84" spans="1:5" x14ac:dyDescent="0.2">
      <c r="A84" s="33">
        <v>2</v>
      </c>
      <c r="B84" s="33" t="s">
        <v>267</v>
      </c>
      <c r="C84" s="33">
        <v>1971</v>
      </c>
      <c r="D84" s="33">
        <v>235</v>
      </c>
      <c r="E84" s="33" t="s">
        <v>264</v>
      </c>
    </row>
    <row r="85" spans="1:5" x14ac:dyDescent="0.2">
      <c r="A85" s="33">
        <v>3</v>
      </c>
      <c r="B85" s="33" t="s">
        <v>266</v>
      </c>
      <c r="C85" s="33">
        <v>1971</v>
      </c>
      <c r="D85" s="33">
        <v>238</v>
      </c>
      <c r="E85" s="33" t="s">
        <v>264</v>
      </c>
    </row>
    <row r="86" spans="1:5" x14ac:dyDescent="0.2">
      <c r="A86" s="33">
        <v>4</v>
      </c>
      <c r="B86" s="33" t="s">
        <v>265</v>
      </c>
      <c r="C86" s="33">
        <v>1971</v>
      </c>
      <c r="D86" s="33">
        <v>241</v>
      </c>
      <c r="E86" s="33" t="s">
        <v>264</v>
      </c>
    </row>
    <row r="87" spans="1:5" x14ac:dyDescent="0.2">
      <c r="A87" s="33">
        <v>1</v>
      </c>
      <c r="B87" s="33" t="s">
        <v>263</v>
      </c>
      <c r="C87" s="33">
        <v>1972</v>
      </c>
      <c r="D87" s="33">
        <v>244</v>
      </c>
      <c r="E87" s="33" t="s">
        <v>264</v>
      </c>
    </row>
    <row r="88" spans="1:5" x14ac:dyDescent="0.2">
      <c r="A88" s="33">
        <v>2</v>
      </c>
      <c r="B88" s="33" t="s">
        <v>267</v>
      </c>
      <c r="C88" s="33">
        <v>1972</v>
      </c>
      <c r="D88" s="33">
        <v>248</v>
      </c>
      <c r="E88" s="33" t="s">
        <v>264</v>
      </c>
    </row>
    <row r="89" spans="1:5" x14ac:dyDescent="0.2">
      <c r="A89" s="33">
        <v>3</v>
      </c>
      <c r="B89" s="33" t="s">
        <v>266</v>
      </c>
      <c r="C89" s="33">
        <v>1972</v>
      </c>
      <c r="D89" s="33">
        <v>252</v>
      </c>
      <c r="E89" s="33" t="s">
        <v>264</v>
      </c>
    </row>
    <row r="90" spans="1:5" x14ac:dyDescent="0.2">
      <c r="A90" s="33">
        <v>4</v>
      </c>
      <c r="B90" s="33" t="s">
        <v>265</v>
      </c>
      <c r="C90" s="33">
        <v>1972</v>
      </c>
      <c r="D90" s="33">
        <v>257</v>
      </c>
      <c r="E90" s="33" t="s">
        <v>264</v>
      </c>
    </row>
    <row r="91" spans="1:5" x14ac:dyDescent="0.2">
      <c r="A91" s="33">
        <v>1</v>
      </c>
      <c r="B91" s="33" t="s">
        <v>263</v>
      </c>
      <c r="C91" s="33">
        <v>1973</v>
      </c>
      <c r="D91" s="33">
        <v>262</v>
      </c>
      <c r="E91" s="33" t="s">
        <v>264</v>
      </c>
    </row>
    <row r="92" spans="1:5" x14ac:dyDescent="0.2">
      <c r="A92" s="33">
        <v>2</v>
      </c>
      <c r="B92" s="33" t="s">
        <v>267</v>
      </c>
      <c r="C92" s="33">
        <v>1973</v>
      </c>
      <c r="D92" s="33">
        <v>268</v>
      </c>
      <c r="E92" s="33" t="s">
        <v>264</v>
      </c>
    </row>
    <row r="93" spans="1:5" x14ac:dyDescent="0.2">
      <c r="A93" s="33">
        <v>3</v>
      </c>
      <c r="B93" s="33" t="s">
        <v>266</v>
      </c>
      <c r="C93" s="33">
        <v>1973</v>
      </c>
      <c r="D93" s="33">
        <v>274</v>
      </c>
      <c r="E93" s="33" t="s">
        <v>264</v>
      </c>
    </row>
    <row r="94" spans="1:5" x14ac:dyDescent="0.2">
      <c r="A94" s="33">
        <v>4</v>
      </c>
      <c r="B94" s="33" t="s">
        <v>265</v>
      </c>
      <c r="C94" s="33">
        <v>1973</v>
      </c>
      <c r="D94" s="33">
        <v>280</v>
      </c>
      <c r="E94" s="33" t="s">
        <v>264</v>
      </c>
    </row>
    <row r="95" spans="1:5" x14ac:dyDescent="0.2">
      <c r="A95" s="33">
        <v>1</v>
      </c>
      <c r="B95" s="33" t="s">
        <v>263</v>
      </c>
      <c r="C95" s="33">
        <v>1974</v>
      </c>
      <c r="D95" s="33">
        <v>291</v>
      </c>
      <c r="E95" s="33" t="s">
        <v>264</v>
      </c>
    </row>
    <row r="96" spans="1:5" x14ac:dyDescent="0.2">
      <c r="A96" s="33">
        <v>2</v>
      </c>
      <c r="B96" s="33" t="s">
        <v>267</v>
      </c>
      <c r="C96" s="33">
        <v>1974</v>
      </c>
      <c r="D96" s="33">
        <v>302</v>
      </c>
      <c r="E96" s="33" t="s">
        <v>264</v>
      </c>
    </row>
    <row r="97" spans="1:5" x14ac:dyDescent="0.2">
      <c r="A97" s="33">
        <v>3</v>
      </c>
      <c r="B97" s="33" t="s">
        <v>266</v>
      </c>
      <c r="C97" s="33">
        <v>1974</v>
      </c>
      <c r="D97" s="33">
        <v>322</v>
      </c>
      <c r="E97" s="33" t="s">
        <v>264</v>
      </c>
    </row>
    <row r="98" spans="1:5" x14ac:dyDescent="0.2">
      <c r="A98" s="33">
        <v>4</v>
      </c>
      <c r="B98" s="33" t="s">
        <v>265</v>
      </c>
      <c r="C98" s="33">
        <v>1974</v>
      </c>
      <c r="D98" s="33">
        <v>339</v>
      </c>
      <c r="E98" s="33" t="s">
        <v>264</v>
      </c>
    </row>
    <row r="99" spans="1:5" x14ac:dyDescent="0.2">
      <c r="A99" s="33">
        <v>1</v>
      </c>
      <c r="B99" s="33" t="s">
        <v>263</v>
      </c>
      <c r="C99" s="33">
        <v>1975</v>
      </c>
      <c r="D99" s="33">
        <v>345</v>
      </c>
      <c r="E99" s="33" t="s">
        <v>264</v>
      </c>
    </row>
    <row r="100" spans="1:5" x14ac:dyDescent="0.2">
      <c r="A100" s="33">
        <v>2</v>
      </c>
      <c r="B100" s="33" t="s">
        <v>267</v>
      </c>
      <c r="C100" s="33">
        <v>1975</v>
      </c>
      <c r="D100" s="33">
        <v>353</v>
      </c>
      <c r="E100" s="33" t="s">
        <v>264</v>
      </c>
    </row>
    <row r="101" spans="1:5" x14ac:dyDescent="0.2">
      <c r="A101" s="33">
        <v>3</v>
      </c>
      <c r="B101" s="33" t="s">
        <v>266</v>
      </c>
      <c r="C101" s="33">
        <v>1975</v>
      </c>
      <c r="D101" s="33">
        <v>357</v>
      </c>
      <c r="E101" s="33" t="s">
        <v>264</v>
      </c>
    </row>
    <row r="102" spans="1:5" x14ac:dyDescent="0.2">
      <c r="A102" s="33">
        <v>4</v>
      </c>
      <c r="B102" s="33" t="s">
        <v>265</v>
      </c>
      <c r="C102" s="33">
        <v>1975</v>
      </c>
      <c r="D102" s="33">
        <v>364</v>
      </c>
      <c r="E102" s="33" t="s">
        <v>264</v>
      </c>
    </row>
    <row r="103" spans="1:5" x14ac:dyDescent="0.2">
      <c r="A103" s="33">
        <v>1</v>
      </c>
      <c r="B103" s="33" t="s">
        <v>263</v>
      </c>
      <c r="C103" s="33">
        <v>1976</v>
      </c>
      <c r="D103" s="33">
        <v>375</v>
      </c>
      <c r="E103" s="33" t="s">
        <v>264</v>
      </c>
    </row>
    <row r="104" spans="1:5" x14ac:dyDescent="0.2">
      <c r="A104" s="33">
        <v>2</v>
      </c>
      <c r="B104" s="33" t="s">
        <v>267</v>
      </c>
      <c r="C104" s="33">
        <v>1976</v>
      </c>
      <c r="D104" s="33">
        <v>391</v>
      </c>
      <c r="E104" s="33" t="s">
        <v>264</v>
      </c>
    </row>
    <row r="105" spans="1:5" x14ac:dyDescent="0.2">
      <c r="A105" s="33">
        <v>3</v>
      </c>
      <c r="B105" s="33" t="s">
        <v>266</v>
      </c>
      <c r="C105" s="33">
        <v>1976</v>
      </c>
      <c r="D105" s="33">
        <v>403</v>
      </c>
      <c r="E105" s="33" t="s">
        <v>264</v>
      </c>
    </row>
    <row r="106" spans="1:5" x14ac:dyDescent="0.2">
      <c r="A106" s="33">
        <v>4</v>
      </c>
      <c r="B106" s="33" t="s">
        <v>265</v>
      </c>
      <c r="C106" s="33">
        <v>1976</v>
      </c>
      <c r="D106" s="33">
        <v>415</v>
      </c>
      <c r="E106" s="33" t="s">
        <v>264</v>
      </c>
    </row>
    <row r="107" spans="1:5" x14ac:dyDescent="0.2">
      <c r="A107" s="33">
        <v>1</v>
      </c>
      <c r="B107" s="33" t="s">
        <v>263</v>
      </c>
      <c r="C107" s="33">
        <v>1977</v>
      </c>
      <c r="D107" s="33">
        <v>416</v>
      </c>
      <c r="E107" s="33" t="s">
        <v>264</v>
      </c>
    </row>
    <row r="108" spans="1:5" x14ac:dyDescent="0.2">
      <c r="A108" s="33">
        <v>2</v>
      </c>
      <c r="B108" s="33" t="s">
        <v>267</v>
      </c>
      <c r="C108" s="33">
        <v>1977</v>
      </c>
      <c r="D108" s="33">
        <v>430</v>
      </c>
      <c r="E108" s="33" t="s">
        <v>264</v>
      </c>
    </row>
    <row r="109" spans="1:5" x14ac:dyDescent="0.2">
      <c r="A109" s="33">
        <v>3</v>
      </c>
      <c r="B109" s="33" t="s">
        <v>266</v>
      </c>
      <c r="C109" s="33">
        <v>1977</v>
      </c>
      <c r="D109" s="33">
        <v>438</v>
      </c>
      <c r="E109" s="33" t="s">
        <v>264</v>
      </c>
    </row>
    <row r="110" spans="1:5" x14ac:dyDescent="0.2">
      <c r="A110" s="33">
        <v>4</v>
      </c>
      <c r="B110" s="33" t="s">
        <v>265</v>
      </c>
      <c r="C110" s="33">
        <v>1977</v>
      </c>
      <c r="D110" s="33">
        <v>449</v>
      </c>
      <c r="E110" s="33" t="s">
        <v>264</v>
      </c>
    </row>
    <row r="111" spans="1:5" x14ac:dyDescent="0.2">
      <c r="A111" s="33">
        <v>1</v>
      </c>
      <c r="B111" s="33" t="s">
        <v>263</v>
      </c>
      <c r="C111" s="33">
        <v>1978</v>
      </c>
      <c r="D111" s="33">
        <v>452</v>
      </c>
      <c r="E111" s="33" t="s">
        <v>264</v>
      </c>
    </row>
    <row r="112" spans="1:5" x14ac:dyDescent="0.2">
      <c r="A112" s="33">
        <v>2</v>
      </c>
      <c r="B112" s="33" t="s">
        <v>267</v>
      </c>
      <c r="C112" s="33">
        <v>1978</v>
      </c>
      <c r="D112" s="33">
        <v>461</v>
      </c>
      <c r="E112" s="33" t="s">
        <v>264</v>
      </c>
    </row>
    <row r="113" spans="1:5" x14ac:dyDescent="0.2">
      <c r="A113" s="33">
        <v>3</v>
      </c>
      <c r="B113" s="33" t="s">
        <v>266</v>
      </c>
      <c r="C113" s="33">
        <v>1978</v>
      </c>
      <c r="D113" s="33">
        <v>472</v>
      </c>
      <c r="E113" s="33" t="s">
        <v>264</v>
      </c>
    </row>
    <row r="114" spans="1:5" x14ac:dyDescent="0.2">
      <c r="A114" s="33">
        <v>4</v>
      </c>
      <c r="B114" s="33" t="s">
        <v>265</v>
      </c>
      <c r="C114" s="33">
        <v>1978</v>
      </c>
      <c r="D114" s="33">
        <v>499</v>
      </c>
      <c r="E114" s="33" t="s">
        <v>264</v>
      </c>
    </row>
    <row r="115" spans="1:5" x14ac:dyDescent="0.2">
      <c r="A115" s="33">
        <v>1</v>
      </c>
      <c r="B115" s="33" t="s">
        <v>263</v>
      </c>
      <c r="C115" s="33">
        <v>1979</v>
      </c>
      <c r="D115" s="33">
        <v>502</v>
      </c>
      <c r="E115" s="33" t="s">
        <v>264</v>
      </c>
    </row>
    <row r="116" spans="1:5" x14ac:dyDescent="0.2">
      <c r="A116" s="33">
        <v>2</v>
      </c>
      <c r="B116" s="33" t="s">
        <v>267</v>
      </c>
      <c r="C116" s="33">
        <v>1979</v>
      </c>
      <c r="D116" s="33">
        <v>510</v>
      </c>
      <c r="E116" s="33" t="s">
        <v>264</v>
      </c>
    </row>
    <row r="117" spans="1:5" x14ac:dyDescent="0.2">
      <c r="A117" s="33">
        <v>3</v>
      </c>
      <c r="B117" s="33" t="s">
        <v>266</v>
      </c>
      <c r="C117" s="33">
        <v>1979</v>
      </c>
      <c r="D117" s="33">
        <v>525</v>
      </c>
      <c r="E117" s="33" t="s">
        <v>264</v>
      </c>
    </row>
    <row r="118" spans="1:5" x14ac:dyDescent="0.2">
      <c r="A118" s="33">
        <v>4</v>
      </c>
      <c r="B118" s="33" t="s">
        <v>265</v>
      </c>
      <c r="C118" s="33">
        <v>1979</v>
      </c>
      <c r="D118" s="33">
        <v>548</v>
      </c>
      <c r="E118" s="33" t="s">
        <v>264</v>
      </c>
    </row>
    <row r="119" spans="1:5" x14ac:dyDescent="0.2">
      <c r="A119" s="33">
        <v>1</v>
      </c>
      <c r="B119" s="33" t="s">
        <v>263</v>
      </c>
      <c r="C119" s="33">
        <v>1980</v>
      </c>
      <c r="D119" s="33">
        <v>569</v>
      </c>
      <c r="E119" s="33" t="s">
        <v>264</v>
      </c>
    </row>
    <row r="120" spans="1:5" x14ac:dyDescent="0.2">
      <c r="A120" s="33">
        <v>2</v>
      </c>
      <c r="B120" s="33" t="s">
        <v>267</v>
      </c>
      <c r="C120" s="33">
        <v>1980</v>
      </c>
      <c r="D120" s="33">
        <v>587</v>
      </c>
      <c r="E120" s="33" t="s">
        <v>264</v>
      </c>
    </row>
    <row r="121" spans="1:5" x14ac:dyDescent="0.2">
      <c r="A121" s="33">
        <v>3</v>
      </c>
      <c r="B121" s="33" t="s">
        <v>266</v>
      </c>
      <c r="C121" s="33">
        <v>1980</v>
      </c>
      <c r="D121" s="33">
        <v>604</v>
      </c>
      <c r="E121" s="33" t="s">
        <v>264</v>
      </c>
    </row>
    <row r="122" spans="1:5" x14ac:dyDescent="0.2">
      <c r="A122" s="33">
        <v>4</v>
      </c>
      <c r="B122" s="33" t="s">
        <v>265</v>
      </c>
      <c r="C122" s="33">
        <v>1980</v>
      </c>
      <c r="D122" s="33">
        <v>610</v>
      </c>
      <c r="E122" s="33" t="s">
        <v>264</v>
      </c>
    </row>
    <row r="123" spans="1:5" x14ac:dyDescent="0.2">
      <c r="A123" s="33">
        <v>1</v>
      </c>
      <c r="B123" s="33" t="s">
        <v>263</v>
      </c>
      <c r="C123" s="33">
        <v>1981</v>
      </c>
      <c r="D123" s="33">
        <v>630</v>
      </c>
      <c r="E123" s="33" t="s">
        <v>264</v>
      </c>
    </row>
    <row r="124" spans="1:5" x14ac:dyDescent="0.2">
      <c r="A124" s="33">
        <v>2</v>
      </c>
      <c r="B124" s="33" t="s">
        <v>267</v>
      </c>
      <c r="C124" s="33">
        <v>1981</v>
      </c>
      <c r="D124" s="33">
        <v>636</v>
      </c>
      <c r="E124" s="33" t="s">
        <v>264</v>
      </c>
    </row>
    <row r="125" spans="1:5" x14ac:dyDescent="0.2">
      <c r="A125" s="33">
        <v>3</v>
      </c>
      <c r="B125" s="33" t="s">
        <v>266</v>
      </c>
      <c r="C125" s="33">
        <v>1981</v>
      </c>
      <c r="D125" s="33">
        <v>652</v>
      </c>
      <c r="E125" s="33" t="s">
        <v>264</v>
      </c>
    </row>
    <row r="126" spans="1:5" x14ac:dyDescent="0.2">
      <c r="A126" s="33">
        <v>4</v>
      </c>
      <c r="B126" s="33" t="s">
        <v>265</v>
      </c>
      <c r="C126" s="33">
        <v>1981</v>
      </c>
      <c r="D126" s="33">
        <v>673</v>
      </c>
      <c r="E126" s="33" t="s">
        <v>264</v>
      </c>
    </row>
    <row r="127" spans="1:5" x14ac:dyDescent="0.2">
      <c r="A127" s="33">
        <v>1</v>
      </c>
      <c r="B127" s="33" t="s">
        <v>263</v>
      </c>
      <c r="C127" s="33">
        <v>1982</v>
      </c>
      <c r="D127" s="33">
        <v>697</v>
      </c>
      <c r="E127" s="33" t="s">
        <v>264</v>
      </c>
    </row>
    <row r="128" spans="1:5" x14ac:dyDescent="0.2">
      <c r="A128" s="33">
        <v>2</v>
      </c>
      <c r="B128" s="33" t="s">
        <v>267</v>
      </c>
      <c r="C128" s="33">
        <v>1982</v>
      </c>
      <c r="D128" s="33">
        <v>717</v>
      </c>
      <c r="E128" s="33" t="s">
        <v>264</v>
      </c>
    </row>
    <row r="129" spans="1:5" x14ac:dyDescent="0.2">
      <c r="A129" s="33">
        <v>3</v>
      </c>
      <c r="B129" s="33" t="s">
        <v>266</v>
      </c>
      <c r="C129" s="33">
        <v>1982</v>
      </c>
      <c r="D129" s="33">
        <v>732</v>
      </c>
      <c r="E129" s="33" t="s">
        <v>264</v>
      </c>
    </row>
    <row r="130" spans="1:5" x14ac:dyDescent="0.2">
      <c r="A130" s="33">
        <v>4</v>
      </c>
      <c r="B130" s="33" t="s">
        <v>265</v>
      </c>
      <c r="C130" s="33">
        <v>1982</v>
      </c>
      <c r="D130" s="33">
        <v>727</v>
      </c>
      <c r="E130" s="33" t="s">
        <v>264</v>
      </c>
    </row>
    <row r="131" spans="1:5" x14ac:dyDescent="0.2">
      <c r="A131" s="33">
        <v>1</v>
      </c>
      <c r="B131" s="33" t="s">
        <v>263</v>
      </c>
      <c r="C131" s="33">
        <v>1983</v>
      </c>
      <c r="D131" s="33">
        <v>746</v>
      </c>
      <c r="E131" s="33" t="s">
        <v>264</v>
      </c>
    </row>
    <row r="132" spans="1:5" x14ac:dyDescent="0.2">
      <c r="A132" s="33">
        <v>2</v>
      </c>
      <c r="B132" s="33" t="s">
        <v>267</v>
      </c>
      <c r="C132" s="33">
        <v>1983</v>
      </c>
      <c r="D132" s="33">
        <v>760</v>
      </c>
      <c r="E132" s="33" t="s">
        <v>264</v>
      </c>
    </row>
    <row r="133" spans="1:5" x14ac:dyDescent="0.2">
      <c r="A133" s="33">
        <v>3</v>
      </c>
      <c r="B133" s="33" t="s">
        <v>266</v>
      </c>
      <c r="C133" s="33">
        <v>1983</v>
      </c>
      <c r="D133" s="33">
        <v>776</v>
      </c>
      <c r="E133" s="33" t="s">
        <v>264</v>
      </c>
    </row>
    <row r="134" spans="1:5" x14ac:dyDescent="0.2">
      <c r="A134" s="33">
        <v>4</v>
      </c>
      <c r="B134" s="33" t="s">
        <v>265</v>
      </c>
      <c r="C134" s="33">
        <v>1983</v>
      </c>
      <c r="D134" s="33">
        <v>782</v>
      </c>
      <c r="E134" s="33" t="s">
        <v>264</v>
      </c>
    </row>
    <row r="135" spans="1:5" x14ac:dyDescent="0.2">
      <c r="A135" s="33">
        <v>1</v>
      </c>
      <c r="B135" s="33" t="s">
        <v>263</v>
      </c>
      <c r="C135" s="33">
        <v>1984</v>
      </c>
      <c r="D135" s="33">
        <v>794</v>
      </c>
      <c r="E135" s="33" t="s">
        <v>264</v>
      </c>
    </row>
    <row r="136" spans="1:5" x14ac:dyDescent="0.2">
      <c r="A136" s="33">
        <v>2</v>
      </c>
      <c r="B136" s="33" t="s">
        <v>267</v>
      </c>
      <c r="C136" s="33">
        <v>1984</v>
      </c>
      <c r="D136" s="33">
        <v>810</v>
      </c>
      <c r="E136" s="33" t="s">
        <v>264</v>
      </c>
    </row>
    <row r="137" spans="1:5" x14ac:dyDescent="0.2">
      <c r="A137" s="33">
        <v>3</v>
      </c>
      <c r="B137" s="33" t="s">
        <v>266</v>
      </c>
      <c r="C137" s="33">
        <v>1984</v>
      </c>
      <c r="D137" s="33">
        <v>820</v>
      </c>
      <c r="E137" s="33" t="s">
        <v>264</v>
      </c>
    </row>
    <row r="138" spans="1:5" x14ac:dyDescent="0.2">
      <c r="A138" s="33">
        <v>4</v>
      </c>
      <c r="B138" s="33" t="s">
        <v>265</v>
      </c>
      <c r="C138" s="33">
        <v>1984</v>
      </c>
      <c r="D138" s="33">
        <v>821</v>
      </c>
      <c r="E138" s="33" t="s">
        <v>264</v>
      </c>
    </row>
    <row r="139" spans="1:5" x14ac:dyDescent="0.2">
      <c r="A139" s="33">
        <v>1</v>
      </c>
      <c r="B139" s="33" t="s">
        <v>263</v>
      </c>
      <c r="C139" s="33">
        <v>1985</v>
      </c>
      <c r="D139" s="33">
        <v>826</v>
      </c>
      <c r="E139" s="33" t="s">
        <v>264</v>
      </c>
    </row>
    <row r="140" spans="1:5" x14ac:dyDescent="0.2">
      <c r="A140" s="33">
        <v>2</v>
      </c>
      <c r="B140" s="33" t="s">
        <v>267</v>
      </c>
      <c r="C140" s="33">
        <v>1985</v>
      </c>
      <c r="D140" s="33">
        <v>834</v>
      </c>
      <c r="E140" s="33" t="s">
        <v>264</v>
      </c>
    </row>
    <row r="141" spans="1:5" x14ac:dyDescent="0.2">
      <c r="A141" s="33">
        <v>3</v>
      </c>
      <c r="B141" s="33" t="s">
        <v>266</v>
      </c>
      <c r="C141" s="33">
        <v>1985</v>
      </c>
      <c r="D141" s="33">
        <v>841</v>
      </c>
      <c r="E141" s="33" t="s">
        <v>264</v>
      </c>
    </row>
    <row r="142" spans="1:5" x14ac:dyDescent="0.2">
      <c r="A142" s="33">
        <v>4</v>
      </c>
      <c r="B142" s="33" t="s">
        <v>265</v>
      </c>
      <c r="C142" s="33">
        <v>1985</v>
      </c>
      <c r="D142" s="33">
        <v>847</v>
      </c>
      <c r="E142" s="33" t="s">
        <v>264</v>
      </c>
    </row>
    <row r="143" spans="1:5" x14ac:dyDescent="0.2">
      <c r="A143" s="33">
        <v>1</v>
      </c>
      <c r="B143" s="33" t="s">
        <v>263</v>
      </c>
      <c r="C143" s="33">
        <v>1986</v>
      </c>
      <c r="D143" s="33">
        <v>855</v>
      </c>
      <c r="E143" s="33" t="s">
        <v>264</v>
      </c>
    </row>
    <row r="144" spans="1:5" x14ac:dyDescent="0.2">
      <c r="A144" s="33">
        <v>2</v>
      </c>
      <c r="B144" s="33" t="s">
        <v>267</v>
      </c>
      <c r="C144" s="33">
        <v>1986</v>
      </c>
      <c r="D144" s="33">
        <v>859</v>
      </c>
      <c r="E144" s="33" t="s">
        <v>264</v>
      </c>
    </row>
    <row r="145" spans="1:5" x14ac:dyDescent="0.2">
      <c r="A145" s="33">
        <v>3</v>
      </c>
      <c r="B145" s="33" t="s">
        <v>266</v>
      </c>
      <c r="C145" s="33">
        <v>1986</v>
      </c>
      <c r="D145" s="33">
        <v>861</v>
      </c>
      <c r="E145" s="33" t="s">
        <v>264</v>
      </c>
    </row>
    <row r="146" spans="1:5" x14ac:dyDescent="0.2">
      <c r="A146" s="33">
        <v>4</v>
      </c>
      <c r="B146" s="33" t="s">
        <v>265</v>
      </c>
      <c r="C146" s="33">
        <v>1986</v>
      </c>
      <c r="D146" s="33">
        <v>881</v>
      </c>
      <c r="E146" s="33" t="s">
        <v>264</v>
      </c>
    </row>
    <row r="147" spans="1:5" x14ac:dyDescent="0.2">
      <c r="A147" s="33">
        <v>1</v>
      </c>
      <c r="B147" s="33" t="s">
        <v>263</v>
      </c>
      <c r="C147" s="33">
        <v>1987</v>
      </c>
      <c r="D147" s="33">
        <v>884</v>
      </c>
      <c r="E147" s="33" t="s">
        <v>264</v>
      </c>
    </row>
    <row r="148" spans="1:5" x14ac:dyDescent="0.2">
      <c r="A148" s="33">
        <v>2</v>
      </c>
      <c r="B148" s="33" t="s">
        <v>267</v>
      </c>
      <c r="C148" s="33">
        <v>1987</v>
      </c>
      <c r="D148" s="33">
        <v>889</v>
      </c>
      <c r="E148" s="33" t="s">
        <v>264</v>
      </c>
    </row>
    <row r="149" spans="1:5" x14ac:dyDescent="0.2">
      <c r="A149" s="33">
        <v>3</v>
      </c>
      <c r="B149" s="33" t="s">
        <v>266</v>
      </c>
      <c r="C149" s="33">
        <v>1987</v>
      </c>
      <c r="D149" s="33">
        <v>895</v>
      </c>
      <c r="E149" s="33" t="s">
        <v>264</v>
      </c>
    </row>
    <row r="150" spans="1:5" x14ac:dyDescent="0.2">
      <c r="A150" s="33">
        <v>4</v>
      </c>
      <c r="B150" s="33" t="s">
        <v>265</v>
      </c>
      <c r="C150" s="33">
        <v>1987</v>
      </c>
      <c r="D150" s="33">
        <v>890</v>
      </c>
      <c r="E150" s="33" t="s">
        <v>264</v>
      </c>
    </row>
    <row r="151" spans="1:5" x14ac:dyDescent="0.2">
      <c r="A151" s="33">
        <v>1</v>
      </c>
      <c r="B151" s="33" t="s">
        <v>263</v>
      </c>
      <c r="C151" s="33">
        <v>1988</v>
      </c>
      <c r="D151" s="33">
        <v>908</v>
      </c>
      <c r="E151" s="33" t="s">
        <v>264</v>
      </c>
    </row>
    <row r="152" spans="1:5" x14ac:dyDescent="0.2">
      <c r="A152" s="33">
        <v>2</v>
      </c>
      <c r="B152" s="33" t="s">
        <v>267</v>
      </c>
      <c r="C152" s="33">
        <v>1988</v>
      </c>
      <c r="D152" s="33">
        <v>912</v>
      </c>
      <c r="E152" s="33" t="s">
        <v>264</v>
      </c>
    </row>
    <row r="153" spans="1:5" x14ac:dyDescent="0.2">
      <c r="A153" s="33">
        <v>3</v>
      </c>
      <c r="B153" s="33" t="s">
        <v>266</v>
      </c>
      <c r="C153" s="33">
        <v>1988</v>
      </c>
      <c r="D153" s="33">
        <v>919</v>
      </c>
      <c r="E153" s="33" t="s">
        <v>264</v>
      </c>
    </row>
    <row r="154" spans="1:5" x14ac:dyDescent="0.2">
      <c r="A154" s="33">
        <v>4</v>
      </c>
      <c r="B154" s="33" t="s">
        <v>265</v>
      </c>
      <c r="C154" s="33">
        <v>1988</v>
      </c>
      <c r="D154" s="33">
        <v>919</v>
      </c>
      <c r="E154" s="33" t="s">
        <v>264</v>
      </c>
    </row>
    <row r="155" spans="1:5" x14ac:dyDescent="0.2">
      <c r="A155" s="33">
        <v>1</v>
      </c>
      <c r="B155" s="33" t="s">
        <v>263</v>
      </c>
      <c r="C155" s="33">
        <v>1989</v>
      </c>
      <c r="D155" s="33">
        <v>929</v>
      </c>
      <c r="E155" s="33" t="s">
        <v>264</v>
      </c>
    </row>
    <row r="156" spans="1:5" x14ac:dyDescent="0.2">
      <c r="A156" s="33">
        <v>2</v>
      </c>
      <c r="B156" s="33" t="s">
        <v>267</v>
      </c>
      <c r="C156" s="33">
        <v>1989</v>
      </c>
      <c r="D156" s="33">
        <v>924</v>
      </c>
      <c r="E156" s="33" t="s">
        <v>264</v>
      </c>
    </row>
    <row r="157" spans="1:5" x14ac:dyDescent="0.2">
      <c r="A157" s="33">
        <v>3</v>
      </c>
      <c r="B157" s="33" t="s">
        <v>266</v>
      </c>
      <c r="C157" s="33">
        <v>1989</v>
      </c>
      <c r="D157" s="33">
        <v>929</v>
      </c>
      <c r="E157" s="33" t="s">
        <v>264</v>
      </c>
    </row>
    <row r="158" spans="1:5" x14ac:dyDescent="0.2">
      <c r="A158" s="33">
        <v>4</v>
      </c>
      <c r="B158" s="33" t="s">
        <v>265</v>
      </c>
      <c r="C158" s="33">
        <v>1989</v>
      </c>
      <c r="D158" s="33">
        <v>927</v>
      </c>
      <c r="E158" s="33" t="s">
        <v>264</v>
      </c>
    </row>
    <row r="159" spans="1:5" x14ac:dyDescent="0.2">
      <c r="A159" s="33">
        <v>1</v>
      </c>
      <c r="B159" s="33" t="s">
        <v>263</v>
      </c>
      <c r="C159" s="33">
        <v>1990</v>
      </c>
      <c r="D159" s="33">
        <v>939</v>
      </c>
      <c r="E159" s="33" t="s">
        <v>264</v>
      </c>
    </row>
    <row r="160" spans="1:5" x14ac:dyDescent="0.2">
      <c r="A160" s="33">
        <v>2</v>
      </c>
      <c r="B160" s="33" t="s">
        <v>267</v>
      </c>
      <c r="C160" s="33">
        <v>1990</v>
      </c>
      <c r="D160" s="33">
        <v>951</v>
      </c>
      <c r="E160" s="33" t="s">
        <v>264</v>
      </c>
    </row>
    <row r="161" spans="1:5" x14ac:dyDescent="0.2">
      <c r="A161" s="33">
        <v>3</v>
      </c>
      <c r="B161" s="33" t="s">
        <v>266</v>
      </c>
      <c r="C161" s="33">
        <v>1990</v>
      </c>
      <c r="D161" s="33">
        <v>956</v>
      </c>
      <c r="E161" s="33" t="s">
        <v>264</v>
      </c>
    </row>
    <row r="162" spans="1:5" x14ac:dyDescent="0.2">
      <c r="A162" s="33">
        <v>4</v>
      </c>
      <c r="B162" s="33" t="s">
        <v>265</v>
      </c>
      <c r="C162" s="33">
        <v>1990</v>
      </c>
      <c r="D162" s="33">
        <v>952</v>
      </c>
      <c r="E162" s="33" t="s">
        <v>264</v>
      </c>
    </row>
    <row r="163" spans="1:5" x14ac:dyDescent="0.2">
      <c r="A163" s="33">
        <v>1</v>
      </c>
      <c r="B163" s="33" t="s">
        <v>263</v>
      </c>
      <c r="C163" s="33">
        <v>1991</v>
      </c>
      <c r="D163" s="33">
        <v>972</v>
      </c>
      <c r="E163" s="33" t="s">
        <v>264</v>
      </c>
    </row>
    <row r="164" spans="1:5" x14ac:dyDescent="0.2">
      <c r="A164" s="33">
        <v>2</v>
      </c>
      <c r="B164" s="33" t="s">
        <v>267</v>
      </c>
      <c r="C164" s="33">
        <v>1991</v>
      </c>
      <c r="D164" s="33">
        <v>992</v>
      </c>
      <c r="E164" s="33" t="s">
        <v>264</v>
      </c>
    </row>
    <row r="165" spans="1:5" x14ac:dyDescent="0.2">
      <c r="A165" s="33">
        <v>3</v>
      </c>
      <c r="B165" s="33" t="s">
        <v>266</v>
      </c>
      <c r="C165" s="33">
        <v>1991</v>
      </c>
      <c r="D165" s="33">
        <v>996</v>
      </c>
      <c r="E165" s="33" t="s">
        <v>264</v>
      </c>
    </row>
    <row r="166" spans="1:5" x14ac:dyDescent="0.2">
      <c r="A166" s="33">
        <v>4</v>
      </c>
      <c r="B166" s="33" t="s">
        <v>265</v>
      </c>
      <c r="C166" s="33">
        <v>1991</v>
      </c>
      <c r="D166" s="33">
        <v>1002</v>
      </c>
      <c r="E166" s="33" t="s">
        <v>264</v>
      </c>
    </row>
    <row r="167" spans="1:5" x14ac:dyDescent="0.2">
      <c r="A167" s="33">
        <v>1</v>
      </c>
      <c r="B167" s="33" t="s">
        <v>263</v>
      </c>
      <c r="C167" s="33">
        <v>1992</v>
      </c>
      <c r="D167" s="33">
        <v>1006</v>
      </c>
      <c r="E167" s="33" t="s">
        <v>264</v>
      </c>
    </row>
    <row r="168" spans="1:5" x14ac:dyDescent="0.2">
      <c r="A168" s="33">
        <v>2</v>
      </c>
      <c r="B168" s="33" t="s">
        <v>267</v>
      </c>
      <c r="C168" s="33">
        <v>1992</v>
      </c>
      <c r="D168" s="33">
        <v>1002</v>
      </c>
      <c r="E168" s="33" t="s">
        <v>264</v>
      </c>
    </row>
    <row r="169" spans="1:5" x14ac:dyDescent="0.2">
      <c r="A169" s="33">
        <v>3</v>
      </c>
      <c r="B169" s="33" t="s">
        <v>266</v>
      </c>
      <c r="C169" s="33">
        <v>1992</v>
      </c>
      <c r="D169" s="33">
        <v>1008</v>
      </c>
      <c r="E169" s="33" t="s">
        <v>264</v>
      </c>
    </row>
    <row r="170" spans="1:5" x14ac:dyDescent="0.2">
      <c r="A170" s="33">
        <v>4</v>
      </c>
      <c r="B170" s="33" t="s">
        <v>265</v>
      </c>
      <c r="C170" s="33">
        <v>1992</v>
      </c>
      <c r="D170" s="33">
        <v>1005</v>
      </c>
      <c r="E170" s="33" t="s">
        <v>264</v>
      </c>
    </row>
    <row r="171" spans="1:5" x14ac:dyDescent="0.2">
      <c r="A171" s="33">
        <v>1</v>
      </c>
      <c r="B171" s="33" t="s">
        <v>263</v>
      </c>
      <c r="C171" s="33">
        <v>1993</v>
      </c>
      <c r="D171" s="33">
        <v>1022</v>
      </c>
      <c r="E171" s="33" t="s">
        <v>264</v>
      </c>
    </row>
    <row r="172" spans="1:5" x14ac:dyDescent="0.2">
      <c r="A172" s="33">
        <v>2</v>
      </c>
      <c r="B172" s="33" t="s">
        <v>267</v>
      </c>
      <c r="C172" s="33">
        <v>1993</v>
      </c>
      <c r="D172" s="33">
        <v>1012</v>
      </c>
      <c r="E172" s="33" t="s">
        <v>264</v>
      </c>
    </row>
    <row r="173" spans="1:5" x14ac:dyDescent="0.2">
      <c r="A173" s="33">
        <v>3</v>
      </c>
      <c r="B173" s="33" t="s">
        <v>266</v>
      </c>
      <c r="C173" s="33">
        <v>1993</v>
      </c>
      <c r="D173" s="33">
        <v>1017</v>
      </c>
      <c r="E173" s="33" t="s">
        <v>264</v>
      </c>
    </row>
    <row r="174" spans="1:5" x14ac:dyDescent="0.2">
      <c r="A174" s="33">
        <v>4</v>
      </c>
      <c r="B174" s="33" t="s">
        <v>265</v>
      </c>
      <c r="C174" s="33">
        <v>1993</v>
      </c>
      <c r="D174" s="33">
        <v>1016</v>
      </c>
      <c r="E174" s="33" t="s">
        <v>264</v>
      </c>
    </row>
    <row r="175" spans="1:5" x14ac:dyDescent="0.2">
      <c r="A175" s="33">
        <v>1</v>
      </c>
      <c r="B175" s="33" t="s">
        <v>263</v>
      </c>
      <c r="C175" s="33">
        <v>1994</v>
      </c>
      <c r="D175" s="33">
        <v>1016</v>
      </c>
      <c r="E175" s="33" t="s">
        <v>264</v>
      </c>
    </row>
    <row r="176" spans="1:5" x14ac:dyDescent="0.2">
      <c r="A176" s="33">
        <v>2</v>
      </c>
      <c r="B176" s="33" t="s">
        <v>267</v>
      </c>
      <c r="C176" s="33">
        <v>1994</v>
      </c>
      <c r="D176" s="33">
        <v>1018</v>
      </c>
      <c r="E176" s="33" t="s">
        <v>264</v>
      </c>
    </row>
    <row r="177" spans="1:5" x14ac:dyDescent="0.2">
      <c r="A177" s="33">
        <v>3</v>
      </c>
      <c r="B177" s="33" t="s">
        <v>266</v>
      </c>
      <c r="C177" s="33">
        <v>1994</v>
      </c>
      <c r="D177" s="33">
        <v>1020</v>
      </c>
      <c r="E177" s="33" t="s">
        <v>264</v>
      </c>
    </row>
    <row r="178" spans="1:5" x14ac:dyDescent="0.2">
      <c r="A178" s="33">
        <v>4</v>
      </c>
      <c r="B178" s="33" t="s">
        <v>265</v>
      </c>
      <c r="C178" s="33">
        <v>1994</v>
      </c>
      <c r="D178" s="33">
        <v>1019</v>
      </c>
      <c r="E178" s="33" t="s">
        <v>264</v>
      </c>
    </row>
    <row r="179" spans="1:5" x14ac:dyDescent="0.2">
      <c r="A179" s="33">
        <v>1</v>
      </c>
      <c r="B179" s="33" t="s">
        <v>263</v>
      </c>
      <c r="C179" s="33">
        <v>1995</v>
      </c>
      <c r="D179" s="33">
        <v>1011</v>
      </c>
      <c r="E179" s="33" t="s">
        <v>264</v>
      </c>
    </row>
    <row r="180" spans="1:5" x14ac:dyDescent="0.2">
      <c r="A180" s="33">
        <v>2</v>
      </c>
      <c r="B180" s="33" t="s">
        <v>267</v>
      </c>
      <c r="C180" s="33">
        <v>1995</v>
      </c>
      <c r="D180" s="33">
        <v>1023</v>
      </c>
      <c r="E180" s="33" t="s">
        <v>264</v>
      </c>
    </row>
    <row r="181" spans="1:5" x14ac:dyDescent="0.2">
      <c r="A181" s="33">
        <v>3</v>
      </c>
      <c r="B181" s="33" t="s">
        <v>266</v>
      </c>
      <c r="C181" s="33">
        <v>1995</v>
      </c>
      <c r="D181" s="33">
        <v>1024</v>
      </c>
      <c r="E181" s="33" t="s">
        <v>264</v>
      </c>
    </row>
    <row r="182" spans="1:5" x14ac:dyDescent="0.2">
      <c r="A182" s="33">
        <v>4</v>
      </c>
      <c r="B182" s="33" t="s">
        <v>265</v>
      </c>
      <c r="C182" s="33">
        <v>1995</v>
      </c>
      <c r="D182" s="33">
        <v>1013</v>
      </c>
      <c r="E182" s="33" t="s">
        <v>264</v>
      </c>
    </row>
    <row r="183" spans="1:5" x14ac:dyDescent="0.2">
      <c r="A183" s="33">
        <v>1</v>
      </c>
      <c r="B183" s="33" t="s">
        <v>263</v>
      </c>
      <c r="C183" s="33">
        <v>1996</v>
      </c>
      <c r="D183" s="33">
        <v>1038</v>
      </c>
      <c r="E183" s="33" t="s">
        <v>264</v>
      </c>
    </row>
    <row r="184" spans="1:5" x14ac:dyDescent="0.2">
      <c r="A184" s="33">
        <v>2</v>
      </c>
      <c r="B184" s="33" t="s">
        <v>267</v>
      </c>
      <c r="C184" s="33">
        <v>1996</v>
      </c>
      <c r="D184" s="33">
        <v>1029</v>
      </c>
      <c r="E184" s="33" t="s">
        <v>264</v>
      </c>
    </row>
    <row r="185" spans="1:5" x14ac:dyDescent="0.2">
      <c r="A185" s="33">
        <v>3</v>
      </c>
      <c r="B185" s="33" t="s">
        <v>266</v>
      </c>
      <c r="C185" s="33">
        <v>1996</v>
      </c>
      <c r="D185" s="33">
        <v>1030</v>
      </c>
      <c r="E185" s="33" t="s">
        <v>264</v>
      </c>
    </row>
    <row r="186" spans="1:5" x14ac:dyDescent="0.2">
      <c r="A186" s="33">
        <v>4</v>
      </c>
      <c r="B186" s="33" t="s">
        <v>265</v>
      </c>
      <c r="C186" s="33">
        <v>1996</v>
      </c>
      <c r="D186" s="33">
        <v>1046</v>
      </c>
      <c r="E186" s="33" t="s">
        <v>264</v>
      </c>
    </row>
    <row r="187" spans="1:5" x14ac:dyDescent="0.2">
      <c r="A187" s="33">
        <v>1</v>
      </c>
      <c r="B187" s="33" t="s">
        <v>263</v>
      </c>
      <c r="C187" s="33">
        <v>1997</v>
      </c>
      <c r="D187" s="33">
        <v>1047</v>
      </c>
      <c r="E187" s="33" t="s">
        <v>264</v>
      </c>
    </row>
    <row r="188" spans="1:5" x14ac:dyDescent="0.2">
      <c r="A188" s="33">
        <v>2</v>
      </c>
      <c r="B188" s="33" t="s">
        <v>267</v>
      </c>
      <c r="C188" s="33">
        <v>1997</v>
      </c>
      <c r="D188" s="33">
        <v>1060</v>
      </c>
      <c r="E188" s="33" t="s">
        <v>264</v>
      </c>
    </row>
    <row r="189" spans="1:5" x14ac:dyDescent="0.2">
      <c r="A189" s="33">
        <v>3</v>
      </c>
      <c r="B189" s="33" t="s">
        <v>266</v>
      </c>
      <c r="C189" s="33">
        <v>1997</v>
      </c>
      <c r="D189" s="33">
        <v>1067</v>
      </c>
      <c r="E189" s="33" t="s">
        <v>264</v>
      </c>
    </row>
    <row r="190" spans="1:5" x14ac:dyDescent="0.2">
      <c r="A190" s="33">
        <v>4</v>
      </c>
      <c r="B190" s="33" t="s">
        <v>265</v>
      </c>
      <c r="C190" s="33">
        <v>1997</v>
      </c>
      <c r="D190" s="33">
        <v>1068</v>
      </c>
      <c r="E190" s="33" t="s">
        <v>264</v>
      </c>
    </row>
    <row r="191" spans="1:5" x14ac:dyDescent="0.2">
      <c r="A191" s="33">
        <v>1</v>
      </c>
      <c r="B191" s="33" t="s">
        <v>263</v>
      </c>
      <c r="C191" s="33">
        <v>1998</v>
      </c>
      <c r="D191" s="33">
        <v>1058</v>
      </c>
      <c r="E191" s="33" t="s">
        <v>264</v>
      </c>
    </row>
    <row r="192" spans="1:5" x14ac:dyDescent="0.2">
      <c r="A192" s="33">
        <v>2</v>
      </c>
      <c r="B192" s="33" t="s">
        <v>267</v>
      </c>
      <c r="C192" s="33">
        <v>1998</v>
      </c>
      <c r="D192" s="33">
        <v>1058</v>
      </c>
      <c r="E192" s="33" t="s">
        <v>264</v>
      </c>
    </row>
    <row r="193" spans="1:5" x14ac:dyDescent="0.2">
      <c r="A193" s="33">
        <v>3</v>
      </c>
      <c r="B193" s="33" t="s">
        <v>266</v>
      </c>
      <c r="C193" s="33">
        <v>1998</v>
      </c>
      <c r="D193" s="33">
        <v>1057</v>
      </c>
      <c r="E193" s="33" t="s">
        <v>264</v>
      </c>
    </row>
    <row r="194" spans="1:5" x14ac:dyDescent="0.2">
      <c r="A194" s="33">
        <v>4</v>
      </c>
      <c r="B194" s="33" t="s">
        <v>265</v>
      </c>
      <c r="C194" s="33">
        <v>1998</v>
      </c>
      <c r="D194" s="33">
        <v>1074</v>
      </c>
      <c r="E194" s="33" t="s">
        <v>264</v>
      </c>
    </row>
    <row r="195" spans="1:5" x14ac:dyDescent="0.2">
      <c r="A195" s="33">
        <v>1</v>
      </c>
      <c r="B195" s="33" t="s">
        <v>263</v>
      </c>
      <c r="C195" s="33">
        <v>1999</v>
      </c>
      <c r="D195" s="33">
        <v>1071</v>
      </c>
      <c r="E195" s="33" t="s">
        <v>264</v>
      </c>
    </row>
    <row r="196" spans="1:5" x14ac:dyDescent="0.2">
      <c r="A196" s="33">
        <v>2</v>
      </c>
      <c r="B196" s="33" t="s">
        <v>267</v>
      </c>
      <c r="C196" s="33">
        <v>1999</v>
      </c>
      <c r="D196" s="33">
        <v>1074</v>
      </c>
      <c r="E196" s="33" t="s">
        <v>264</v>
      </c>
    </row>
    <row r="197" spans="1:5" x14ac:dyDescent="0.2">
      <c r="A197" s="33">
        <v>3</v>
      </c>
      <c r="B197" s="33" t="s">
        <v>266</v>
      </c>
      <c r="C197" s="33">
        <v>1999</v>
      </c>
      <c r="D197" s="33">
        <v>1080</v>
      </c>
      <c r="E197" s="33" t="s">
        <v>264</v>
      </c>
    </row>
    <row r="198" spans="1:5" x14ac:dyDescent="0.2">
      <c r="A198" s="33">
        <v>4</v>
      </c>
      <c r="B198" s="33" t="s">
        <v>265</v>
      </c>
      <c r="C198" s="33">
        <v>1999</v>
      </c>
      <c r="D198" s="33">
        <v>1065</v>
      </c>
      <c r="E198" s="33" t="s">
        <v>264</v>
      </c>
    </row>
    <row r="199" spans="1:5" x14ac:dyDescent="0.2">
      <c r="A199" s="33">
        <v>1</v>
      </c>
      <c r="B199" s="33" t="s">
        <v>263</v>
      </c>
      <c r="C199" s="33">
        <v>2000</v>
      </c>
      <c r="D199" s="33">
        <v>1083</v>
      </c>
      <c r="E199" s="33" t="s">
        <v>264</v>
      </c>
    </row>
    <row r="200" spans="1:5" x14ac:dyDescent="0.2">
      <c r="A200" s="33">
        <v>2</v>
      </c>
      <c r="B200" s="33" t="s">
        <v>267</v>
      </c>
      <c r="C200" s="33">
        <v>2000</v>
      </c>
      <c r="D200" s="33">
        <v>1089</v>
      </c>
      <c r="E200" s="33" t="s">
        <v>264</v>
      </c>
    </row>
    <row r="201" spans="1:5" x14ac:dyDescent="0.2">
      <c r="A201" s="33">
        <v>3</v>
      </c>
      <c r="B201" s="33" t="s">
        <v>266</v>
      </c>
      <c r="C201" s="33">
        <v>2000</v>
      </c>
      <c r="D201" s="33">
        <v>1093</v>
      </c>
      <c r="E201" s="33" t="s">
        <v>264</v>
      </c>
    </row>
    <row r="202" spans="1:5" x14ac:dyDescent="0.2">
      <c r="A202" s="33">
        <v>4</v>
      </c>
      <c r="B202" s="33" t="s">
        <v>265</v>
      </c>
      <c r="C202" s="33">
        <v>2000</v>
      </c>
      <c r="D202" s="33">
        <v>1127</v>
      </c>
      <c r="E202" s="33" t="s">
        <v>264</v>
      </c>
    </row>
    <row r="203" spans="1:5" x14ac:dyDescent="0.2">
      <c r="A203" s="33">
        <v>1</v>
      </c>
      <c r="B203" s="33" t="s">
        <v>263</v>
      </c>
      <c r="C203" s="33">
        <v>2001</v>
      </c>
      <c r="D203" s="33">
        <v>1125</v>
      </c>
      <c r="E203" s="33" t="s">
        <v>264</v>
      </c>
    </row>
    <row r="204" spans="1:5" x14ac:dyDescent="0.2">
      <c r="A204" s="33">
        <v>2</v>
      </c>
      <c r="B204" s="33" t="s">
        <v>267</v>
      </c>
      <c r="C204" s="33">
        <v>2001</v>
      </c>
      <c r="D204" s="33">
        <v>1139</v>
      </c>
      <c r="E204" s="33" t="s">
        <v>264</v>
      </c>
    </row>
    <row r="205" spans="1:5" x14ac:dyDescent="0.2">
      <c r="A205" s="33">
        <v>3</v>
      </c>
      <c r="B205" s="33" t="s">
        <v>266</v>
      </c>
      <c r="C205" s="33">
        <v>2001</v>
      </c>
      <c r="D205" s="33">
        <v>1145</v>
      </c>
      <c r="E205" s="33" t="s">
        <v>264</v>
      </c>
    </row>
    <row r="206" spans="1:5" x14ac:dyDescent="0.2">
      <c r="A206" s="33">
        <v>4</v>
      </c>
      <c r="B206" s="33" t="s">
        <v>265</v>
      </c>
      <c r="C206" s="33">
        <v>2001</v>
      </c>
      <c r="D206" s="33">
        <v>1140</v>
      </c>
      <c r="E206" s="33" t="s">
        <v>264</v>
      </c>
    </row>
    <row r="207" spans="1:5" x14ac:dyDescent="0.2">
      <c r="A207" s="33">
        <v>1</v>
      </c>
      <c r="B207" s="33" t="s">
        <v>263</v>
      </c>
      <c r="C207" s="33">
        <v>2002</v>
      </c>
      <c r="D207" s="33">
        <v>1159</v>
      </c>
      <c r="E207" s="33" t="s">
        <v>264</v>
      </c>
    </row>
    <row r="208" spans="1:5" x14ac:dyDescent="0.2">
      <c r="A208" s="33">
        <v>2</v>
      </c>
      <c r="B208" s="33" t="s">
        <v>267</v>
      </c>
      <c r="C208" s="33">
        <v>2002</v>
      </c>
      <c r="D208" s="33">
        <v>1163</v>
      </c>
      <c r="E208" s="33" t="s">
        <v>264</v>
      </c>
    </row>
    <row r="209" spans="1:5" x14ac:dyDescent="0.2">
      <c r="A209" s="33">
        <v>3</v>
      </c>
      <c r="B209" s="33" t="s">
        <v>266</v>
      </c>
      <c r="C209" s="33">
        <v>2002</v>
      </c>
      <c r="D209" s="33">
        <v>1170</v>
      </c>
      <c r="E209" s="33" t="s">
        <v>264</v>
      </c>
    </row>
    <row r="210" spans="1:5" x14ac:dyDescent="0.2">
      <c r="A210" s="33">
        <v>4</v>
      </c>
      <c r="B210" s="33" t="s">
        <v>265</v>
      </c>
      <c r="C210" s="33">
        <v>2002</v>
      </c>
      <c r="D210" s="33">
        <v>1172</v>
      </c>
      <c r="E210" s="33" t="s">
        <v>264</v>
      </c>
    </row>
    <row r="211" spans="1:5" x14ac:dyDescent="0.2">
      <c r="A211" s="33">
        <v>1</v>
      </c>
      <c r="B211" s="33" t="s">
        <v>263</v>
      </c>
      <c r="C211" s="33">
        <v>2003</v>
      </c>
      <c r="D211" s="33">
        <v>1183</v>
      </c>
      <c r="E211" s="33" t="s">
        <v>264</v>
      </c>
    </row>
    <row r="212" spans="1:5" x14ac:dyDescent="0.2">
      <c r="A212" s="33">
        <v>2</v>
      </c>
      <c r="B212" s="33" t="s">
        <v>267</v>
      </c>
      <c r="C212" s="33">
        <v>2003</v>
      </c>
      <c r="D212" s="33">
        <v>1202</v>
      </c>
      <c r="E212" s="33" t="s">
        <v>264</v>
      </c>
    </row>
    <row r="213" spans="1:5" x14ac:dyDescent="0.2">
      <c r="A213" s="33">
        <v>3</v>
      </c>
      <c r="B213" s="33" t="s">
        <v>266</v>
      </c>
      <c r="C213" s="33">
        <v>2003</v>
      </c>
      <c r="D213" s="33">
        <v>1203</v>
      </c>
      <c r="E213" s="33" t="s">
        <v>264</v>
      </c>
    </row>
    <row r="214" spans="1:5" x14ac:dyDescent="0.2">
      <c r="A214" s="33">
        <v>4</v>
      </c>
      <c r="B214" s="33" t="s">
        <v>265</v>
      </c>
      <c r="C214" s="33">
        <v>2003</v>
      </c>
      <c r="D214" s="33">
        <v>1214</v>
      </c>
      <c r="E214" s="33" t="s">
        <v>264</v>
      </c>
    </row>
    <row r="215" spans="1:5" x14ac:dyDescent="0.2">
      <c r="A215" s="33">
        <v>1</v>
      </c>
      <c r="B215" s="33" t="s">
        <v>263</v>
      </c>
      <c r="C215" s="33">
        <v>2004</v>
      </c>
      <c r="D215" s="33">
        <v>1225</v>
      </c>
      <c r="E215" s="33" t="s">
        <v>264</v>
      </c>
    </row>
    <row r="216" spans="1:5" x14ac:dyDescent="0.2">
      <c r="A216" s="33">
        <v>2</v>
      </c>
      <c r="B216" s="33" t="s">
        <v>267</v>
      </c>
      <c r="C216" s="33">
        <v>2004</v>
      </c>
      <c r="D216" s="33">
        <v>1267</v>
      </c>
      <c r="E216" s="33" t="s">
        <v>264</v>
      </c>
    </row>
    <row r="217" spans="1:5" x14ac:dyDescent="0.2">
      <c r="A217" s="33">
        <v>3</v>
      </c>
      <c r="B217" s="33" t="s">
        <v>266</v>
      </c>
      <c r="C217" s="33">
        <v>2004</v>
      </c>
      <c r="D217" s="33">
        <v>1272</v>
      </c>
      <c r="E217" s="33" t="s">
        <v>264</v>
      </c>
    </row>
    <row r="218" spans="1:5" x14ac:dyDescent="0.2">
      <c r="A218" s="33">
        <v>4</v>
      </c>
      <c r="B218" s="33" t="s">
        <v>265</v>
      </c>
      <c r="C218" s="33">
        <v>2004</v>
      </c>
      <c r="D218" s="33">
        <v>1269</v>
      </c>
      <c r="E218" s="33" t="s">
        <v>264</v>
      </c>
    </row>
    <row r="219" spans="1:5" x14ac:dyDescent="0.2">
      <c r="A219" s="33">
        <v>1</v>
      </c>
      <c r="B219" s="33" t="s">
        <v>263</v>
      </c>
      <c r="C219" s="33">
        <v>2005</v>
      </c>
      <c r="D219" s="33">
        <v>1270</v>
      </c>
      <c r="E219" s="33" t="s">
        <v>264</v>
      </c>
    </row>
    <row r="220" spans="1:5" x14ac:dyDescent="0.2">
      <c r="A220" s="33">
        <v>2</v>
      </c>
      <c r="B220" s="33" t="s">
        <v>267</v>
      </c>
      <c r="C220" s="33">
        <v>2005</v>
      </c>
      <c r="D220" s="33">
        <v>1276</v>
      </c>
      <c r="E220" s="33" t="s">
        <v>264</v>
      </c>
    </row>
    <row r="221" spans="1:5" x14ac:dyDescent="0.2">
      <c r="A221" s="33">
        <v>3</v>
      </c>
      <c r="B221" s="33" t="s">
        <v>266</v>
      </c>
      <c r="C221" s="33">
        <v>2005</v>
      </c>
      <c r="D221" s="33">
        <v>1278</v>
      </c>
      <c r="E221" s="33" t="s">
        <v>264</v>
      </c>
    </row>
    <row r="222" spans="1:5" x14ac:dyDescent="0.2">
      <c r="A222" s="33">
        <v>4</v>
      </c>
      <c r="B222" s="33" t="s">
        <v>265</v>
      </c>
      <c r="C222" s="33">
        <v>2005</v>
      </c>
      <c r="D222" s="33">
        <v>1332</v>
      </c>
      <c r="E222" s="33" t="s">
        <v>264</v>
      </c>
    </row>
    <row r="223" spans="1:5" x14ac:dyDescent="0.2">
      <c r="A223" s="33">
        <v>1</v>
      </c>
      <c r="B223" s="33" t="s">
        <v>263</v>
      </c>
      <c r="C223" s="33">
        <v>2006</v>
      </c>
      <c r="D223" s="33">
        <v>1362</v>
      </c>
      <c r="E223" s="33" t="s">
        <v>264</v>
      </c>
    </row>
    <row r="224" spans="1:5" x14ac:dyDescent="0.2">
      <c r="A224" s="33">
        <v>2</v>
      </c>
      <c r="B224" s="33" t="s">
        <v>267</v>
      </c>
      <c r="C224" s="33">
        <v>2006</v>
      </c>
      <c r="D224" s="33">
        <v>1366</v>
      </c>
      <c r="E224" s="33" t="s">
        <v>264</v>
      </c>
    </row>
    <row r="225" spans="1:5" x14ac:dyDescent="0.2">
      <c r="A225" s="33">
        <v>3</v>
      </c>
      <c r="B225" s="33" t="s">
        <v>266</v>
      </c>
      <c r="C225" s="33">
        <v>2006</v>
      </c>
      <c r="D225" s="33">
        <v>1381</v>
      </c>
      <c r="E225" s="33" t="s">
        <v>264</v>
      </c>
    </row>
    <row r="226" spans="1:5" x14ac:dyDescent="0.2">
      <c r="A226" s="33">
        <v>4</v>
      </c>
      <c r="B226" s="33" t="s">
        <v>265</v>
      </c>
      <c r="C226" s="33">
        <v>2006</v>
      </c>
      <c r="D226" s="33">
        <v>1406</v>
      </c>
      <c r="E226" s="33" t="s">
        <v>264</v>
      </c>
    </row>
    <row r="227" spans="1:5" x14ac:dyDescent="0.2">
      <c r="A227" s="33">
        <v>1</v>
      </c>
      <c r="B227" s="33" t="s">
        <v>263</v>
      </c>
      <c r="C227" s="33">
        <v>2007</v>
      </c>
      <c r="D227" s="33">
        <v>1385</v>
      </c>
      <c r="E227" s="33" t="s">
        <v>264</v>
      </c>
    </row>
    <row r="228" spans="1:5" x14ac:dyDescent="0.2">
      <c r="A228" s="33">
        <v>2</v>
      </c>
      <c r="B228" s="33" t="s">
        <v>267</v>
      </c>
      <c r="C228" s="33">
        <v>2007</v>
      </c>
      <c r="D228" s="33">
        <v>1435</v>
      </c>
      <c r="E228" s="33" t="s">
        <v>264</v>
      </c>
    </row>
    <row r="229" spans="1:5" x14ac:dyDescent="0.2">
      <c r="A229" s="33">
        <v>3</v>
      </c>
      <c r="B229" s="33" t="s">
        <v>266</v>
      </c>
      <c r="C229" s="33">
        <v>2007</v>
      </c>
      <c r="D229" s="33">
        <v>1443</v>
      </c>
      <c r="E229" s="33" t="s">
        <v>264</v>
      </c>
    </row>
    <row r="230" spans="1:5" x14ac:dyDescent="0.2">
      <c r="A230" s="33">
        <v>4</v>
      </c>
      <c r="B230" s="33" t="s">
        <v>265</v>
      </c>
      <c r="C230" s="33">
        <v>2007</v>
      </c>
      <c r="D230" s="33">
        <v>1474</v>
      </c>
      <c r="E230" s="33" t="s">
        <v>264</v>
      </c>
    </row>
    <row r="231" spans="1:5" x14ac:dyDescent="0.2">
      <c r="A231" s="33">
        <v>1</v>
      </c>
      <c r="B231" s="33" t="s">
        <v>263</v>
      </c>
      <c r="C231" s="33">
        <v>2008</v>
      </c>
      <c r="D231" s="33">
        <v>1497</v>
      </c>
      <c r="E231" s="33" t="s">
        <v>264</v>
      </c>
    </row>
    <row r="232" spans="1:5" x14ac:dyDescent="0.2">
      <c r="A232" s="33" t="str">
        <f t="shared" ref="A232:A241" si="0">LEFT(B232,1)</f>
        <v>2</v>
      </c>
      <c r="B232" s="33" t="s">
        <v>290</v>
      </c>
      <c r="C232" s="33">
        <v>2008</v>
      </c>
      <c r="D232" s="33">
        <v>1562</v>
      </c>
      <c r="E232" s="33" t="s">
        <v>264</v>
      </c>
    </row>
    <row r="233" spans="1:5" x14ac:dyDescent="0.2">
      <c r="A233" s="33" t="str">
        <f t="shared" si="0"/>
        <v>3</v>
      </c>
      <c r="B233" s="33" t="s">
        <v>289</v>
      </c>
      <c r="C233" s="33">
        <v>2008</v>
      </c>
      <c r="D233" s="33">
        <v>1594</v>
      </c>
      <c r="E233" s="33" t="s">
        <v>264</v>
      </c>
    </row>
    <row r="234" spans="1:5" x14ac:dyDescent="0.2">
      <c r="A234" s="33" t="str">
        <f t="shared" si="0"/>
        <v>4</v>
      </c>
      <c r="B234" s="33" t="s">
        <v>292</v>
      </c>
      <c r="C234" s="33">
        <v>2008</v>
      </c>
      <c r="D234" s="33">
        <v>1523</v>
      </c>
      <c r="E234" s="33" t="s">
        <v>264</v>
      </c>
    </row>
    <row r="235" spans="1:5" x14ac:dyDescent="0.2">
      <c r="A235" s="33" t="str">
        <f t="shared" si="0"/>
        <v>1</v>
      </c>
      <c r="B235" s="33" t="s">
        <v>291</v>
      </c>
      <c r="C235" s="33">
        <v>2009</v>
      </c>
      <c r="D235" s="33">
        <v>1503</v>
      </c>
      <c r="E235" s="33" t="s">
        <v>264</v>
      </c>
    </row>
    <row r="236" spans="1:5" x14ac:dyDescent="0.2">
      <c r="A236" s="33" t="str">
        <f t="shared" si="0"/>
        <v>2</v>
      </c>
      <c r="B236" s="33" t="s">
        <v>290</v>
      </c>
      <c r="C236" s="33">
        <v>2009</v>
      </c>
      <c r="D236" s="33">
        <v>1498</v>
      </c>
      <c r="E236" s="33" t="s">
        <v>264</v>
      </c>
    </row>
    <row r="237" spans="1:5" x14ac:dyDescent="0.2">
      <c r="A237" s="33" t="str">
        <f t="shared" si="0"/>
        <v>3</v>
      </c>
      <c r="B237" s="33" t="s">
        <v>289</v>
      </c>
      <c r="C237" s="33">
        <v>2009</v>
      </c>
      <c r="D237" s="33">
        <v>1502</v>
      </c>
      <c r="E237" s="33" t="s">
        <v>264</v>
      </c>
    </row>
    <row r="238" spans="1:5" x14ac:dyDescent="0.2">
      <c r="A238" s="33" t="str">
        <f t="shared" si="0"/>
        <v>4</v>
      </c>
      <c r="B238" s="33" t="s">
        <v>292</v>
      </c>
      <c r="C238" s="33">
        <v>2009</v>
      </c>
      <c r="D238" s="33">
        <v>1507</v>
      </c>
      <c r="E238" s="33" t="s">
        <v>264</v>
      </c>
    </row>
    <row r="239" spans="1:5" x14ac:dyDescent="0.2">
      <c r="A239" s="33" t="str">
        <f t="shared" si="0"/>
        <v>1</v>
      </c>
      <c r="B239" s="33" t="s">
        <v>291</v>
      </c>
      <c r="C239" s="33">
        <v>2010</v>
      </c>
      <c r="D239" s="33">
        <v>1508</v>
      </c>
      <c r="E239" s="33" t="s">
        <v>264</v>
      </c>
    </row>
    <row r="240" spans="1:5" x14ac:dyDescent="0.2">
      <c r="A240" s="33" t="str">
        <f t="shared" si="0"/>
        <v>2</v>
      </c>
      <c r="B240" s="33" t="s">
        <v>290</v>
      </c>
      <c r="C240" s="33">
        <v>2010</v>
      </c>
      <c r="D240" s="33">
        <v>1517</v>
      </c>
      <c r="E240" s="33" t="s">
        <v>264</v>
      </c>
    </row>
    <row r="241" spans="1:5" x14ac:dyDescent="0.2">
      <c r="A241" s="33" t="str">
        <f t="shared" si="0"/>
        <v>3</v>
      </c>
      <c r="B241" s="33" t="s">
        <v>289</v>
      </c>
      <c r="C241" s="33">
        <v>2010</v>
      </c>
      <c r="D241" s="33">
        <v>1520</v>
      </c>
      <c r="E241" s="33" t="s">
        <v>264</v>
      </c>
    </row>
  </sheetData>
  <phoneticPr fontId="3" type="noConversion"/>
  <pageMargins left="0.78740157499999996" right="0.78740157499999996" top="0.984251969" bottom="0.984251969" header="0.4921259845" footer="0.4921259845"/>
  <headerFooter alignWithMargins="0"/>
  <ignoredErrors>
    <ignoredError sqref="H70"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I59"/>
  <sheetViews>
    <sheetView workbookViewId="0">
      <pane xSplit="1" ySplit="3" topLeftCell="B40" activePane="bottomRight" state="frozen"/>
      <selection pane="topRight" activeCell="B1" sqref="B1"/>
      <selection pane="bottomLeft" activeCell="A4" sqref="A4"/>
      <selection pane="bottomRight" activeCell="F59" sqref="F59"/>
    </sheetView>
  </sheetViews>
  <sheetFormatPr baseColWidth="10" defaultRowHeight="13.5" x14ac:dyDescent="0.25"/>
  <cols>
    <col min="1" max="1" width="7.375" style="1" customWidth="1"/>
    <col min="2" max="2" width="8.875" style="1" customWidth="1"/>
    <col min="3" max="3" width="10.875" style="1" customWidth="1"/>
    <col min="4" max="4" width="7.875" style="1" customWidth="1"/>
    <col min="5" max="5" width="12.875" style="1" customWidth="1"/>
    <col min="6" max="6" width="10.875" style="1" customWidth="1"/>
    <col min="7" max="7" width="8.875" style="1" customWidth="1"/>
    <col min="8" max="8" width="10.875" style="1" customWidth="1"/>
    <col min="9" max="9" width="6.875" style="1" customWidth="1"/>
    <col min="10" max="16384" width="11" style="1"/>
  </cols>
  <sheetData>
    <row r="1" spans="1:9" x14ac:dyDescent="0.25">
      <c r="B1" s="217" t="s">
        <v>777</v>
      </c>
      <c r="C1" s="215"/>
      <c r="D1" s="215"/>
      <c r="E1" s="215"/>
      <c r="F1" s="215"/>
      <c r="G1" s="214" t="s">
        <v>133</v>
      </c>
      <c r="H1" s="214"/>
      <c r="I1" s="214"/>
    </row>
    <row r="3" spans="1:9" ht="40.5" x14ac:dyDescent="0.25">
      <c r="B3" s="140" t="s">
        <v>84</v>
      </c>
      <c r="C3" s="140" t="s">
        <v>85</v>
      </c>
      <c r="D3" s="140" t="s">
        <v>86</v>
      </c>
      <c r="E3" s="144" t="s">
        <v>134</v>
      </c>
      <c r="F3" s="145" t="s">
        <v>135</v>
      </c>
      <c r="G3" s="140" t="s">
        <v>84</v>
      </c>
      <c r="H3" s="140" t="s">
        <v>85</v>
      </c>
      <c r="I3" s="140" t="s">
        <v>86</v>
      </c>
    </row>
    <row r="4" spans="1:9" x14ac:dyDescent="0.25">
      <c r="A4" s="143">
        <v>1959</v>
      </c>
      <c r="B4" s="141">
        <v>9.641</v>
      </c>
      <c r="C4" s="141">
        <v>0</v>
      </c>
      <c r="D4" s="141">
        <v>8.4090000000000007</v>
      </c>
      <c r="E4" s="133">
        <f t="shared" ref="E4:E35" si="0">(B4*G4+C4*H4+D4*I4)/(G4+H4+I4)</f>
        <v>9.6272695468419816</v>
      </c>
      <c r="F4" s="146">
        <f t="shared" ref="F4:F35" si="1">(B4*G4+C4*H4)/(G4+H4)</f>
        <v>9.641</v>
      </c>
      <c r="G4" s="142">
        <v>741.23</v>
      </c>
      <c r="H4" s="141">
        <v>0</v>
      </c>
      <c r="I4" s="142">
        <v>8.3539999999999992</v>
      </c>
    </row>
    <row r="5" spans="1:9" x14ac:dyDescent="0.25">
      <c r="A5" s="143">
        <v>1960</v>
      </c>
      <c r="B5" s="141">
        <v>9.6489999999999991</v>
      </c>
      <c r="C5" s="141">
        <v>0</v>
      </c>
      <c r="D5" s="141">
        <v>8.3369999999999997</v>
      </c>
      <c r="E5" s="133">
        <f t="shared" si="0"/>
        <v>9.633933626550359</v>
      </c>
      <c r="F5" s="146">
        <f t="shared" si="1"/>
        <v>9.6489999999999991</v>
      </c>
      <c r="G5" s="142">
        <v>806.41</v>
      </c>
      <c r="H5" s="141">
        <v>0</v>
      </c>
      <c r="I5" s="142">
        <v>9.3680000000000003</v>
      </c>
    </row>
    <row r="6" spans="1:9" x14ac:dyDescent="0.25">
      <c r="A6" s="143">
        <v>1961</v>
      </c>
      <c r="B6" s="141">
        <v>9.6549999999999994</v>
      </c>
      <c r="C6" s="141">
        <v>0</v>
      </c>
      <c r="D6" s="141">
        <v>8.3219999999999992</v>
      </c>
      <c r="E6" s="133">
        <f t="shared" si="0"/>
        <v>9.6394696704800058</v>
      </c>
      <c r="F6" s="146">
        <f t="shared" si="1"/>
        <v>9.6549999999999994</v>
      </c>
      <c r="G6" s="142">
        <v>891.5</v>
      </c>
      <c r="H6" s="141">
        <v>0</v>
      </c>
      <c r="I6" s="142">
        <v>10.509</v>
      </c>
    </row>
    <row r="7" spans="1:9" x14ac:dyDescent="0.25">
      <c r="A7" s="143">
        <v>1962</v>
      </c>
      <c r="B7" s="141">
        <v>9.6530000000000005</v>
      </c>
      <c r="C7" s="141">
        <v>0</v>
      </c>
      <c r="D7" s="141">
        <v>8.2780000000000005</v>
      </c>
      <c r="E7" s="133">
        <f t="shared" si="0"/>
        <v>9.6362223898989363</v>
      </c>
      <c r="F7" s="146">
        <f t="shared" si="1"/>
        <v>9.6530000000000005</v>
      </c>
      <c r="G7" s="142">
        <v>963.52</v>
      </c>
      <c r="H7" s="141">
        <v>0</v>
      </c>
      <c r="I7" s="142">
        <v>11.901999999999999</v>
      </c>
    </row>
    <row r="8" spans="1:9" x14ac:dyDescent="0.25">
      <c r="A8" s="143">
        <v>1963</v>
      </c>
      <c r="B8" s="141">
        <v>9.6560000000000006</v>
      </c>
      <c r="C8" s="141">
        <v>0</v>
      </c>
      <c r="D8" s="141">
        <v>8.25</v>
      </c>
      <c r="E8" s="133">
        <f t="shared" si="0"/>
        <v>9.6383216102822917</v>
      </c>
      <c r="F8" s="146">
        <f t="shared" si="1"/>
        <v>9.6560000000000006</v>
      </c>
      <c r="G8" s="142">
        <v>1053.43</v>
      </c>
      <c r="H8" s="141">
        <v>0</v>
      </c>
      <c r="I8" s="142">
        <v>13.414</v>
      </c>
    </row>
    <row r="9" spans="1:9" x14ac:dyDescent="0.25">
      <c r="A9" s="143">
        <v>1964</v>
      </c>
      <c r="B9" s="141">
        <v>9.6310000000000002</v>
      </c>
      <c r="C9" s="141">
        <v>0</v>
      </c>
      <c r="D9" s="141">
        <v>8.157</v>
      </c>
      <c r="E9" s="133">
        <f t="shared" si="0"/>
        <v>9.6122537300577342</v>
      </c>
      <c r="F9" s="146">
        <f t="shared" si="1"/>
        <v>9.6310000000000002</v>
      </c>
      <c r="G9" s="142">
        <v>1169.17</v>
      </c>
      <c r="H9" s="141">
        <v>0</v>
      </c>
      <c r="I9" s="142">
        <v>15.061</v>
      </c>
    </row>
    <row r="10" spans="1:9" x14ac:dyDescent="0.25">
      <c r="A10" s="143">
        <v>1965</v>
      </c>
      <c r="B10" s="141">
        <v>9.5619999999999994</v>
      </c>
      <c r="C10" s="141">
        <v>0</v>
      </c>
      <c r="D10" s="141">
        <v>8.0239999999999991</v>
      </c>
      <c r="E10" s="133">
        <f t="shared" si="0"/>
        <v>9.5427159367251804</v>
      </c>
      <c r="F10" s="146">
        <f t="shared" si="1"/>
        <v>9.5619999999999994</v>
      </c>
      <c r="G10" s="142">
        <v>1285.99</v>
      </c>
      <c r="H10" s="141">
        <v>0</v>
      </c>
      <c r="I10" s="142">
        <v>16.329000000000001</v>
      </c>
    </row>
    <row r="11" spans="1:9" x14ac:dyDescent="0.25">
      <c r="A11" s="143">
        <v>1966</v>
      </c>
      <c r="B11" s="141">
        <v>9.5640000000000001</v>
      </c>
      <c r="C11" s="141">
        <v>0</v>
      </c>
      <c r="D11" s="141">
        <v>8.0280000000000005</v>
      </c>
      <c r="E11" s="133">
        <f t="shared" si="0"/>
        <v>9.5447511281958626</v>
      </c>
      <c r="F11" s="146">
        <f t="shared" si="1"/>
        <v>9.5640000000000001</v>
      </c>
      <c r="G11" s="142">
        <v>1426.46</v>
      </c>
      <c r="H11" s="141">
        <v>0</v>
      </c>
      <c r="I11" s="142">
        <v>18.103000000000002</v>
      </c>
    </row>
    <row r="12" spans="1:9" x14ac:dyDescent="0.25">
      <c r="A12" s="143">
        <v>1967</v>
      </c>
      <c r="B12" s="141">
        <v>9.6929999999999996</v>
      </c>
      <c r="C12" s="141">
        <v>0</v>
      </c>
      <c r="D12" s="141">
        <v>8.09</v>
      </c>
      <c r="E12" s="133">
        <f t="shared" si="0"/>
        <v>9.6731616960843976</v>
      </c>
      <c r="F12" s="146">
        <f t="shared" si="1"/>
        <v>9.6929999999999996</v>
      </c>
      <c r="G12" s="142">
        <v>1606.44</v>
      </c>
      <c r="H12" s="141">
        <v>0</v>
      </c>
      <c r="I12" s="142">
        <v>20.13</v>
      </c>
    </row>
    <row r="13" spans="1:9" x14ac:dyDescent="0.25">
      <c r="A13" s="143">
        <v>1968</v>
      </c>
      <c r="B13" s="141">
        <v>9.75</v>
      </c>
      <c r="C13" s="141">
        <v>0</v>
      </c>
      <c r="D13" s="141">
        <v>8.1649999999999991</v>
      </c>
      <c r="E13" s="133">
        <f t="shared" si="0"/>
        <v>9.7300911081849044</v>
      </c>
      <c r="F13" s="146">
        <f t="shared" si="1"/>
        <v>9.75</v>
      </c>
      <c r="G13" s="142">
        <v>1780.97</v>
      </c>
      <c r="H13" s="141">
        <v>0</v>
      </c>
      <c r="I13" s="142">
        <v>22.655000000000001</v>
      </c>
    </row>
    <row r="14" spans="1:9" x14ac:dyDescent="0.25">
      <c r="A14" s="143">
        <v>1969</v>
      </c>
      <c r="B14" s="141">
        <v>10.478</v>
      </c>
      <c r="C14" s="141">
        <v>0</v>
      </c>
      <c r="D14" s="141">
        <v>8.3559999999999999</v>
      </c>
      <c r="E14" s="133">
        <f t="shared" si="0"/>
        <v>10.451012366141624</v>
      </c>
      <c r="F14" s="146">
        <f t="shared" si="1"/>
        <v>10.478</v>
      </c>
      <c r="G14" s="142">
        <v>2053.8200000000002</v>
      </c>
      <c r="H14" s="141">
        <v>0</v>
      </c>
      <c r="I14" s="142">
        <v>26.457000000000001</v>
      </c>
    </row>
    <row r="15" spans="1:9" x14ac:dyDescent="0.25">
      <c r="A15" s="143">
        <v>1970</v>
      </c>
      <c r="B15" s="141">
        <v>10.579000000000001</v>
      </c>
      <c r="C15" s="141">
        <v>0</v>
      </c>
      <c r="D15" s="141">
        <v>8.5250000000000004</v>
      </c>
      <c r="E15" s="133">
        <f t="shared" si="0"/>
        <v>10.552555632316157</v>
      </c>
      <c r="F15" s="146">
        <f t="shared" si="1"/>
        <v>10.579000000000001</v>
      </c>
      <c r="G15" s="142">
        <v>2280.4699999999998</v>
      </c>
      <c r="H15" s="141">
        <v>0</v>
      </c>
      <c r="I15" s="142">
        <v>29.742999999999999</v>
      </c>
    </row>
    <row r="16" spans="1:9" x14ac:dyDescent="0.25">
      <c r="A16" s="143">
        <v>1971</v>
      </c>
      <c r="B16" s="141">
        <v>11.023999999999999</v>
      </c>
      <c r="C16" s="141">
        <v>0</v>
      </c>
      <c r="D16" s="141">
        <v>9.1479999999999997</v>
      </c>
      <c r="E16" s="133">
        <f t="shared" si="0"/>
        <v>11.001178492930983</v>
      </c>
      <c r="F16" s="146">
        <f t="shared" si="1"/>
        <v>11.023999999999999</v>
      </c>
      <c r="G16" s="142">
        <v>2600.4499999999998</v>
      </c>
      <c r="H16" s="141">
        <v>0</v>
      </c>
      <c r="I16" s="142">
        <v>32.024000000000001</v>
      </c>
    </row>
    <row r="17" spans="1:9" x14ac:dyDescent="0.25">
      <c r="A17" s="143">
        <v>1972</v>
      </c>
      <c r="B17" s="141">
        <v>11.023999999999999</v>
      </c>
      <c r="C17" s="141">
        <v>0</v>
      </c>
      <c r="D17" s="141">
        <v>9.2200000000000006</v>
      </c>
      <c r="E17" s="133">
        <f t="shared" si="0"/>
        <v>11.004074132756053</v>
      </c>
      <c r="F17" s="146">
        <f t="shared" si="1"/>
        <v>11.023999999999999</v>
      </c>
      <c r="G17" s="142">
        <v>2889.94</v>
      </c>
      <c r="H17" s="141">
        <v>0</v>
      </c>
      <c r="I17" s="142">
        <v>32.277000000000001</v>
      </c>
    </row>
    <row r="18" spans="1:9" x14ac:dyDescent="0.25">
      <c r="A18" s="143">
        <v>1973</v>
      </c>
      <c r="B18" s="141">
        <v>11.443</v>
      </c>
      <c r="C18" s="141">
        <v>0</v>
      </c>
      <c r="D18" s="141">
        <v>9.4979999999999993</v>
      </c>
      <c r="E18" s="133">
        <f t="shared" si="0"/>
        <v>11.422633553967259</v>
      </c>
      <c r="F18" s="146">
        <f t="shared" si="1"/>
        <v>11.443</v>
      </c>
      <c r="G18" s="142">
        <v>3277.74</v>
      </c>
      <c r="H18" s="141">
        <v>0</v>
      </c>
      <c r="I18" s="142">
        <v>34.685000000000002</v>
      </c>
    </row>
    <row r="19" spans="1:9" x14ac:dyDescent="0.25">
      <c r="A19" s="143">
        <v>1974</v>
      </c>
      <c r="B19" s="141">
        <v>16.145</v>
      </c>
      <c r="C19" s="141">
        <v>0</v>
      </c>
      <c r="D19" s="141">
        <v>12.68</v>
      </c>
      <c r="E19" s="133">
        <f t="shared" si="0"/>
        <v>16.104175287705569</v>
      </c>
      <c r="F19" s="146">
        <f t="shared" si="1"/>
        <v>16.145</v>
      </c>
      <c r="G19" s="142">
        <v>4374.42</v>
      </c>
      <c r="H19" s="141">
        <v>0</v>
      </c>
      <c r="I19" s="142">
        <v>52.154000000000003</v>
      </c>
    </row>
    <row r="20" spans="1:9" x14ac:dyDescent="0.25">
      <c r="A20" s="143">
        <v>1975</v>
      </c>
      <c r="B20" s="141">
        <v>16.806999999999999</v>
      </c>
      <c r="C20" s="141">
        <v>0</v>
      </c>
      <c r="D20" s="141">
        <v>13.541</v>
      </c>
      <c r="E20" s="133">
        <f t="shared" si="0"/>
        <v>16.763405343633682</v>
      </c>
      <c r="F20" s="146">
        <f t="shared" si="1"/>
        <v>16.806999999999999</v>
      </c>
      <c r="G20" s="142">
        <v>4818.53</v>
      </c>
      <c r="H20" s="141">
        <v>0</v>
      </c>
      <c r="I20" s="142">
        <v>65.188000000000002</v>
      </c>
    </row>
    <row r="21" spans="1:9" x14ac:dyDescent="0.25">
      <c r="A21" s="143">
        <v>1976</v>
      </c>
      <c r="B21" s="141">
        <v>18.202000000000002</v>
      </c>
      <c r="C21" s="141">
        <v>0</v>
      </c>
      <c r="D21" s="141">
        <v>14.909000000000001</v>
      </c>
      <c r="E21" s="133">
        <f t="shared" si="0"/>
        <v>18.151261248805522</v>
      </c>
      <c r="F21" s="146">
        <f t="shared" si="1"/>
        <v>18.202000000000002</v>
      </c>
      <c r="G21" s="142">
        <v>5524.76</v>
      </c>
      <c r="H21" s="141">
        <v>0</v>
      </c>
      <c r="I21" s="142">
        <v>86.457999999999998</v>
      </c>
    </row>
    <row r="22" spans="1:9" x14ac:dyDescent="0.25">
      <c r="A22" s="143">
        <v>1977</v>
      </c>
      <c r="B22" s="141">
        <v>21.350999999999999</v>
      </c>
      <c r="C22" s="141">
        <v>0</v>
      </c>
      <c r="D22" s="141">
        <v>16.414000000000001</v>
      </c>
      <c r="E22" s="133">
        <f t="shared" si="0"/>
        <v>21.260802308874496</v>
      </c>
      <c r="F22" s="146">
        <f t="shared" si="1"/>
        <v>21.350999999999999</v>
      </c>
      <c r="G22" s="142">
        <v>6357.91</v>
      </c>
      <c r="H22" s="141">
        <v>0</v>
      </c>
      <c r="I22" s="142">
        <v>118.319</v>
      </c>
    </row>
    <row r="23" spans="1:9" x14ac:dyDescent="0.25">
      <c r="A23" s="143">
        <v>1978</v>
      </c>
      <c r="B23" s="141">
        <v>23.542000000000002</v>
      </c>
      <c r="C23" s="141">
        <v>0</v>
      </c>
      <c r="D23" s="141">
        <v>18.082000000000001</v>
      </c>
      <c r="E23" s="133">
        <f t="shared" si="0"/>
        <v>23.422042316282155</v>
      </c>
      <c r="F23" s="146">
        <f t="shared" si="1"/>
        <v>23.542000000000002</v>
      </c>
      <c r="G23" s="142">
        <v>7322</v>
      </c>
      <c r="H23" s="141">
        <v>0</v>
      </c>
      <c r="I23" s="142">
        <v>164.48</v>
      </c>
    </row>
    <row r="24" spans="1:9" x14ac:dyDescent="0.25">
      <c r="A24" s="143">
        <v>1979</v>
      </c>
      <c r="B24" s="141">
        <v>27.053000000000001</v>
      </c>
      <c r="C24" s="141">
        <v>0</v>
      </c>
      <c r="D24" s="141">
        <v>22.359000000000002</v>
      </c>
      <c r="E24" s="133">
        <f t="shared" si="0"/>
        <v>26.922022342711937</v>
      </c>
      <c r="F24" s="146">
        <f t="shared" si="1"/>
        <v>27.053000000000001</v>
      </c>
      <c r="G24" s="142">
        <v>8425.02</v>
      </c>
      <c r="H24" s="141">
        <v>0</v>
      </c>
      <c r="I24" s="142">
        <v>241.833</v>
      </c>
    </row>
    <row r="25" spans="1:9" x14ac:dyDescent="0.25">
      <c r="A25" s="143">
        <v>1980</v>
      </c>
      <c r="B25" s="141">
        <v>31.439</v>
      </c>
      <c r="C25" s="141">
        <v>0</v>
      </c>
      <c r="D25" s="141">
        <v>27.838000000000001</v>
      </c>
      <c r="E25" s="133">
        <f t="shared" si="0"/>
        <v>31.30742972787926</v>
      </c>
      <c r="F25" s="146">
        <f t="shared" si="1"/>
        <v>31.438999999999997</v>
      </c>
      <c r="G25" s="142">
        <v>9895.33</v>
      </c>
      <c r="H25" s="141">
        <v>0</v>
      </c>
      <c r="I25" s="142">
        <v>375.25799999999998</v>
      </c>
    </row>
    <row r="26" spans="1:9" x14ac:dyDescent="0.25">
      <c r="A26" s="143">
        <v>1981</v>
      </c>
      <c r="B26" s="141">
        <v>35.813000000000002</v>
      </c>
      <c r="C26" s="141">
        <v>0</v>
      </c>
      <c r="D26" s="141">
        <v>33.122</v>
      </c>
      <c r="E26" s="133">
        <f t="shared" si="0"/>
        <v>35.691326494669049</v>
      </c>
      <c r="F26" s="146">
        <f t="shared" si="1"/>
        <v>35.813000000000002</v>
      </c>
      <c r="G26" s="142">
        <v>11606.72</v>
      </c>
      <c r="H26" s="141">
        <v>0</v>
      </c>
      <c r="I26" s="142">
        <v>549.65</v>
      </c>
    </row>
    <row r="27" spans="1:9" x14ac:dyDescent="0.25">
      <c r="A27" s="143">
        <v>1982</v>
      </c>
      <c r="B27" s="141">
        <v>40.682000000000002</v>
      </c>
      <c r="C27" s="141">
        <v>0</v>
      </c>
      <c r="D27" s="141">
        <v>38.484000000000002</v>
      </c>
      <c r="E27" s="133">
        <f t="shared" si="0"/>
        <v>40.563464588186903</v>
      </c>
      <c r="F27" s="146">
        <f t="shared" si="1"/>
        <v>40.682000000000002</v>
      </c>
      <c r="G27" s="142">
        <v>13366.84</v>
      </c>
      <c r="H27" s="141">
        <v>0</v>
      </c>
      <c r="I27" s="142">
        <v>761.94799999999998</v>
      </c>
    </row>
    <row r="28" spans="1:9" x14ac:dyDescent="0.25">
      <c r="A28" s="143">
        <v>1983</v>
      </c>
      <c r="B28" s="141">
        <v>43.542000000000002</v>
      </c>
      <c r="C28" s="141">
        <v>0</v>
      </c>
      <c r="D28" s="141">
        <v>41.918999999999997</v>
      </c>
      <c r="E28" s="133">
        <f t="shared" si="0"/>
        <v>43.443971431490823</v>
      </c>
      <c r="F28" s="146">
        <f t="shared" si="1"/>
        <v>43.542000000000002</v>
      </c>
      <c r="G28" s="142">
        <v>14382.03</v>
      </c>
      <c r="H28" s="141">
        <v>0</v>
      </c>
      <c r="I28" s="142">
        <v>924.50900000000001</v>
      </c>
    </row>
    <row r="29" spans="1:9" x14ac:dyDescent="0.25">
      <c r="A29" s="143">
        <v>1984</v>
      </c>
      <c r="B29" s="141">
        <v>47.173999999999999</v>
      </c>
      <c r="C29" s="141">
        <v>0</v>
      </c>
      <c r="D29" s="141">
        <v>45.247999999999998</v>
      </c>
      <c r="E29" s="133">
        <f t="shared" si="0"/>
        <v>47.045058802899561</v>
      </c>
      <c r="F29" s="146">
        <f t="shared" si="1"/>
        <v>47.173999999999999</v>
      </c>
      <c r="G29" s="142">
        <v>15643.66</v>
      </c>
      <c r="H29" s="141">
        <v>0</v>
      </c>
      <c r="I29" s="142">
        <v>1122.452</v>
      </c>
    </row>
    <row r="30" spans="1:9" x14ac:dyDescent="0.25">
      <c r="A30" s="143">
        <v>1985</v>
      </c>
      <c r="B30" s="141">
        <v>52.235999999999997</v>
      </c>
      <c r="C30" s="141">
        <v>0</v>
      </c>
      <c r="D30" s="141">
        <v>52.149000000000001</v>
      </c>
      <c r="E30" s="133">
        <f t="shared" si="0"/>
        <v>52.229354801081591</v>
      </c>
      <c r="F30" s="146">
        <f t="shared" si="1"/>
        <v>52.235999999999997</v>
      </c>
      <c r="G30" s="142">
        <v>17138.64</v>
      </c>
      <c r="H30" s="141">
        <v>0</v>
      </c>
      <c r="I30" s="142">
        <v>1417.335</v>
      </c>
    </row>
    <row r="31" spans="1:9" x14ac:dyDescent="0.25">
      <c r="A31" s="143">
        <v>1986</v>
      </c>
      <c r="B31" s="141">
        <v>45.603999999999999</v>
      </c>
      <c r="C31" s="141">
        <v>0</v>
      </c>
      <c r="D31" s="141">
        <v>42.749000000000002</v>
      </c>
      <c r="E31" s="133">
        <f t="shared" si="0"/>
        <v>45.384588940309754</v>
      </c>
      <c r="F31" s="146">
        <f t="shared" si="1"/>
        <v>45.603999999999999</v>
      </c>
      <c r="G31" s="142">
        <v>15460.95</v>
      </c>
      <c r="H31" s="141">
        <v>0</v>
      </c>
      <c r="I31" s="142">
        <v>1287.114</v>
      </c>
    </row>
    <row r="32" spans="1:9" x14ac:dyDescent="0.25">
      <c r="A32" s="143">
        <v>1987</v>
      </c>
      <c r="B32" s="141">
        <v>46.11</v>
      </c>
      <c r="C32" s="141">
        <v>0</v>
      </c>
      <c r="D32" s="141">
        <v>41.725999999999999</v>
      </c>
      <c r="E32" s="133">
        <f t="shared" si="0"/>
        <v>45.749073735006682</v>
      </c>
      <c r="F32" s="146">
        <f t="shared" si="1"/>
        <v>46.11</v>
      </c>
      <c r="G32" s="142">
        <v>15541.89</v>
      </c>
      <c r="H32" s="141">
        <v>0</v>
      </c>
      <c r="I32" s="142">
        <v>1394.326</v>
      </c>
    </row>
    <row r="33" spans="1:9" x14ac:dyDescent="0.25">
      <c r="A33" s="143">
        <v>1988</v>
      </c>
      <c r="B33" s="141">
        <v>46.527999999999999</v>
      </c>
      <c r="C33" s="141">
        <v>0</v>
      </c>
      <c r="D33" s="141">
        <v>41.261000000000003</v>
      </c>
      <c r="E33" s="133">
        <f t="shared" si="0"/>
        <v>46.049214224372086</v>
      </c>
      <c r="F33" s="146">
        <f t="shared" si="1"/>
        <v>46.527999999999999</v>
      </c>
      <c r="G33" s="142">
        <v>15984.53</v>
      </c>
      <c r="H33" s="141">
        <v>0</v>
      </c>
      <c r="I33" s="142">
        <v>1598.3340000000001</v>
      </c>
    </row>
    <row r="34" spans="1:9" x14ac:dyDescent="0.25">
      <c r="A34" s="143">
        <v>1989</v>
      </c>
      <c r="B34" s="141">
        <v>49.698</v>
      </c>
      <c r="C34" s="141">
        <v>54.9</v>
      </c>
      <c r="D34" s="141">
        <v>43.497999999999998</v>
      </c>
      <c r="E34" s="133">
        <f t="shared" si="0"/>
        <v>49.041123708855366</v>
      </c>
      <c r="F34" s="146">
        <f t="shared" si="1"/>
        <v>49.699374069501189</v>
      </c>
      <c r="G34" s="142">
        <v>17058.25</v>
      </c>
      <c r="H34" s="142">
        <v>4.5069999999999997</v>
      </c>
      <c r="I34" s="142">
        <v>2026.2159999999999</v>
      </c>
    </row>
    <row r="35" spans="1:9" x14ac:dyDescent="0.25">
      <c r="A35" s="143">
        <v>1990</v>
      </c>
      <c r="B35" s="141">
        <v>51.326000000000001</v>
      </c>
      <c r="C35" s="141">
        <v>56.698</v>
      </c>
      <c r="D35" s="141">
        <v>46.008000000000003</v>
      </c>
      <c r="E35" s="133">
        <f t="shared" si="0"/>
        <v>51.286758912946951</v>
      </c>
      <c r="F35" s="146">
        <f t="shared" si="1"/>
        <v>52.06636384380829</v>
      </c>
      <c r="G35" s="142">
        <v>14882.21</v>
      </c>
      <c r="H35" s="142">
        <v>2378.9110000000001</v>
      </c>
      <c r="I35" s="142">
        <v>2549.2460000000001</v>
      </c>
    </row>
    <row r="36" spans="1:9" x14ac:dyDescent="0.25">
      <c r="A36" s="143">
        <v>1991</v>
      </c>
      <c r="B36" s="141">
        <v>51.654000000000003</v>
      </c>
      <c r="C36" s="141">
        <v>55.688000000000002</v>
      </c>
      <c r="D36" s="141">
        <v>46.651000000000003</v>
      </c>
      <c r="E36" s="133">
        <f t="shared" ref="E36:E59" si="2">(B36*G36+C36*H36+D36*I36)/(G36+H36+I36)</f>
        <v>51.75029097658264</v>
      </c>
      <c r="F36" s="146">
        <f t="shared" ref="F36:F59" si="3">(B36*G36+C36*H36)/(G36+H36)</f>
        <v>52.635934171576501</v>
      </c>
      <c r="G36" s="142">
        <v>12948.3</v>
      </c>
      <c r="H36" s="142">
        <v>4165.8270000000002</v>
      </c>
      <c r="I36" s="142">
        <v>2972.3760000000002</v>
      </c>
    </row>
    <row r="37" spans="1:9" x14ac:dyDescent="0.25">
      <c r="A37" s="143">
        <v>1992</v>
      </c>
      <c r="B37" s="141">
        <v>50.704000000000001</v>
      </c>
      <c r="C37" s="141">
        <v>54.457999999999998</v>
      </c>
      <c r="D37" s="141">
        <v>44.973999999999997</v>
      </c>
      <c r="E37" s="133">
        <f t="shared" si="2"/>
        <v>50.759725604543355</v>
      </c>
      <c r="F37" s="146">
        <f t="shared" si="3"/>
        <v>51.914349303326212</v>
      </c>
      <c r="G37" s="142">
        <v>11173.75</v>
      </c>
      <c r="H37" s="142">
        <v>5316.8230000000003</v>
      </c>
      <c r="I37" s="142">
        <v>3290.9279999999999</v>
      </c>
    </row>
    <row r="38" spans="1:9" x14ac:dyDescent="0.25">
      <c r="A38" s="143">
        <v>1993</v>
      </c>
      <c r="B38" s="141">
        <v>52.530999999999999</v>
      </c>
      <c r="C38" s="141">
        <v>56.091999999999999</v>
      </c>
      <c r="D38" s="141">
        <v>47.581000000000003</v>
      </c>
      <c r="E38" s="133">
        <f t="shared" si="2"/>
        <v>52.694173727726714</v>
      </c>
      <c r="F38" s="146">
        <f t="shared" si="3"/>
        <v>53.901454708448661</v>
      </c>
      <c r="G38" s="142">
        <v>10119.959999999999</v>
      </c>
      <c r="H38" s="142">
        <v>6331.2759999999998</v>
      </c>
      <c r="I38" s="142">
        <v>3884.3319999999999</v>
      </c>
    </row>
    <row r="39" spans="1:9" x14ac:dyDescent="0.25">
      <c r="A39" s="143">
        <v>1994</v>
      </c>
      <c r="B39" s="141">
        <v>54.368000000000002</v>
      </c>
      <c r="C39" s="141">
        <v>58.277999999999999</v>
      </c>
      <c r="D39" s="141">
        <v>50.389000000000003</v>
      </c>
      <c r="E39" s="133">
        <f t="shared" si="2"/>
        <v>54.86354369318839</v>
      </c>
      <c r="F39" s="146">
        <f t="shared" si="3"/>
        <v>56.08468846922414</v>
      </c>
      <c r="G39" s="142">
        <v>9252.69</v>
      </c>
      <c r="H39" s="142">
        <v>7242.0110000000004</v>
      </c>
      <c r="I39" s="142">
        <v>4501.558</v>
      </c>
    </row>
    <row r="40" spans="1:9" x14ac:dyDescent="0.25">
      <c r="A40" s="143">
        <v>1995</v>
      </c>
      <c r="B40" s="141">
        <v>56.69</v>
      </c>
      <c r="C40" s="141">
        <v>61.780999999999999</v>
      </c>
      <c r="D40" s="141">
        <v>50.433999999999997</v>
      </c>
      <c r="E40" s="133">
        <f t="shared" si="2"/>
        <v>57.146821233219619</v>
      </c>
      <c r="F40" s="146">
        <f t="shared" si="3"/>
        <v>59.178455703074697</v>
      </c>
      <c r="G40" s="142">
        <v>8440.66</v>
      </c>
      <c r="H40" s="142">
        <v>8070.6440000000002</v>
      </c>
      <c r="I40" s="142">
        <v>4997.1440000000002</v>
      </c>
    </row>
    <row r="41" spans="1:9" x14ac:dyDescent="0.25">
      <c r="A41" s="143">
        <v>1996</v>
      </c>
      <c r="B41" s="141">
        <v>60.161000000000001</v>
      </c>
      <c r="C41" s="141">
        <v>65.597999999999999</v>
      </c>
      <c r="D41" s="141">
        <v>56.048000000000002</v>
      </c>
      <c r="E41" s="133">
        <f t="shared" si="2"/>
        <v>61.278766556500663</v>
      </c>
      <c r="F41" s="146">
        <f t="shared" si="3"/>
        <v>63.131987798064799</v>
      </c>
      <c r="G41" s="142">
        <v>7630.44</v>
      </c>
      <c r="H41" s="142">
        <v>9192.9570000000003</v>
      </c>
      <c r="I41" s="142">
        <v>5960.4030000000002</v>
      </c>
    </row>
    <row r="42" spans="1:9" x14ac:dyDescent="0.25">
      <c r="A42" s="143">
        <v>1997</v>
      </c>
      <c r="B42" s="141">
        <v>62.429000000000002</v>
      </c>
      <c r="C42" s="141">
        <v>68.081999999999994</v>
      </c>
      <c r="D42" s="141">
        <v>58.198</v>
      </c>
      <c r="E42" s="133">
        <f t="shared" si="2"/>
        <v>63.654769724664291</v>
      </c>
      <c r="F42" s="146">
        <f t="shared" si="3"/>
        <v>65.791757843908343</v>
      </c>
      <c r="G42" s="142">
        <v>6896.65</v>
      </c>
      <c r="H42" s="142">
        <v>10126.337</v>
      </c>
      <c r="I42" s="142">
        <v>6666.567</v>
      </c>
    </row>
    <row r="43" spans="1:9" x14ac:dyDescent="0.25">
      <c r="A43" s="143">
        <v>1998</v>
      </c>
      <c r="B43" s="141">
        <v>61.118000000000002</v>
      </c>
      <c r="C43" s="141">
        <v>66.379000000000005</v>
      </c>
      <c r="D43" s="141">
        <v>55.347999999999999</v>
      </c>
      <c r="E43" s="133">
        <f t="shared" si="2"/>
        <v>61.819078497258729</v>
      </c>
      <c r="F43" s="146">
        <f t="shared" si="3"/>
        <v>64.48934614312607</v>
      </c>
      <c r="G43" s="142">
        <v>5921.45</v>
      </c>
      <c r="H43" s="142">
        <v>10564.504999999999</v>
      </c>
      <c r="I43" s="142">
        <v>6802.8710000000001</v>
      </c>
    </row>
    <row r="44" spans="1:9" x14ac:dyDescent="0.25">
      <c r="A44" s="143">
        <v>1999</v>
      </c>
      <c r="B44" s="141">
        <v>63.597000000000001</v>
      </c>
      <c r="C44" s="141">
        <v>68.55</v>
      </c>
      <c r="D44" s="141">
        <v>58.786999999999999</v>
      </c>
      <c r="E44" s="133">
        <f t="shared" si="2"/>
        <v>64.450574879945705</v>
      </c>
      <c r="F44" s="146">
        <f t="shared" si="3"/>
        <v>67.024271926467279</v>
      </c>
      <c r="G44" s="142">
        <v>5206.57</v>
      </c>
      <c r="H44" s="142">
        <v>11695.617</v>
      </c>
      <c r="I44" s="142">
        <v>7680.857</v>
      </c>
    </row>
    <row r="45" spans="1:9" x14ac:dyDescent="0.25">
      <c r="A45" s="143">
        <v>2000</v>
      </c>
      <c r="B45" s="141">
        <v>74.37</v>
      </c>
      <c r="C45" s="141">
        <v>79.161000000000001</v>
      </c>
      <c r="D45" s="141">
        <v>72.778000000000006</v>
      </c>
      <c r="E45" s="133">
        <f t="shared" si="2"/>
        <v>76.229993890592866</v>
      </c>
      <c r="F45" s="146">
        <f t="shared" si="3"/>
        <v>78.062335026975859</v>
      </c>
      <c r="G45" s="142">
        <v>4255.88</v>
      </c>
      <c r="H45" s="142">
        <v>14302.936</v>
      </c>
      <c r="I45" s="142">
        <v>9851.1419999999998</v>
      </c>
    </row>
    <row r="46" spans="1:9" x14ac:dyDescent="0.25">
      <c r="A46" s="143">
        <v>2001</v>
      </c>
      <c r="B46" s="141">
        <v>71.331000000000003</v>
      </c>
      <c r="C46" s="141">
        <v>75.397000000000006</v>
      </c>
      <c r="D46" s="141">
        <v>68.677000000000007</v>
      </c>
      <c r="E46" s="133">
        <f t="shared" si="2"/>
        <v>72.492598857687739</v>
      </c>
      <c r="F46" s="146">
        <f t="shared" si="3"/>
        <v>74.6974070120188</v>
      </c>
      <c r="G46" s="142">
        <v>2983.91</v>
      </c>
      <c r="H46" s="142">
        <v>14358.428</v>
      </c>
      <c r="I46" s="142">
        <v>10021.108</v>
      </c>
    </row>
    <row r="47" spans="1:9" x14ac:dyDescent="0.25">
      <c r="A47" s="143">
        <v>2002</v>
      </c>
      <c r="B47" s="141">
        <v>69.662000000000006</v>
      </c>
      <c r="C47" s="141">
        <v>73.632999999999996</v>
      </c>
      <c r="D47" s="141">
        <v>66.308000000000007</v>
      </c>
      <c r="E47" s="133">
        <f t="shared" si="2"/>
        <v>70.490687414447891</v>
      </c>
      <c r="F47" s="146">
        <f t="shared" si="3"/>
        <v>73.113197665394281</v>
      </c>
      <c r="G47" s="142">
        <v>2133.11</v>
      </c>
      <c r="H47" s="142">
        <v>14162.661</v>
      </c>
      <c r="I47" s="142">
        <v>10217.313</v>
      </c>
    </row>
    <row r="48" spans="1:9" x14ac:dyDescent="0.25">
      <c r="A48" s="143">
        <v>2003</v>
      </c>
      <c r="B48" s="141">
        <v>70.638000000000005</v>
      </c>
      <c r="C48" s="141">
        <v>74.828000000000003</v>
      </c>
      <c r="D48" s="141">
        <v>68.704999999999998</v>
      </c>
      <c r="E48" s="133">
        <f t="shared" si="2"/>
        <v>71.995814604911772</v>
      </c>
      <c r="F48" s="146">
        <f t="shared" si="3"/>
        <v>74.414443663633918</v>
      </c>
      <c r="G48" s="142">
        <v>1536.87</v>
      </c>
      <c r="H48" s="142">
        <v>14034.129000000001</v>
      </c>
      <c r="I48" s="142">
        <v>11444.118</v>
      </c>
    </row>
    <row r="49" spans="1:9" x14ac:dyDescent="0.25">
      <c r="A49" s="143">
        <v>2004</v>
      </c>
      <c r="B49" s="141">
        <v>74.06</v>
      </c>
      <c r="C49" s="141">
        <v>78.881</v>
      </c>
      <c r="D49" s="141">
        <v>76.429000000000002</v>
      </c>
      <c r="E49" s="133">
        <f t="shared" si="2"/>
        <v>77.566611111322871</v>
      </c>
      <c r="F49" s="146">
        <f t="shared" si="3"/>
        <v>78.521966363756277</v>
      </c>
      <c r="G49" s="142">
        <v>1157.58</v>
      </c>
      <c r="H49" s="142">
        <v>14386.07</v>
      </c>
      <c r="I49" s="142">
        <v>13053.413</v>
      </c>
    </row>
    <row r="50" spans="1:9" x14ac:dyDescent="0.25">
      <c r="A50" s="143">
        <v>2005</v>
      </c>
      <c r="B50" s="141">
        <v>81.302000000000007</v>
      </c>
      <c r="C50" s="141">
        <v>86.760999999999996</v>
      </c>
      <c r="D50" s="141">
        <v>88.959000000000003</v>
      </c>
      <c r="E50" s="133">
        <f t="shared" si="2"/>
        <v>87.747521553072858</v>
      </c>
      <c r="F50" s="146">
        <f t="shared" si="3"/>
        <v>86.586140778766534</v>
      </c>
      <c r="G50" s="142">
        <v>513.14</v>
      </c>
      <c r="H50" s="142">
        <v>15506.782999999999</v>
      </c>
      <c r="I50" s="142">
        <v>15357.459000000001</v>
      </c>
    </row>
    <row r="51" spans="1:9" x14ac:dyDescent="0.25">
      <c r="A51" s="143">
        <v>2006</v>
      </c>
      <c r="B51" s="141">
        <v>89.254999999999995</v>
      </c>
      <c r="C51" s="141">
        <v>92.206999999999994</v>
      </c>
      <c r="D51" s="141">
        <v>93.694000000000003</v>
      </c>
      <c r="E51" s="133">
        <f t="shared" si="2"/>
        <v>92.951826375864968</v>
      </c>
      <c r="F51" s="146">
        <f t="shared" si="3"/>
        <v>92.18009183486997</v>
      </c>
      <c r="G51" s="142">
        <v>145.9</v>
      </c>
      <c r="H51" s="142">
        <v>15860.275</v>
      </c>
      <c r="I51" s="142">
        <v>16643.704000000002</v>
      </c>
    </row>
    <row r="52" spans="1:9" x14ac:dyDescent="0.25">
      <c r="A52" s="143">
        <v>2007</v>
      </c>
      <c r="B52" s="141">
        <v>94.74</v>
      </c>
      <c r="C52" s="141">
        <v>94.74</v>
      </c>
      <c r="D52" s="141">
        <v>94.707999999999998</v>
      </c>
      <c r="E52" s="133">
        <f t="shared" si="2"/>
        <v>94.722983904105746</v>
      </c>
      <c r="F52" s="146">
        <f t="shared" si="3"/>
        <v>94.740000000000009</v>
      </c>
      <c r="G52" s="142">
        <v>36.1</v>
      </c>
      <c r="H52" s="142">
        <v>15660.285</v>
      </c>
      <c r="I52" s="142">
        <v>17825.206999999999</v>
      </c>
    </row>
    <row r="53" spans="1:9" x14ac:dyDescent="0.25">
      <c r="A53" s="143">
        <v>2008</v>
      </c>
      <c r="B53" s="141">
        <v>0</v>
      </c>
      <c r="C53" s="141">
        <v>101.6</v>
      </c>
      <c r="D53" s="141">
        <v>110.904</v>
      </c>
      <c r="E53" s="133">
        <f t="shared" si="2"/>
        <v>106.97602800213363</v>
      </c>
      <c r="F53" s="146">
        <f t="shared" si="3"/>
        <v>101.6</v>
      </c>
      <c r="G53" s="141">
        <v>0</v>
      </c>
      <c r="H53" s="142">
        <v>15527.236999999999</v>
      </c>
      <c r="I53" s="142">
        <v>21251.388999999999</v>
      </c>
    </row>
    <row r="54" spans="1:9" x14ac:dyDescent="0.25">
      <c r="A54" s="143">
        <v>2009</v>
      </c>
      <c r="B54" s="141">
        <v>0</v>
      </c>
      <c r="C54" s="141">
        <v>89.97</v>
      </c>
      <c r="D54" s="141">
        <v>87.281000000000006</v>
      </c>
      <c r="E54" s="133">
        <f t="shared" si="2"/>
        <v>88.467671399471655</v>
      </c>
      <c r="F54" s="146">
        <f t="shared" si="3"/>
        <v>89.97</v>
      </c>
      <c r="G54" s="141">
        <v>0</v>
      </c>
      <c r="H54" s="142">
        <v>13229.526</v>
      </c>
      <c r="I54" s="142">
        <v>16748.609</v>
      </c>
    </row>
    <row r="55" spans="1:9" x14ac:dyDescent="0.25">
      <c r="A55" s="143">
        <v>2010</v>
      </c>
      <c r="B55" s="141">
        <v>0</v>
      </c>
      <c r="C55" s="141">
        <v>100</v>
      </c>
      <c r="D55" s="141">
        <v>100</v>
      </c>
      <c r="E55" s="133">
        <f t="shared" si="2"/>
        <v>100</v>
      </c>
      <c r="F55" s="146">
        <f t="shared" si="3"/>
        <v>100</v>
      </c>
      <c r="G55" s="141">
        <v>0</v>
      </c>
      <c r="H55" s="142">
        <v>13810.368</v>
      </c>
      <c r="I55" s="142">
        <v>19556.565999999999</v>
      </c>
    </row>
    <row r="56" spans="1:9" x14ac:dyDescent="0.25">
      <c r="A56" s="143">
        <v>2011</v>
      </c>
      <c r="B56" s="141">
        <v>0</v>
      </c>
      <c r="C56" s="141">
        <v>110.95699999999999</v>
      </c>
      <c r="D56" s="141">
        <v>116.623</v>
      </c>
      <c r="E56" s="133">
        <f t="shared" si="2"/>
        <v>114.4263667779281</v>
      </c>
      <c r="F56" s="146">
        <f t="shared" si="3"/>
        <v>110.95699999999999</v>
      </c>
      <c r="G56" s="141">
        <v>0</v>
      </c>
      <c r="H56" s="142">
        <v>14558.566999999999</v>
      </c>
      <c r="I56" s="142">
        <v>22993.829000000002</v>
      </c>
    </row>
    <row r="57" spans="1:9" x14ac:dyDescent="0.25">
      <c r="A57" s="143">
        <v>2012</v>
      </c>
      <c r="B57" s="141">
        <v>0</v>
      </c>
      <c r="C57" s="141">
        <v>116.715</v>
      </c>
      <c r="D57" s="141">
        <v>122.28</v>
      </c>
      <c r="E57" s="133">
        <f t="shared" si="2"/>
        <v>120.22692151147632</v>
      </c>
      <c r="F57" s="146">
        <f t="shared" si="3"/>
        <v>116.715</v>
      </c>
      <c r="G57" s="141">
        <v>0</v>
      </c>
      <c r="H57" s="142">
        <v>14347.063</v>
      </c>
      <c r="I57" s="142">
        <v>24541.564999999999</v>
      </c>
    </row>
    <row r="58" spans="1:9" x14ac:dyDescent="0.25">
      <c r="A58" s="143">
        <v>2013</v>
      </c>
      <c r="B58" s="141">
        <v>0</v>
      </c>
      <c r="C58" s="141">
        <v>114.843</v>
      </c>
      <c r="D58" s="141">
        <v>118.533</v>
      </c>
      <c r="E58" s="133">
        <f t="shared" si="2"/>
        <v>117.18444165809863</v>
      </c>
      <c r="F58" s="146">
        <f t="shared" si="3"/>
        <v>114.843</v>
      </c>
      <c r="G58" s="141">
        <v>0</v>
      </c>
      <c r="H58" s="142">
        <v>13553.416999999999</v>
      </c>
      <c r="I58" s="142">
        <v>23532.192999999999</v>
      </c>
    </row>
    <row r="59" spans="1:9" x14ac:dyDescent="0.25">
      <c r="A59" s="143">
        <v>2014</v>
      </c>
      <c r="B59" s="141">
        <v>0</v>
      </c>
      <c r="C59" s="141">
        <v>111.3</v>
      </c>
      <c r="D59" s="141">
        <v>113.146</v>
      </c>
      <c r="E59" s="133">
        <f t="shared" si="2"/>
        <v>112.46808731955775</v>
      </c>
      <c r="F59" s="146">
        <f t="shared" si="3"/>
        <v>111.3</v>
      </c>
      <c r="G59" s="141">
        <v>0</v>
      </c>
      <c r="H59" s="142">
        <v>13141.416999999999</v>
      </c>
      <c r="I59" s="142">
        <v>22643.51</v>
      </c>
    </row>
  </sheetData>
  <mergeCells count="2">
    <mergeCell ref="G1:I1"/>
    <mergeCell ref="B1:F1"/>
  </mergeCells>
  <phoneticPr fontId="10" type="noConversion"/>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16" sqref="F16"/>
    </sheetView>
  </sheetViews>
  <sheetFormatPr baseColWidth="10" defaultRowHeight="13.5" x14ac:dyDescent="0.25"/>
  <cols>
    <col min="2" max="3" width="9.25" customWidth="1"/>
    <col min="4" max="4" width="10.25" customWidth="1"/>
    <col min="5" max="5" width="13.75" customWidth="1"/>
    <col min="6" max="6" width="15.5" customWidth="1"/>
  </cols>
  <sheetData>
    <row r="1" spans="1:7" x14ac:dyDescent="0.25">
      <c r="A1" t="s">
        <v>672</v>
      </c>
      <c r="F1" t="s">
        <v>674</v>
      </c>
    </row>
    <row r="3" spans="1:7" s="131" customFormat="1" ht="108" x14ac:dyDescent="0.25">
      <c r="A3" s="147" t="s">
        <v>260</v>
      </c>
      <c r="B3" s="147" t="s">
        <v>663</v>
      </c>
      <c r="C3" s="147" t="s">
        <v>664</v>
      </c>
      <c r="D3" s="147" t="s">
        <v>665</v>
      </c>
      <c r="E3" s="147" t="s">
        <v>666</v>
      </c>
      <c r="F3" s="140" t="s">
        <v>673</v>
      </c>
    </row>
    <row r="4" spans="1:7" x14ac:dyDescent="0.25">
      <c r="A4" s="148">
        <v>2001</v>
      </c>
      <c r="B4" s="151">
        <v>6.67</v>
      </c>
      <c r="C4" s="151" t="s">
        <v>671</v>
      </c>
      <c r="D4" s="151">
        <v>1127.23</v>
      </c>
      <c r="E4" s="149">
        <v>37071</v>
      </c>
    </row>
    <row r="5" spans="1:7" x14ac:dyDescent="0.25">
      <c r="A5" s="148">
        <v>2002</v>
      </c>
      <c r="B5" s="151">
        <v>6.83</v>
      </c>
      <c r="C5" s="151" t="s">
        <v>671</v>
      </c>
      <c r="D5" s="151">
        <v>1154.27</v>
      </c>
      <c r="E5" s="149">
        <v>37435</v>
      </c>
    </row>
    <row r="6" spans="1:7" x14ac:dyDescent="0.25">
      <c r="A6" s="148">
        <v>2003</v>
      </c>
      <c r="B6" s="151">
        <v>7.19</v>
      </c>
      <c r="C6" s="151" t="s">
        <v>671</v>
      </c>
      <c r="D6" s="151">
        <v>1215.1099999999999</v>
      </c>
      <c r="E6" s="149">
        <v>37800</v>
      </c>
    </row>
    <row r="7" spans="1:7" x14ac:dyDescent="0.25">
      <c r="A7" s="148">
        <v>2004</v>
      </c>
      <c r="B7" s="151">
        <v>7.61</v>
      </c>
      <c r="C7" s="151" t="s">
        <v>671</v>
      </c>
      <c r="D7" s="151">
        <v>1286.0899999999999</v>
      </c>
      <c r="E7" s="149">
        <v>38170</v>
      </c>
    </row>
    <row r="8" spans="1:7" x14ac:dyDescent="0.25">
      <c r="A8" s="148">
        <v>2005</v>
      </c>
      <c r="B8" s="151">
        <v>8.0299999999999994</v>
      </c>
      <c r="C8" s="151">
        <v>1217.8800000000001</v>
      </c>
      <c r="D8" s="151">
        <v>1357.07</v>
      </c>
      <c r="E8" s="149">
        <v>38533</v>
      </c>
    </row>
    <row r="9" spans="1:7" x14ac:dyDescent="0.25">
      <c r="A9" s="148">
        <v>2006</v>
      </c>
      <c r="B9" s="151">
        <v>8.27</v>
      </c>
      <c r="C9" s="151">
        <v>1254.28</v>
      </c>
      <c r="D9" s="151" t="s">
        <v>671</v>
      </c>
      <c r="E9" s="149">
        <v>38898</v>
      </c>
      <c r="F9" s="151">
        <v>6.5</v>
      </c>
      <c r="G9" s="6">
        <f>F9/B9</f>
        <v>0.78597339782345832</v>
      </c>
    </row>
    <row r="10" spans="1:7" x14ac:dyDescent="0.25">
      <c r="A10" s="148">
        <v>2007</v>
      </c>
      <c r="B10" s="151">
        <v>8.44</v>
      </c>
      <c r="C10" s="151">
        <v>1280.07</v>
      </c>
      <c r="D10" s="151" t="s">
        <v>671</v>
      </c>
      <c r="E10" s="149">
        <v>39262</v>
      </c>
      <c r="F10" s="151">
        <v>6.63</v>
      </c>
      <c r="G10" s="6">
        <f t="shared" ref="G10:G21" si="0">F10/B10</f>
        <v>0.78554502369668244</v>
      </c>
    </row>
    <row r="11" spans="1:7" x14ac:dyDescent="0.25">
      <c r="A11" s="148">
        <v>2008</v>
      </c>
      <c r="B11" s="151">
        <v>8.6300000000000008</v>
      </c>
      <c r="C11" s="151">
        <v>1308.8800000000001</v>
      </c>
      <c r="D11" s="151" t="s">
        <v>671</v>
      </c>
      <c r="E11" s="149">
        <v>39567</v>
      </c>
      <c r="F11" s="151">
        <v>6.78</v>
      </c>
      <c r="G11" s="6">
        <f t="shared" si="0"/>
        <v>0.78563151796060249</v>
      </c>
    </row>
    <row r="12" spans="1:7" x14ac:dyDescent="0.25">
      <c r="A12" s="148">
        <v>2008</v>
      </c>
      <c r="B12" s="151">
        <v>8.7100000000000009</v>
      </c>
      <c r="C12" s="151">
        <v>1321.02</v>
      </c>
      <c r="D12" s="151" t="s">
        <v>671</v>
      </c>
      <c r="E12" s="149">
        <v>39627</v>
      </c>
      <c r="F12" s="151">
        <v>6.84</v>
      </c>
      <c r="G12" s="6">
        <f t="shared" si="0"/>
        <v>0.78530424799081511</v>
      </c>
    </row>
    <row r="13" spans="1:7" x14ac:dyDescent="0.25">
      <c r="A13" s="148">
        <v>2009</v>
      </c>
      <c r="B13" s="151">
        <v>8.82</v>
      </c>
      <c r="C13" s="151">
        <v>1337.7</v>
      </c>
      <c r="D13" s="151" t="s">
        <v>671</v>
      </c>
      <c r="E13" s="149">
        <v>39990</v>
      </c>
      <c r="F13" s="151">
        <v>6.92</v>
      </c>
      <c r="G13" s="6">
        <f t="shared" si="0"/>
        <v>0.78458049886621317</v>
      </c>
    </row>
    <row r="14" spans="1:7" x14ac:dyDescent="0.25">
      <c r="A14" s="148">
        <v>2010</v>
      </c>
      <c r="B14" s="151">
        <v>8.86</v>
      </c>
      <c r="C14" s="151">
        <v>1343.77</v>
      </c>
      <c r="D14" s="151" t="s">
        <v>671</v>
      </c>
      <c r="E14" s="149">
        <v>40164</v>
      </c>
      <c r="F14" s="151">
        <v>6.96</v>
      </c>
      <c r="G14" s="6">
        <f t="shared" si="0"/>
        <v>0.78555304740406329</v>
      </c>
    </row>
    <row r="15" spans="1:7" x14ac:dyDescent="0.25">
      <c r="A15" s="148">
        <v>2011</v>
      </c>
      <c r="B15" s="151">
        <v>9</v>
      </c>
      <c r="C15" s="151">
        <v>1365</v>
      </c>
      <c r="D15" s="151" t="s">
        <v>671</v>
      </c>
      <c r="E15" s="149">
        <v>40529</v>
      </c>
      <c r="F15" s="151">
        <v>7.06</v>
      </c>
      <c r="G15" s="6">
        <f t="shared" si="0"/>
        <v>0.78444444444444439</v>
      </c>
    </row>
    <row r="16" spans="1:7" x14ac:dyDescent="0.25">
      <c r="A16" s="148">
        <v>2011</v>
      </c>
      <c r="B16" s="151">
        <v>9.19</v>
      </c>
      <c r="C16" s="151">
        <v>1393.82</v>
      </c>
      <c r="D16" s="151" t="s">
        <v>671</v>
      </c>
      <c r="E16" s="149">
        <v>40877</v>
      </c>
      <c r="F16" s="151">
        <v>7.23</v>
      </c>
      <c r="G16" s="6">
        <f t="shared" si="0"/>
        <v>0.78672470076169754</v>
      </c>
    </row>
    <row r="17" spans="1:7" x14ac:dyDescent="0.25">
      <c r="A17" s="148">
        <v>2012</v>
      </c>
      <c r="B17" s="151">
        <v>9.2200000000000006</v>
      </c>
      <c r="C17" s="151">
        <v>1398.37</v>
      </c>
      <c r="D17" s="151" t="s">
        <v>671</v>
      </c>
      <c r="E17" s="149">
        <v>40900</v>
      </c>
      <c r="F17" s="151">
        <v>7.37</v>
      </c>
      <c r="G17" s="6">
        <f t="shared" si="0"/>
        <v>0.79934924078091107</v>
      </c>
    </row>
    <row r="18" spans="1:7" x14ac:dyDescent="0.25">
      <c r="A18" s="148">
        <v>2012</v>
      </c>
      <c r="B18" s="151">
        <v>9.4</v>
      </c>
      <c r="C18" s="151">
        <v>1425.67</v>
      </c>
      <c r="D18" s="151" t="s">
        <v>671</v>
      </c>
      <c r="E18" s="149">
        <v>41089</v>
      </c>
      <c r="F18" s="151">
        <v>7.37</v>
      </c>
      <c r="G18" s="6">
        <f t="shared" si="0"/>
        <v>0.7840425531914893</v>
      </c>
    </row>
    <row r="19" spans="1:7" x14ac:dyDescent="0.25">
      <c r="A19" s="148">
        <v>2013</v>
      </c>
      <c r="B19" s="151">
        <v>9.43</v>
      </c>
      <c r="C19" s="151">
        <v>1430.22</v>
      </c>
      <c r="D19" s="151" t="s">
        <v>671</v>
      </c>
      <c r="E19" s="149">
        <v>41264</v>
      </c>
      <c r="F19" s="151">
        <v>7.38</v>
      </c>
      <c r="G19" s="6">
        <f t="shared" si="0"/>
        <v>0.78260869565217395</v>
      </c>
    </row>
    <row r="20" spans="1:7" x14ac:dyDescent="0.25">
      <c r="A20" s="148">
        <v>2014</v>
      </c>
      <c r="B20" s="151">
        <v>9.5299999999999994</v>
      </c>
      <c r="C20" s="151">
        <v>1445.38</v>
      </c>
      <c r="D20" s="151" t="s">
        <v>671</v>
      </c>
      <c r="E20" s="149">
        <v>41627</v>
      </c>
      <c r="F20" s="151">
        <v>7.45</v>
      </c>
      <c r="G20" s="6">
        <f t="shared" si="0"/>
        <v>0.78174186778593924</v>
      </c>
    </row>
    <row r="21" spans="1:7" x14ac:dyDescent="0.25">
      <c r="A21" s="148">
        <v>2015</v>
      </c>
      <c r="B21" s="151">
        <v>9.61</v>
      </c>
      <c r="C21" s="151">
        <v>1457.52</v>
      </c>
      <c r="D21" s="151" t="s">
        <v>671</v>
      </c>
      <c r="E21" s="149">
        <v>41995</v>
      </c>
      <c r="F21" s="151">
        <v>7.45</v>
      </c>
      <c r="G21" s="6">
        <f t="shared" si="0"/>
        <v>0.77523413111342354</v>
      </c>
    </row>
    <row r="22" spans="1:7" x14ac:dyDescent="0.25">
      <c r="A22" s="216" t="s">
        <v>670</v>
      </c>
      <c r="B22" s="216"/>
      <c r="C22" s="216"/>
      <c r="D22" s="216"/>
      <c r="E22" s="216"/>
    </row>
    <row r="23" spans="1:7" x14ac:dyDescent="0.25">
      <c r="A23" s="216" t="s">
        <v>669</v>
      </c>
      <c r="B23" s="216"/>
      <c r="C23" s="216"/>
      <c r="D23" s="216"/>
      <c r="E23" s="216"/>
    </row>
    <row r="24" spans="1:7" x14ac:dyDescent="0.25">
      <c r="A24" s="216" t="s">
        <v>667</v>
      </c>
      <c r="B24" s="216"/>
      <c r="C24" s="216"/>
      <c r="D24" s="216"/>
      <c r="E24" s="216"/>
    </row>
    <row r="25" spans="1:7" x14ac:dyDescent="0.25">
      <c r="A25" s="216" t="s">
        <v>668</v>
      </c>
      <c r="B25" s="216"/>
      <c r="C25" s="216"/>
      <c r="D25" s="216"/>
      <c r="E25" s="216"/>
    </row>
  </sheetData>
  <mergeCells count="4">
    <mergeCell ref="A24:E24"/>
    <mergeCell ref="A25:E25"/>
    <mergeCell ref="A23:E23"/>
    <mergeCell ref="A22:E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2"/>
  <dimension ref="A1:FE64"/>
  <sheetViews>
    <sheetView tabSelected="1" zoomScaleNormal="100" workbookViewId="0">
      <pane xSplit="1" ySplit="1" topLeftCell="K2" activePane="bottomRight" state="frozen"/>
      <selection pane="topRight" activeCell="B1" sqref="B1"/>
      <selection pane="bottomLeft" activeCell="A2" sqref="A2"/>
      <selection pane="bottomRight" activeCell="Z2" sqref="Z2"/>
    </sheetView>
  </sheetViews>
  <sheetFormatPr baseColWidth="10" defaultRowHeight="12.75" x14ac:dyDescent="0.2"/>
  <cols>
    <col min="1" max="1" width="4.875" style="128" bestFit="1" customWidth="1"/>
    <col min="2" max="2" width="7.875" style="60" customWidth="1"/>
    <col min="3" max="3" width="11" style="60" customWidth="1"/>
    <col min="4" max="4" width="7.875" style="60" bestFit="1" customWidth="1"/>
    <col min="5" max="5" width="10.25" style="60" bestFit="1" customWidth="1"/>
    <col min="6" max="6" width="11.875" style="60" customWidth="1"/>
    <col min="7" max="7" width="8.375" style="60" bestFit="1" customWidth="1"/>
    <col min="8" max="8" width="5.875" style="60" bestFit="1" customWidth="1"/>
    <col min="9" max="9" width="11.5" style="60" customWidth="1"/>
    <col min="10" max="10" width="10.875" style="60" bestFit="1" customWidth="1"/>
    <col min="11" max="11" width="5.375" style="60" bestFit="1" customWidth="1"/>
    <col min="12" max="12" width="5.875" style="60" bestFit="1" customWidth="1"/>
    <col min="13" max="13" width="4.875" style="60" bestFit="1" customWidth="1"/>
    <col min="14" max="14" width="6.125" style="60" bestFit="1" customWidth="1"/>
    <col min="15" max="15" width="8" style="60" bestFit="1" customWidth="1"/>
    <col min="16" max="16" width="7.25" style="60" bestFit="1" customWidth="1"/>
    <col min="17" max="17" width="7.75" style="60" bestFit="1" customWidth="1"/>
    <col min="18" max="18" width="8.125" style="60" bestFit="1" customWidth="1"/>
    <col min="19" max="19" width="8.5" style="60" bestFit="1" customWidth="1"/>
    <col min="20" max="21" width="9.375" style="60" bestFit="1" customWidth="1"/>
    <col min="22" max="22" width="9.875" style="60" bestFit="1" customWidth="1"/>
    <col min="23" max="23" width="10.875" style="60" bestFit="1" customWidth="1"/>
    <col min="24" max="24" width="9.875" style="60" bestFit="1" customWidth="1"/>
    <col min="25" max="25" width="11.875" style="60" customWidth="1"/>
    <col min="26" max="26" width="8.875" style="60" bestFit="1" customWidth="1"/>
    <col min="27" max="27" width="10.875" style="60" bestFit="1" customWidth="1"/>
    <col min="28" max="28" width="9.875" style="60" bestFit="1" customWidth="1"/>
    <col min="29" max="29" width="11.875" style="60" bestFit="1" customWidth="1"/>
    <col min="30" max="30" width="9.875" style="60" bestFit="1" customWidth="1"/>
    <col min="31" max="31" width="12.875" style="60" bestFit="1" customWidth="1"/>
    <col min="32" max="33" width="7.875" style="60" bestFit="1" customWidth="1"/>
    <col min="34" max="34" width="5.875" style="60" bestFit="1" customWidth="1"/>
    <col min="35" max="35" width="13.25" style="60" bestFit="1" customWidth="1"/>
    <col min="36" max="36" width="13.5" style="60" bestFit="1" customWidth="1"/>
    <col min="37" max="37" width="9.75" style="60" bestFit="1" customWidth="1"/>
    <col min="38" max="38" width="12.5" style="60" bestFit="1" customWidth="1"/>
    <col min="39" max="39" width="12.75" style="60" bestFit="1" customWidth="1"/>
    <col min="40" max="40" width="9" style="60" bestFit="1" customWidth="1"/>
    <col min="41" max="41" width="10.5" style="60" bestFit="1" customWidth="1"/>
    <col min="42" max="43" width="6.875" style="60" bestFit="1" customWidth="1"/>
    <col min="44" max="45" width="7.875" style="60" bestFit="1" customWidth="1"/>
    <col min="46" max="46" width="7.25" style="60" bestFit="1" customWidth="1"/>
    <col min="47" max="47" width="7.875" style="60" bestFit="1" customWidth="1"/>
    <col min="48" max="48" width="9.5" style="60" bestFit="1" customWidth="1"/>
    <col min="49" max="49" width="7.75" style="60" bestFit="1" customWidth="1"/>
    <col min="50" max="50" width="10.125" style="60" bestFit="1" customWidth="1"/>
    <col min="51" max="51" width="8.375" style="60" bestFit="1" customWidth="1"/>
    <col min="52" max="52" width="12" style="60" bestFit="1" customWidth="1"/>
    <col min="53" max="53" width="8.625" style="60" customWidth="1"/>
    <col min="54" max="54" width="7.875" style="60" bestFit="1" customWidth="1"/>
    <col min="55" max="55" width="10.625" style="60" customWidth="1"/>
    <col min="56" max="56" width="8.875" style="60" customWidth="1"/>
    <col min="57" max="57" width="9.125" style="60" customWidth="1"/>
    <col min="58" max="58" width="10.5" style="60" customWidth="1"/>
    <col min="59" max="59" width="10.875" style="60" customWidth="1"/>
    <col min="60" max="60" width="10.625" style="60" customWidth="1"/>
    <col min="61" max="61" width="7.875" style="60" customWidth="1"/>
    <col min="62" max="64" width="9.75" style="60" customWidth="1"/>
    <col min="65" max="65" width="9.875" style="60" bestFit="1" customWidth="1"/>
    <col min="66" max="66" width="7.5" style="60" customWidth="1"/>
    <col min="67" max="67" width="11" style="60" bestFit="1" customWidth="1"/>
    <col min="68" max="68" width="10.375" style="60" bestFit="1" customWidth="1"/>
    <col min="69" max="69" width="8.25" style="60" bestFit="1" customWidth="1"/>
    <col min="70" max="70" width="10.75" style="60" bestFit="1" customWidth="1"/>
    <col min="71" max="71" width="10.125" style="60" bestFit="1" customWidth="1"/>
    <col min="72" max="72" width="11.625" style="60" customWidth="1"/>
    <col min="73" max="73" width="9.125" style="60" bestFit="1" customWidth="1"/>
    <col min="74" max="74" width="12.625" style="60" bestFit="1" customWidth="1"/>
    <col min="75" max="75" width="11.25" style="60" bestFit="1" customWidth="1"/>
    <col min="76" max="76" width="14.5" style="60" bestFit="1" customWidth="1"/>
    <col min="77" max="77" width="7.875" style="60" bestFit="1" customWidth="1"/>
    <col min="78" max="78" width="8.625" style="60" customWidth="1"/>
    <col min="79" max="81" width="7.875" style="60" customWidth="1"/>
    <col min="82" max="82" width="9.75" style="60" customWidth="1"/>
    <col min="83" max="83" width="7.25" style="60" customWidth="1"/>
    <col min="84" max="84" width="8" style="60" customWidth="1"/>
    <col min="85" max="85" width="7.75" style="60" customWidth="1"/>
    <col min="86" max="86" width="6.75" style="60" customWidth="1"/>
    <col min="87" max="87" width="8.5" style="60" customWidth="1"/>
    <col min="88" max="88" width="7.5" style="60" customWidth="1"/>
    <col min="89" max="89" width="9" style="60" customWidth="1"/>
    <col min="90" max="90" width="6.375" style="60" customWidth="1"/>
    <col min="91" max="91" width="8" style="60" bestFit="1" customWidth="1"/>
    <col min="92" max="92" width="11" style="60" customWidth="1"/>
    <col min="93" max="93" width="10.625" style="60" customWidth="1"/>
    <col min="94" max="94" width="12.375" style="60" bestFit="1" customWidth="1"/>
    <col min="95" max="95" width="14.75" style="60" bestFit="1" customWidth="1"/>
    <col min="96" max="96" width="14" style="128" customWidth="1"/>
    <col min="97" max="97" width="10.875" style="60" bestFit="1" customWidth="1"/>
    <col min="98" max="98" width="13" style="60" customWidth="1"/>
    <col min="99" max="99" width="11.5" style="60" customWidth="1"/>
    <col min="100" max="100" width="13.375" style="60" bestFit="1" customWidth="1"/>
    <col min="101" max="101" width="13.75" style="60" customWidth="1"/>
    <col min="102" max="102" width="13.375" style="60" customWidth="1"/>
    <col min="103" max="103" width="13.875" style="60" bestFit="1" customWidth="1"/>
    <col min="104" max="104" width="10.875" style="60" bestFit="1" customWidth="1"/>
    <col min="105" max="105" width="13.25" style="60" bestFit="1" customWidth="1"/>
    <col min="106" max="106" width="8.375" style="60" customWidth="1"/>
    <col min="107" max="107" width="10.75" style="60" customWidth="1"/>
    <col min="108" max="108" width="10.875" style="60" customWidth="1"/>
    <col min="109" max="109" width="10.625" style="60" customWidth="1"/>
    <col min="110" max="110" width="9.375" style="60" customWidth="1"/>
    <col min="111" max="111" width="8.125" style="60" customWidth="1"/>
    <col min="112" max="112" width="10.375" style="60" customWidth="1"/>
    <col min="113" max="113" width="11.875" style="60" customWidth="1"/>
    <col min="114" max="114" width="10.875" style="60" bestFit="1" customWidth="1"/>
    <col min="115" max="115" width="9.125" style="60" customWidth="1"/>
    <col min="116" max="116" width="11.5" style="60" customWidth="1"/>
    <col min="117" max="117" width="10.875" style="60" bestFit="1" customWidth="1"/>
    <col min="118" max="118" width="8.125" style="60" bestFit="1" customWidth="1"/>
    <col min="119" max="119" width="10.875" style="60" bestFit="1" customWidth="1"/>
    <col min="120" max="120" width="12.5" style="60" bestFit="1" customWidth="1"/>
    <col min="121" max="121" width="8.125" style="60" bestFit="1" customWidth="1"/>
    <col min="122" max="122" width="11.875" style="60" bestFit="1" customWidth="1"/>
    <col min="123" max="123" width="8.125" style="60" customWidth="1"/>
    <col min="124" max="124" width="6.375" style="60" customWidth="1"/>
    <col min="125" max="125" width="8.125" style="60" customWidth="1"/>
    <col min="126" max="126" width="9.875" style="60" bestFit="1" customWidth="1"/>
    <col min="127" max="127" width="11.75" style="60" customWidth="1"/>
    <col min="128" max="128" width="6.125" style="60" bestFit="1" customWidth="1"/>
    <col min="129" max="129" width="6.25" style="60" bestFit="1" customWidth="1"/>
    <col min="130" max="130" width="8" style="60" bestFit="1" customWidth="1"/>
    <col min="131" max="131" width="6.625" style="60" bestFit="1" customWidth="1"/>
    <col min="132" max="132" width="11.875" style="60" bestFit="1" customWidth="1"/>
    <col min="133" max="133" width="5.375" style="60" customWidth="1"/>
    <col min="134" max="134" width="9.25" style="60" bestFit="1" customWidth="1"/>
    <col min="135" max="135" width="11.125" style="60" bestFit="1" customWidth="1"/>
    <col min="136" max="136" width="12.875" style="60" bestFit="1" customWidth="1"/>
    <col min="137" max="137" width="11.125" style="60" customWidth="1"/>
    <col min="138" max="138" width="12.875" style="60" customWidth="1"/>
    <col min="139" max="139" width="9.375" style="60" customWidth="1"/>
    <col min="140" max="140" width="7.75" style="60" bestFit="1" customWidth="1"/>
    <col min="141" max="141" width="9.75" style="60" bestFit="1" customWidth="1"/>
    <col min="142" max="142" width="6.625" style="60" bestFit="1" customWidth="1"/>
    <col min="143" max="143" width="7.25" style="60" bestFit="1" customWidth="1"/>
    <col min="144" max="144" width="8.375" style="60" bestFit="1" customWidth="1"/>
    <col min="145" max="145" width="10" style="60" bestFit="1" customWidth="1"/>
    <col min="146" max="146" width="8.75" style="60" bestFit="1" customWidth="1"/>
    <col min="147" max="147" width="5.625" style="60" bestFit="1" customWidth="1"/>
    <col min="148" max="148" width="6.875" style="60" bestFit="1" customWidth="1"/>
    <col min="149" max="149" width="10.125" style="60" bestFit="1" customWidth="1"/>
    <col min="150" max="150" width="8.125" style="60" bestFit="1" customWidth="1"/>
    <col min="151" max="151" width="12.125" style="60" bestFit="1" customWidth="1"/>
    <col min="152" max="152" width="13.125" style="60" customWidth="1"/>
    <col min="153" max="153" width="16.375" style="60" customWidth="1"/>
    <col min="154" max="154" width="17" style="60" customWidth="1"/>
    <col min="155" max="155" width="16.875" style="60" customWidth="1"/>
    <col min="156" max="156" width="14.25" style="60" customWidth="1"/>
    <col min="157" max="157" width="16.625" style="60" customWidth="1"/>
    <col min="158" max="158" width="15.75" style="60" customWidth="1"/>
    <col min="159" max="159" width="11" style="60" customWidth="1"/>
    <col min="160" max="160" width="10.375" style="60" customWidth="1"/>
    <col min="161" max="16384" width="11" style="60"/>
  </cols>
  <sheetData>
    <row r="1" spans="1:161" s="70" customFormat="1" ht="36.75" customHeight="1" x14ac:dyDescent="0.25">
      <c r="A1" s="71"/>
      <c r="B1" s="70" t="s">
        <v>0</v>
      </c>
      <c r="C1" s="70" t="s">
        <v>1</v>
      </c>
      <c r="D1" s="70" t="s">
        <v>2</v>
      </c>
      <c r="E1" s="70" t="s">
        <v>132</v>
      </c>
      <c r="F1" s="70" t="s">
        <v>538</v>
      </c>
      <c r="G1" s="70" t="s">
        <v>61</v>
      </c>
      <c r="H1" s="70" t="s">
        <v>3</v>
      </c>
      <c r="I1" s="71" t="s">
        <v>286</v>
      </c>
      <c r="J1" s="71" t="s">
        <v>287</v>
      </c>
      <c r="K1" s="70" t="s">
        <v>4</v>
      </c>
      <c r="L1" s="70" t="s">
        <v>5</v>
      </c>
      <c r="M1" s="70" t="s">
        <v>6</v>
      </c>
      <c r="N1" s="70" t="s">
        <v>7</v>
      </c>
      <c r="O1" s="70" t="s">
        <v>8</v>
      </c>
      <c r="P1" s="71" t="s">
        <v>271</v>
      </c>
      <c r="Q1" s="71" t="s">
        <v>272</v>
      </c>
      <c r="R1" s="71" t="s">
        <v>273</v>
      </c>
      <c r="S1" s="71" t="s">
        <v>274</v>
      </c>
      <c r="T1" s="70" t="s">
        <v>111</v>
      </c>
      <c r="U1" s="70" t="s">
        <v>9</v>
      </c>
      <c r="V1" s="70" t="s">
        <v>10</v>
      </c>
      <c r="W1" s="70" t="s">
        <v>12</v>
      </c>
      <c r="X1" s="70" t="s">
        <v>11</v>
      </c>
      <c r="Y1" s="70" t="s">
        <v>59</v>
      </c>
      <c r="Z1" s="70" t="s">
        <v>13</v>
      </c>
      <c r="AA1" s="71" t="s">
        <v>461</v>
      </c>
      <c r="AB1" s="70" t="s">
        <v>14</v>
      </c>
      <c r="AC1" s="70" t="s">
        <v>462</v>
      </c>
      <c r="AD1" s="70" t="s">
        <v>15</v>
      </c>
      <c r="AE1" s="71" t="s">
        <v>463</v>
      </c>
      <c r="AF1" s="70" t="s">
        <v>16</v>
      </c>
      <c r="AG1" s="70" t="s">
        <v>17</v>
      </c>
      <c r="AH1" s="70" t="s">
        <v>18</v>
      </c>
      <c r="AI1" s="70" t="s">
        <v>471</v>
      </c>
      <c r="AJ1" s="70" t="s">
        <v>472</v>
      </c>
      <c r="AK1" s="70" t="s">
        <v>474</v>
      </c>
      <c r="AL1" s="70" t="str">
        <f>CONCATENATE(AF1,"MMA")</f>
        <v>ParcESSMMA</v>
      </c>
      <c r="AM1" s="70" t="str">
        <f>CONCATENATE(AG1,"MMA")</f>
        <v>ParcGAZMMA</v>
      </c>
      <c r="AN1" s="70" t="str">
        <f>CONCATENATE(AH1,"MMA")</f>
        <v>ParcMMA</v>
      </c>
      <c r="AO1" s="70" t="s">
        <v>482</v>
      </c>
      <c r="AP1" s="70" t="s">
        <v>469</v>
      </c>
      <c r="AQ1" s="70" t="s">
        <v>20</v>
      </c>
      <c r="AR1" s="70" t="s">
        <v>21</v>
      </c>
      <c r="AS1" s="70" t="s">
        <v>22</v>
      </c>
      <c r="AT1" s="70" t="s">
        <v>23</v>
      </c>
      <c r="AU1" s="70" t="s">
        <v>539</v>
      </c>
      <c r="AV1" s="70" t="s">
        <v>492</v>
      </c>
      <c r="AW1" s="70" t="s">
        <v>543</v>
      </c>
      <c r="AX1" s="70" t="s">
        <v>544</v>
      </c>
      <c r="AY1" s="70" t="s">
        <v>545</v>
      </c>
      <c r="AZ1" s="70" t="s">
        <v>493</v>
      </c>
      <c r="BA1" s="70" t="s">
        <v>24</v>
      </c>
      <c r="BB1" s="70" t="s">
        <v>496</v>
      </c>
      <c r="BC1" s="70" t="s">
        <v>541</v>
      </c>
      <c r="BD1" s="70" t="s">
        <v>542</v>
      </c>
      <c r="BE1" s="70" t="s">
        <v>546</v>
      </c>
      <c r="BF1" s="70" t="s">
        <v>547</v>
      </c>
      <c r="BG1" s="70" t="s">
        <v>338</v>
      </c>
      <c r="BH1" s="70" t="s">
        <v>499</v>
      </c>
      <c r="BI1" s="70" t="s">
        <v>548</v>
      </c>
      <c r="BJ1" s="71" t="s">
        <v>549</v>
      </c>
      <c r="BK1" s="71" t="s">
        <v>550</v>
      </c>
      <c r="BL1" s="71" t="s">
        <v>551</v>
      </c>
      <c r="BM1" s="70" t="s">
        <v>704</v>
      </c>
      <c r="BN1" s="70" t="s">
        <v>26</v>
      </c>
      <c r="BO1" s="70" t="s">
        <v>552</v>
      </c>
      <c r="BP1" s="70" t="s">
        <v>553</v>
      </c>
      <c r="BQ1" s="70" t="s">
        <v>558</v>
      </c>
      <c r="BR1" s="70" t="s">
        <v>554</v>
      </c>
      <c r="BS1" s="70" t="s">
        <v>555</v>
      </c>
      <c r="BT1" s="70" t="s">
        <v>705</v>
      </c>
      <c r="BU1" s="70" t="s">
        <v>706</v>
      </c>
      <c r="BV1" s="70" t="s">
        <v>559</v>
      </c>
      <c r="BW1" s="70" t="s">
        <v>560</v>
      </c>
      <c r="BX1" s="71" t="s">
        <v>707</v>
      </c>
      <c r="BY1" s="195" t="s">
        <v>540</v>
      </c>
      <c r="BZ1" s="70" t="s">
        <v>596</v>
      </c>
      <c r="CA1" s="70" t="s">
        <v>27</v>
      </c>
      <c r="CB1" s="70" t="s">
        <v>28</v>
      </c>
      <c r="CC1" s="70" t="s">
        <v>29</v>
      </c>
      <c r="CD1" s="70" t="s">
        <v>525</v>
      </c>
      <c r="CE1" s="70" t="s">
        <v>561</v>
      </c>
      <c r="CF1" s="70" t="s">
        <v>562</v>
      </c>
      <c r="CG1" s="70" t="s">
        <v>563</v>
      </c>
      <c r="CH1" s="70" t="s">
        <v>564</v>
      </c>
      <c r="CI1" s="70" t="s">
        <v>565</v>
      </c>
      <c r="CJ1" s="70" t="s">
        <v>566</v>
      </c>
      <c r="CK1" s="70" t="s">
        <v>567</v>
      </c>
      <c r="CL1" s="70" t="s">
        <v>30</v>
      </c>
      <c r="CM1" s="70" t="s">
        <v>568</v>
      </c>
      <c r="CN1" s="70" t="s">
        <v>569</v>
      </c>
      <c r="CO1" s="70" t="s">
        <v>31</v>
      </c>
      <c r="CP1" s="70" t="s">
        <v>570</v>
      </c>
      <c r="CQ1" s="70" t="s">
        <v>571</v>
      </c>
      <c r="CR1" s="71" t="s">
        <v>580</v>
      </c>
      <c r="CS1" s="70" t="s">
        <v>573</v>
      </c>
      <c r="CT1" s="70" t="s">
        <v>580</v>
      </c>
      <c r="CU1" s="70" t="s">
        <v>574</v>
      </c>
      <c r="CV1" s="70" t="s">
        <v>575</v>
      </c>
      <c r="CW1" s="70" t="s">
        <v>32</v>
      </c>
      <c r="CX1" s="70" t="s">
        <v>576</v>
      </c>
      <c r="CY1" s="70" t="s">
        <v>577</v>
      </c>
      <c r="CZ1" s="70" t="s">
        <v>578</v>
      </c>
      <c r="DA1" s="70" t="s">
        <v>579</v>
      </c>
      <c r="DB1" s="70" t="s">
        <v>582</v>
      </c>
      <c r="DC1" s="70" t="s">
        <v>583</v>
      </c>
      <c r="DD1" s="70" t="s">
        <v>584</v>
      </c>
      <c r="DE1" s="70" t="s">
        <v>585</v>
      </c>
      <c r="DF1" s="70" t="s">
        <v>586</v>
      </c>
      <c r="DG1" s="70" t="s">
        <v>587</v>
      </c>
      <c r="DH1" s="70" t="s">
        <v>588</v>
      </c>
      <c r="DI1" s="70" t="s">
        <v>589</v>
      </c>
      <c r="DJ1" s="70" t="s">
        <v>590</v>
      </c>
      <c r="DK1" s="70" t="s">
        <v>591</v>
      </c>
      <c r="DL1" s="71" t="s">
        <v>592</v>
      </c>
      <c r="DM1" s="70" t="s">
        <v>35</v>
      </c>
      <c r="DN1" s="70" t="s">
        <v>36</v>
      </c>
      <c r="DO1" s="70" t="s">
        <v>37</v>
      </c>
      <c r="DP1" s="70" t="s">
        <v>38</v>
      </c>
      <c r="DQ1" s="70" t="s">
        <v>39</v>
      </c>
      <c r="DR1" s="70" t="s">
        <v>40</v>
      </c>
      <c r="DS1" s="70" t="s">
        <v>41</v>
      </c>
      <c r="DT1" s="70" t="s">
        <v>42</v>
      </c>
      <c r="DU1" s="70" t="s">
        <v>43</v>
      </c>
      <c r="DV1" s="70" t="s">
        <v>44</v>
      </c>
      <c r="DW1" s="71" t="s">
        <v>309</v>
      </c>
      <c r="DX1" s="70" t="s">
        <v>45</v>
      </c>
      <c r="DY1" s="70" t="s">
        <v>46</v>
      </c>
      <c r="DZ1" s="70" t="s">
        <v>47</v>
      </c>
      <c r="EA1" s="70" t="s">
        <v>48</v>
      </c>
      <c r="EB1" s="70" t="s">
        <v>60</v>
      </c>
      <c r="EC1" s="70" t="s">
        <v>49</v>
      </c>
      <c r="ED1" s="70" t="s">
        <v>50</v>
      </c>
      <c r="EE1" s="70" t="s">
        <v>51</v>
      </c>
      <c r="EF1" s="70" t="s">
        <v>52</v>
      </c>
      <c r="EG1" s="196" t="s">
        <v>738</v>
      </c>
      <c r="EH1" s="196" t="s">
        <v>739</v>
      </c>
      <c r="EI1" s="70" t="s">
        <v>586</v>
      </c>
      <c r="EJ1" s="71" t="s">
        <v>528</v>
      </c>
      <c r="EK1" s="70" t="s">
        <v>601</v>
      </c>
      <c r="EL1" s="70" t="s">
        <v>53</v>
      </c>
      <c r="EM1" s="70" t="s">
        <v>54</v>
      </c>
      <c r="EN1" s="70" t="s">
        <v>55</v>
      </c>
      <c r="EO1" s="70" t="s">
        <v>56</v>
      </c>
      <c r="EP1" s="70" t="s">
        <v>513</v>
      </c>
      <c r="EQ1" s="71" t="s">
        <v>520</v>
      </c>
      <c r="ER1" s="69" t="s">
        <v>523</v>
      </c>
      <c r="ES1" s="69" t="s">
        <v>524</v>
      </c>
      <c r="ET1" s="69" t="s">
        <v>661</v>
      </c>
      <c r="EU1" s="70" t="s">
        <v>662</v>
      </c>
      <c r="EV1" s="201" t="s">
        <v>526</v>
      </c>
      <c r="EW1" s="71" t="s">
        <v>527</v>
      </c>
      <c r="EX1" s="201" t="s">
        <v>762</v>
      </c>
      <c r="EY1" s="201" t="s">
        <v>760</v>
      </c>
      <c r="EZ1" s="201" t="s">
        <v>760</v>
      </c>
      <c r="FA1" s="201" t="s">
        <v>740</v>
      </c>
      <c r="FB1" s="201" t="s">
        <v>763</v>
      </c>
      <c r="FC1" s="206" t="s">
        <v>742</v>
      </c>
      <c r="FD1" s="206" t="s">
        <v>770</v>
      </c>
      <c r="FE1" s="206" t="s">
        <v>771</v>
      </c>
    </row>
    <row r="2" spans="1:161" s="67" customFormat="1" x14ac:dyDescent="0.2">
      <c r="A2" s="68">
        <v>1960</v>
      </c>
      <c r="B2" s="72">
        <v>45464.796999999999</v>
      </c>
      <c r="C2" s="72">
        <v>45903.656000000003</v>
      </c>
      <c r="D2" s="72">
        <v>45684.226999999999</v>
      </c>
      <c r="E2" s="72">
        <v>45684.226499999997</v>
      </c>
      <c r="F2" s="117">
        <v>61.88</v>
      </c>
      <c r="G2" s="72">
        <f>E2*F2/100</f>
        <v>28269.399358199997</v>
      </c>
      <c r="H2" s="72">
        <v>14243.733661227725</v>
      </c>
      <c r="I2" s="73">
        <v>30.2</v>
      </c>
      <c r="J2" s="73"/>
      <c r="L2" s="67">
        <v>4265</v>
      </c>
      <c r="N2" s="67">
        <v>20</v>
      </c>
      <c r="O2" s="67">
        <f t="shared" ref="O2:O56" si="0">N2+L2</f>
        <v>4285</v>
      </c>
      <c r="P2" s="74">
        <f>L2/O2</f>
        <v>0.99533255542590426</v>
      </c>
      <c r="Q2" s="74">
        <f>N2/O2</f>
        <v>4.6674445740956822E-3</v>
      </c>
      <c r="R2" s="74"/>
      <c r="S2" s="74"/>
      <c r="V2" s="75">
        <f t="shared" ref="V2:V49" si="1">O2/C2</f>
        <v>9.3347684550441901E-2</v>
      </c>
      <c r="W2" s="74"/>
      <c r="X2" s="74">
        <f>O2/H2</f>
        <v>0.30083404407258896</v>
      </c>
      <c r="Y2" s="74"/>
      <c r="Z2" s="72">
        <f t="shared" ref="Z2:Z53" si="2">0.845*N2+L2*0.755*1.048</f>
        <v>3391.5385999999999</v>
      </c>
      <c r="AA2" s="72"/>
      <c r="AB2" s="74">
        <f t="shared" ref="AB2:AB51" si="3">Z2/C2</f>
        <v>7.3883844894620146E-2</v>
      </c>
      <c r="AC2" s="74"/>
      <c r="AD2" s="74">
        <f>Z2/H2</f>
        <v>0.23810741485794318</v>
      </c>
      <c r="AE2" s="74"/>
      <c r="AF2" s="72">
        <v>4949</v>
      </c>
      <c r="AG2" s="72">
        <v>1</v>
      </c>
      <c r="AH2" s="72">
        <f t="shared" ref="AH2:AH45" si="4">AG2+AF2</f>
        <v>4950</v>
      </c>
      <c r="AI2" s="72">
        <v>5423.5</v>
      </c>
      <c r="AJ2" s="72">
        <v>6.5</v>
      </c>
      <c r="AK2" s="72">
        <v>5430</v>
      </c>
      <c r="AL2" s="72">
        <f t="shared" ref="AL2:AL47" si="5">0.5*(AF2+AI2)</f>
        <v>5186.25</v>
      </c>
      <c r="AM2" s="72">
        <f t="shared" ref="AM2:AM47" si="6">0.5*(AG2+AJ2)</f>
        <v>3.75</v>
      </c>
      <c r="AN2" s="72">
        <f t="shared" ref="AN2:AN47" si="7">0.5*(AH2+AK2)</f>
        <v>5190</v>
      </c>
      <c r="AO2" s="74">
        <f t="shared" ref="AO2:AO49" si="8">AK2/C2</f>
        <v>0.11829123153066499</v>
      </c>
      <c r="AP2" s="74">
        <f t="shared" ref="AP2:AP49" si="9">AN2/D2</f>
        <v>0.11360594981720934</v>
      </c>
      <c r="AQ2" s="74">
        <f>AN2/H2</f>
        <v>0.36437075583121042</v>
      </c>
      <c r="AR2" s="76">
        <v>639000</v>
      </c>
      <c r="AS2" s="72">
        <v>26160.784</v>
      </c>
      <c r="AT2" s="77">
        <v>8.4</v>
      </c>
      <c r="AU2" s="72">
        <v>240096.946</v>
      </c>
      <c r="AV2" s="72">
        <f t="shared" ref="AV2:AV53" si="10">AU2/1000</f>
        <v>240.096946</v>
      </c>
      <c r="AW2" s="78">
        <f t="shared" ref="AW2:AW49" si="11">AU2/C2</f>
        <v>5.2304536701826096</v>
      </c>
      <c r="AX2" s="78"/>
      <c r="AY2" s="78">
        <f>AU2/H2</f>
        <v>16.856320941577131</v>
      </c>
      <c r="AZ2" s="78"/>
      <c r="BA2" s="79">
        <f>1-AS2/BB2</f>
        <v>0.18021340135436226</v>
      </c>
      <c r="BB2" s="80">
        <v>31911.7</v>
      </c>
      <c r="BC2" s="81">
        <f t="shared" ref="BC2:BC33" si="12">100*BB2/BY2</f>
        <v>292875.36710719526</v>
      </c>
      <c r="BD2" s="82">
        <v>7.8</v>
      </c>
      <c r="BE2" s="81">
        <f t="shared" ref="BE2:BE33" si="13">1000*BC2/C2</f>
        <v>6380.2187587671715</v>
      </c>
      <c r="BF2" s="81">
        <f t="shared" ref="BF2:BF33" si="14">1000*BC2/H2</f>
        <v>20561.699205624653</v>
      </c>
      <c r="BG2" s="80">
        <v>46.95108900000001</v>
      </c>
      <c r="BH2" s="83">
        <v>9.5920000000000005</v>
      </c>
      <c r="BI2" s="130">
        <f t="shared" ref="BI2:BI33" si="15">100*BG2/BZ2</f>
        <v>451.92416091652535</v>
      </c>
      <c r="BJ2" s="83">
        <v>2.6</v>
      </c>
      <c r="BK2" s="83">
        <f t="shared" ref="BK2:BK33" si="16">BI2*1000/C2</f>
        <v>9.8450581129425796</v>
      </c>
      <c r="BL2" s="83">
        <f t="shared" ref="BL2:BL33" si="17">BI2*1000/H2</f>
        <v>31.727928341337169</v>
      </c>
      <c r="BM2" s="81">
        <v>546.22</v>
      </c>
      <c r="BN2" s="81">
        <f t="shared" ref="BN2:BN33" si="18">BM2*1000000/AR2</f>
        <v>854.80438184663535</v>
      </c>
      <c r="BO2" s="82">
        <v>17.218</v>
      </c>
      <c r="BP2" s="82">
        <f t="shared" ref="BP2:BP33" si="19">100*BO2/BY2</f>
        <v>158.02129221732744</v>
      </c>
      <c r="BQ2" s="81">
        <f t="shared" ref="BQ2:BQ33" si="20">((BM2*1000000)/(BO2/100))/AR2</f>
        <v>4964.5974087968134</v>
      </c>
      <c r="BR2" s="82">
        <v>9.9369999999999994</v>
      </c>
      <c r="BS2" s="82">
        <f t="shared" ref="BS2:BS33" si="21">100*BR2/BY2</f>
        <v>91.198604992657849</v>
      </c>
      <c r="BT2" s="82">
        <v>6.968</v>
      </c>
      <c r="BU2" s="82">
        <f t="shared" ref="BU2:BU33" si="22">100*BT2/BY2</f>
        <v>63.95007342143905</v>
      </c>
      <c r="BV2" s="82">
        <v>5.37</v>
      </c>
      <c r="BW2" s="82">
        <f t="shared" ref="BW2:BW33" si="23">100*BV2/BY2</f>
        <v>49.284140969162991</v>
      </c>
      <c r="BX2" s="82">
        <f t="shared" ref="BX2:BX33" si="24">100*BV2/CZ2</f>
        <v>55.914202415660149</v>
      </c>
      <c r="BY2" s="84">
        <v>10.896000000000001</v>
      </c>
      <c r="BZ2" s="83">
        <v>10.389152220757747</v>
      </c>
      <c r="CA2" s="78">
        <v>0.15305915374871712</v>
      </c>
      <c r="CB2" s="78">
        <v>0.10210272929475563</v>
      </c>
      <c r="CC2" s="86">
        <f t="shared" ref="CC2:CC33" si="25">(CA2*L2+N2*CB2)/(L2+N2)</f>
        <v>0.15282131746188418</v>
      </c>
      <c r="CD2" s="86">
        <v>0</v>
      </c>
      <c r="CE2" s="86"/>
      <c r="CF2" s="86">
        <f t="shared" ref="CF2:CF49" si="26">CA2/($BY2/100)</f>
        <v>1.4047279161960089</v>
      </c>
      <c r="CG2" s="86"/>
      <c r="CH2" s="86">
        <f t="shared" ref="CH2:CH47" si="27">CB2/($BY2/100)</f>
        <v>0.93706616459944592</v>
      </c>
      <c r="CI2" s="86"/>
      <c r="CJ2" s="86">
        <f t="shared" ref="CJ2:CJ33" si="28">(CF2*L2+N2*CH2)/(L2+N2)</f>
        <v>1.4025451308910075</v>
      </c>
      <c r="CK2" s="86">
        <v>0</v>
      </c>
      <c r="CL2" s="87">
        <v>142.25</v>
      </c>
      <c r="CM2" s="77">
        <f>100*(CL2/CL$52)</f>
        <v>9.3585526315789487</v>
      </c>
      <c r="CN2" s="77">
        <f t="shared" ref="CN2:CN33" si="29">100*CM2/BY2</f>
        <v>85.889800216400047</v>
      </c>
      <c r="CO2" s="77">
        <f>100*CM2/CZ2</f>
        <v>97.44432144501198</v>
      </c>
      <c r="CP2" s="74">
        <v>3.500278267961638E-2</v>
      </c>
      <c r="CQ2" s="77"/>
      <c r="CR2" s="139">
        <f t="shared" ref="CR2:CR36" si="30">CR3*(1-CS2)</f>
        <v>1.0782015797416307E-2</v>
      </c>
      <c r="CS2" s="77"/>
      <c r="CT2" s="77">
        <f>100*CR2</f>
        <v>1.0782015797416307</v>
      </c>
      <c r="CU2" s="77">
        <f t="shared" ref="CU2:CU33" si="31">100*CR2/(BY2/100)</f>
        <v>9.895388947702191</v>
      </c>
      <c r="CV2" s="78">
        <f t="shared" ref="CV2:CV33" si="32">100*CZ2/(100*CR2)</f>
        <v>890.74252722773826</v>
      </c>
      <c r="CW2" s="88"/>
      <c r="CX2" s="88">
        <f>100*(100*CR2)/CZ2</f>
        <v>11.226588710346009</v>
      </c>
      <c r="CY2" s="77">
        <f t="shared" ref="CY2:CY33" si="33">100*CZ2/BY2</f>
        <v>88.142437591776783</v>
      </c>
      <c r="CZ2" s="89">
        <v>9.6039999999999992</v>
      </c>
      <c r="DA2" s="77"/>
      <c r="DB2" s="125">
        <v>8.3369999999999997</v>
      </c>
      <c r="DC2" s="125">
        <v>9.6489999999999991</v>
      </c>
      <c r="DD2" s="74">
        <f>(($CA2/(BZ2/100))*$L2+($CB2/(BZ2/100))*$N2)/($L2+$N2)</f>
        <v>1.4709700485141024</v>
      </c>
      <c r="DE2" s="74">
        <f>(($CA2/(BZ2/100))*$L2*0.755*1.048+($CB2/(BZ2/100))*$N2*0.845)/(($L2*0.755*1.048)+($N2*0.845))</f>
        <v>1.470815281095962</v>
      </c>
      <c r="DF2" s="75">
        <f t="shared" ref="DF2:DF33" si="34">(($CA2/($BY2/100))*$L2+($CB2/($BY2/100))*$N2)/($L2+$N2)</f>
        <v>1.4025451308910075</v>
      </c>
      <c r="DG2" s="75">
        <f t="shared" ref="DG2:DG33" si="35">(($CA2/($BY2/100))*$L2*0.755*1.048+($CB2/($BY2/100))*$N2*0.845)/(($L2*0.755*1.048)+($N2*0.845))</f>
        <v>1.4023975627682221</v>
      </c>
      <c r="DH2" s="75"/>
      <c r="DI2" s="75"/>
      <c r="DJ2" s="75"/>
      <c r="DK2" s="75">
        <f t="shared" ref="DK2:DK33" si="36">(($CA2/($BY2/100))*$L2*0.755*1.048+($CB2/($BY2/100))*$N2*0.845)/(($L2*0.755*1.048)+($N2*0.845))</f>
        <v>1.4023975627682221</v>
      </c>
      <c r="DL2" s="75"/>
      <c r="DM2" s="72">
        <v>13448.813814721389</v>
      </c>
      <c r="DN2" s="72">
        <v>19265.89354753802</v>
      </c>
      <c r="DO2" s="72"/>
      <c r="DP2" s="72"/>
      <c r="DQ2" s="72"/>
      <c r="DR2" s="72">
        <v>13448.813814721389</v>
      </c>
      <c r="DS2" s="72">
        <v>19265.89354753802</v>
      </c>
      <c r="DT2" s="72"/>
      <c r="DU2" s="72"/>
      <c r="DV2" s="72"/>
      <c r="DW2" s="72"/>
      <c r="EB2" s="72">
        <v>8652</v>
      </c>
      <c r="EC2" s="78">
        <v>10.005276995568257</v>
      </c>
      <c r="ED2" s="72">
        <f t="shared" ref="ED2:ED31" si="37">AK2</f>
        <v>5430</v>
      </c>
      <c r="EE2" s="72">
        <f t="shared" ref="EE2:EE46" si="38">ED2*EC2*EB2/100000</f>
        <v>4700.515151515151</v>
      </c>
      <c r="EF2" s="72">
        <f t="shared" ref="EF2:EF59" si="39">1000*ED2*EB2</f>
        <v>46980360000</v>
      </c>
      <c r="EG2" s="74">
        <f>CC2</f>
        <v>0.15282131746188418</v>
      </c>
      <c r="EH2" s="74">
        <f t="shared" ref="EH2:EH22" si="40">EG2*EC2</f>
        <v>1.5290196120338235</v>
      </c>
      <c r="EI2" s="75">
        <f t="shared" ref="EI2:EI33" si="41">DF2</f>
        <v>1.4025451308910075</v>
      </c>
      <c r="EJ2" s="75">
        <f t="shared" ref="EJ2:EJ33" si="42">EI2*BY2*EC2/100</f>
        <v>1.5290196120338235</v>
      </c>
      <c r="EK2" s="78">
        <f t="shared" ref="EK2:EK33" si="43">EI2*EC2</f>
        <v>14.032852533350068</v>
      </c>
      <c r="EL2" s="72">
        <f t="shared" ref="EL2:EL33" si="44">$EF2/(C2*1000)</f>
        <v>1023.4557352033137</v>
      </c>
      <c r="EM2" s="72">
        <f t="shared" ref="EM2:EM33" si="45">$EF2/(H2*1000)</f>
        <v>3298.3177808135574</v>
      </c>
      <c r="EN2" s="72">
        <f t="shared" ref="EN2:EN33" si="46">100*$C2/DR2</f>
        <v>341.32122455106622</v>
      </c>
      <c r="EO2" s="72">
        <f t="shared" ref="EO2:EO33" si="47">100*$C2/DS2</f>
        <v>238.26383077812662</v>
      </c>
      <c r="EP2" s="75">
        <f t="shared" ref="EP2:EP33" si="48">O2*1000000/EF2</f>
        <v>9.1208326202694062E-2</v>
      </c>
      <c r="EQ2" s="77">
        <f>1/EP2</f>
        <v>10.963911318553093</v>
      </c>
      <c r="ER2" s="60"/>
      <c r="ES2" s="60"/>
      <c r="ET2" s="60"/>
      <c r="EX2" s="78"/>
      <c r="EY2" s="132">
        <f t="shared" ref="EY2:EY20" si="49">EY3*EZ2/EZ3</f>
        <v>0.35743735934382731</v>
      </c>
      <c r="EZ2" s="78">
        <v>0.24555725451515878</v>
      </c>
      <c r="FA2" s="72">
        <f>60*CC2/$EY2</f>
        <v>25.65282785365731</v>
      </c>
      <c r="FB2" s="78">
        <f>EH2/$EY2</f>
        <v>4.2777274732578361</v>
      </c>
      <c r="FC2" s="78">
        <f>EH2/EY2</f>
        <v>4.2777274732578361</v>
      </c>
      <c r="FD2" s="78">
        <f>EY2/(EH2/100)</f>
        <v>23.376898277215847</v>
      </c>
      <c r="FE2" s="72">
        <f>EB2*(EC2/100)*EG2/EZ2</f>
        <v>538.7369927000052</v>
      </c>
    </row>
    <row r="3" spans="1:161" s="67" customFormat="1" x14ac:dyDescent="0.2">
      <c r="A3" s="68">
        <v>1961</v>
      </c>
      <c r="B3" s="72">
        <v>45903.656000000003</v>
      </c>
      <c r="C3" s="72">
        <v>46422</v>
      </c>
      <c r="D3" s="72">
        <v>46162.828000000001</v>
      </c>
      <c r="E3" s="72">
        <v>46162.828000000001</v>
      </c>
      <c r="F3" s="117">
        <v>62.606999999999999</v>
      </c>
      <c r="G3" s="72">
        <f t="shared" ref="G3:G58" si="50">E3*F3/100</f>
        <v>28901.161725960003</v>
      </c>
      <c r="H3" s="72">
        <v>14401.521736801151</v>
      </c>
      <c r="I3" s="90">
        <f>(I2+I4)/2</f>
        <v>32.799999999999997</v>
      </c>
      <c r="J3" s="90"/>
      <c r="K3" s="67">
        <f t="shared" ref="K3:K59" si="51">L3-L2</f>
        <v>635</v>
      </c>
      <c r="L3" s="67">
        <v>4900</v>
      </c>
      <c r="M3" s="67">
        <f t="shared" ref="M3:M59" si="52">N3-N2</f>
        <v>30</v>
      </c>
      <c r="N3" s="67">
        <v>50</v>
      </c>
      <c r="O3" s="67">
        <f t="shared" si="0"/>
        <v>4950</v>
      </c>
      <c r="P3" s="74">
        <f t="shared" ref="P3:P53" si="53">L3/O3</f>
        <v>0.98989898989898994</v>
      </c>
      <c r="Q3" s="74">
        <f t="shared" ref="Q3:Q53" si="54">N3/O3</f>
        <v>1.0101010101010102E-2</v>
      </c>
      <c r="R3" s="77">
        <f t="shared" ref="R3:R48" si="55">100*(L3/L2-1)</f>
        <v>14.888628370457212</v>
      </c>
      <c r="S3" s="77">
        <f t="shared" ref="S3:S48" si="56">100*(N3/N2-1)</f>
        <v>150</v>
      </c>
      <c r="T3" s="77">
        <f t="shared" ref="T3:T46" si="57">100*(LN(O3)-LN(O2))</f>
        <v>14.426702453085483</v>
      </c>
      <c r="U3" s="67">
        <f t="shared" ref="U3:U50" si="58">O3-O2</f>
        <v>665</v>
      </c>
      <c r="V3" s="75">
        <f t="shared" si="1"/>
        <v>0.10663047692904226</v>
      </c>
      <c r="W3" s="77">
        <f>100*(LN(V3)-LN(V2))</f>
        <v>13.303830504609904</v>
      </c>
      <c r="X3" s="74">
        <f t="shared" ref="X3:X53" si="59">O3/H3</f>
        <v>0.34371367765608696</v>
      </c>
      <c r="Y3" s="77">
        <f>100*(LN(X3)-LN(X2))</f>
        <v>13.325021429306915</v>
      </c>
      <c r="Z3" s="72">
        <f t="shared" si="2"/>
        <v>3919.326</v>
      </c>
      <c r="AA3" s="77">
        <f>100*(Z3/Z2-1)</f>
        <v>15.561886867511987</v>
      </c>
      <c r="AB3" s="74">
        <f t="shared" si="3"/>
        <v>8.4428202145534439E-2</v>
      </c>
      <c r="AC3" s="77">
        <f>100*(AB3/AB2-1)</f>
        <v>14.271532925707398</v>
      </c>
      <c r="AD3" s="74">
        <f t="shared" ref="AD3:AD50" si="60">Z3/H3</f>
        <v>0.27214665725113546</v>
      </c>
      <c r="AE3" s="77">
        <f t="shared" ref="AE3:AE34" si="61">100*(AD3/AD2-1)</f>
        <v>14.295750686092813</v>
      </c>
      <c r="AF3" s="72">
        <v>5423.5</v>
      </c>
      <c r="AG3" s="72">
        <v>6.5</v>
      </c>
      <c r="AH3" s="72">
        <f t="shared" si="4"/>
        <v>5430</v>
      </c>
      <c r="AI3" s="72">
        <v>5955.4</v>
      </c>
      <c r="AJ3" s="72">
        <v>14.6</v>
      </c>
      <c r="AK3" s="72">
        <v>5970</v>
      </c>
      <c r="AL3" s="72">
        <f t="shared" si="5"/>
        <v>5689.45</v>
      </c>
      <c r="AM3" s="72">
        <f t="shared" si="6"/>
        <v>10.55</v>
      </c>
      <c r="AN3" s="72">
        <f t="shared" si="7"/>
        <v>5700</v>
      </c>
      <c r="AO3" s="74">
        <f t="shared" si="8"/>
        <v>0.12860281762957218</v>
      </c>
      <c r="AP3" s="74">
        <f t="shared" si="9"/>
        <v>0.12347597075291834</v>
      </c>
      <c r="AQ3" s="74">
        <f t="shared" ref="AQ3:AQ50" si="62">AN3/H3</f>
        <v>0.39579150760397891</v>
      </c>
      <c r="AR3" s="76">
        <v>719000</v>
      </c>
      <c r="AS3" s="72">
        <v>28509.200000000001</v>
      </c>
      <c r="AT3" s="77">
        <f t="shared" ref="AT3:AT58" si="63">100*(AS3/AS2-1)</f>
        <v>8.9768563510940638</v>
      </c>
      <c r="AU3" s="72">
        <v>254068.30300000001</v>
      </c>
      <c r="AV3" s="72">
        <f t="shared" si="10"/>
        <v>254.06830300000001</v>
      </c>
      <c r="AW3" s="78">
        <f t="shared" si="11"/>
        <v>5.4730150144328125</v>
      </c>
      <c r="AX3" s="74">
        <f t="shared" ref="AX3:AX47" si="64">LN(AW3)-LN(AW2)</f>
        <v>4.533163738674717E-2</v>
      </c>
      <c r="AY3" s="78">
        <f t="shared" ref="AY3:AY51" si="65">AU3/H3</f>
        <v>17.641767838377987</v>
      </c>
      <c r="AZ3" s="74">
        <f t="shared" ref="AZ3:AZ47" si="66">LN(AY3)-LN(AY2)</f>
        <v>4.5543546633717291E-2</v>
      </c>
      <c r="BA3" s="79">
        <f t="shared" ref="BA3:BA56" si="67">1-AS3/BB3</f>
        <v>0.17209856107795729</v>
      </c>
      <c r="BB3" s="80">
        <v>34435.5</v>
      </c>
      <c r="BC3" s="81">
        <f t="shared" si="12"/>
        <v>306884.41315390787</v>
      </c>
      <c r="BD3" s="82">
        <f t="shared" ref="BD3:BD46" si="68">100*(BC3/BC2-1)</f>
        <v>4.7832790395052838</v>
      </c>
      <c r="BE3" s="81">
        <f t="shared" si="13"/>
        <v>6610.7538053920098</v>
      </c>
      <c r="BF3" s="81">
        <f t="shared" si="14"/>
        <v>21309.165709183777</v>
      </c>
      <c r="BG3" s="80">
        <v>50.905135000000001</v>
      </c>
      <c r="BH3" s="83">
        <f>100*(BG3/BG2-1)</f>
        <v>8.4216278774705167</v>
      </c>
      <c r="BI3" s="130">
        <f t="shared" si="15"/>
        <v>474.3894299818557</v>
      </c>
      <c r="BJ3" s="83">
        <f>100*(BI3/BI2-1)</f>
        <v>4.9710263376425035</v>
      </c>
      <c r="BK3" s="83">
        <f t="shared" si="16"/>
        <v>10.219064882638742</v>
      </c>
      <c r="BL3" s="83">
        <f t="shared" si="17"/>
        <v>32.940229418229976</v>
      </c>
      <c r="BM3" s="81">
        <v>649.05700000000002</v>
      </c>
      <c r="BN3" s="81">
        <f t="shared" si="18"/>
        <v>902.72183588317102</v>
      </c>
      <c r="BO3" s="82">
        <v>17.186</v>
      </c>
      <c r="BP3" s="82">
        <f t="shared" si="19"/>
        <v>153.15925496836289</v>
      </c>
      <c r="BQ3" s="81">
        <f t="shared" si="20"/>
        <v>5252.6581862165194</v>
      </c>
      <c r="BR3" s="82">
        <v>10.161</v>
      </c>
      <c r="BS3" s="82">
        <f t="shared" si="21"/>
        <v>90.553426610818988</v>
      </c>
      <c r="BT3" s="82">
        <v>7.391</v>
      </c>
      <c r="BU3" s="82">
        <f t="shared" si="22"/>
        <v>65.867569735317716</v>
      </c>
      <c r="BV3" s="82">
        <v>5.9160000000000004</v>
      </c>
      <c r="BW3" s="82">
        <f t="shared" si="23"/>
        <v>52.722573745655467</v>
      </c>
      <c r="BX3" s="82">
        <f t="shared" si="24"/>
        <v>61.40114167099118</v>
      </c>
      <c r="BY3" s="84">
        <v>11.221</v>
      </c>
      <c r="BZ3" s="83">
        <v>10.730663834973516</v>
      </c>
      <c r="CA3" s="78">
        <v>0.15283366564460801</v>
      </c>
      <c r="CB3" s="78">
        <v>0.10181053534505057</v>
      </c>
      <c r="CC3" s="86">
        <f t="shared" si="25"/>
        <v>0.15231828049006704</v>
      </c>
      <c r="CD3" s="91">
        <f>CC3/CC2-1</f>
        <v>-3.2916675511752702E-3</v>
      </c>
      <c r="CE3" s="86">
        <f t="shared" ref="CE3:CE48" si="69">CF3-CF2</f>
        <v>-4.2695426715499085E-2</v>
      </c>
      <c r="CF3" s="86">
        <f t="shared" si="26"/>
        <v>1.3620324894805098</v>
      </c>
      <c r="CG3" s="86">
        <f t="shared" ref="CG3:CG47" si="70">CH3-CH2</f>
        <v>-2.974475523262865E-2</v>
      </c>
      <c r="CH3" s="86">
        <f t="shared" si="27"/>
        <v>0.90732140936681727</v>
      </c>
      <c r="CI3" s="86">
        <f>CJ3-CJ2</f>
        <v>-4.5105682623767462E-2</v>
      </c>
      <c r="CJ3" s="86">
        <f t="shared" si="28"/>
        <v>1.3574394482672401</v>
      </c>
      <c r="CK3" s="86">
        <f>CJ3/CJ2-1</f>
        <v>-3.2159879657571389E-2</v>
      </c>
      <c r="CL3" s="87">
        <v>144.75</v>
      </c>
      <c r="CM3" s="77">
        <f t="shared" ref="CM3:CM55" si="71">100*(CL3/CL$52)</f>
        <v>9.5230263157894726</v>
      </c>
      <c r="CN3" s="77">
        <f t="shared" si="29"/>
        <v>84.867893376610581</v>
      </c>
      <c r="CO3" s="77">
        <f t="shared" ref="CO3:CO55" si="72">100*CM3/CZ3</f>
        <v>98.837844481468323</v>
      </c>
      <c r="CP3" s="74">
        <v>4.0239238187876218E-2</v>
      </c>
      <c r="CQ3" s="74">
        <f t="shared" ref="CQ3:CQ34" si="73">LN(CP3)-LN(CP2)</f>
        <v>0.13941503043851444</v>
      </c>
      <c r="CR3" s="139">
        <f t="shared" si="30"/>
        <v>1.0782015797416307E-2</v>
      </c>
      <c r="CS3" s="74">
        <v>0.14960112046489527</v>
      </c>
      <c r="CT3" s="77">
        <f t="shared" ref="CT3:CT56" si="74">100*CR3</f>
        <v>1.0782015797416307</v>
      </c>
      <c r="CU3" s="77">
        <f t="shared" si="31"/>
        <v>9.6087833503398148</v>
      </c>
      <c r="CV3" s="78">
        <f t="shared" si="32"/>
        <v>893.61768532270503</v>
      </c>
      <c r="CW3" s="74">
        <f t="shared" ref="CW3:CW48" si="75">LN(CV3)-LN(CV2)</f>
        <v>3.2226235073222753E-3</v>
      </c>
      <c r="CX3" s="88">
        <f t="shared" ref="CX3:CX53" si="76">100*(100*CR3)/CZ3</f>
        <v>11.190467874848268</v>
      </c>
      <c r="CY3" s="77">
        <f t="shared" si="33"/>
        <v>85.865787362980129</v>
      </c>
      <c r="CZ3" s="89">
        <v>9.6349999999999998</v>
      </c>
      <c r="DA3" s="74">
        <f t="shared" ref="DA3:DA56" si="77">LN(CZ3)-LN(CZ2)</f>
        <v>3.2226235073227194E-3</v>
      </c>
      <c r="DB3" s="125">
        <v>8.3219999999999992</v>
      </c>
      <c r="DC3" s="125">
        <v>9.6549999999999994</v>
      </c>
      <c r="DD3" s="74">
        <f t="shared" ref="DD3:DD58" si="78">(($CA3/(BZ3/100))*$L3+($CB3/(BZ3/100))*$N3)/($L3+$N3)</f>
        <v>1.4194674517118817</v>
      </c>
      <c r="DE3" s="74">
        <f t="shared" ref="DE3:DE58" si="79">(($CA3/(BZ3/100))*$L3*0.755*1.048+($CB3/(BZ3/100))*$N3*0.845)/(($L3*0.755*1.048)+($N3*0.845))</f>
        <v>1.419144640012165</v>
      </c>
      <c r="DF3" s="75">
        <f t="shared" si="34"/>
        <v>1.3574394482672401</v>
      </c>
      <c r="DG3" s="75">
        <f t="shared" si="35"/>
        <v>1.3571307428192716</v>
      </c>
      <c r="DH3" s="74">
        <f t="shared" ref="DH3:DH47" si="80">DF3-DF2</f>
        <v>-4.5105682623767462E-2</v>
      </c>
      <c r="DI3" s="75">
        <f>DD3-DD2</f>
        <v>-5.150259680222069E-2</v>
      </c>
      <c r="DJ3" s="77">
        <f>100*(LN(DF3)-LN(DF2))</f>
        <v>-3.2688370282297652</v>
      </c>
      <c r="DK3" s="75">
        <f t="shared" si="36"/>
        <v>1.3571307428192716</v>
      </c>
      <c r="DL3" s="77">
        <f>10*DK3/DK2-1</f>
        <v>8.6772183498408442</v>
      </c>
      <c r="DM3" s="72">
        <v>13661.980941777387</v>
      </c>
      <c r="DN3" s="72">
        <v>19423.867575393564</v>
      </c>
      <c r="DO3" s="72"/>
      <c r="DP3" s="72"/>
      <c r="DQ3" s="72"/>
      <c r="DR3" s="72">
        <v>13661.980941777387</v>
      </c>
      <c r="DS3" s="72">
        <v>19423.867575393564</v>
      </c>
      <c r="DT3" s="72"/>
      <c r="DU3" s="72"/>
      <c r="DV3" s="72"/>
      <c r="DW3" s="72"/>
      <c r="EB3" s="72">
        <v>8911.56</v>
      </c>
      <c r="EC3" s="78">
        <v>10.229434688704911</v>
      </c>
      <c r="ED3" s="72">
        <f t="shared" si="37"/>
        <v>5970</v>
      </c>
      <c r="EE3" s="72">
        <f t="shared" si="38"/>
        <v>5442.2651933701654</v>
      </c>
      <c r="EF3" s="72">
        <f t="shared" si="39"/>
        <v>53202013200</v>
      </c>
      <c r="EG3" s="74">
        <f t="shared" ref="EG3:EG60" si="81">CC3</f>
        <v>0.15231828049006704</v>
      </c>
      <c r="EH3" s="74">
        <f t="shared" si="40"/>
        <v>1.5581299021689763</v>
      </c>
      <c r="EI3" s="75">
        <f t="shared" si="41"/>
        <v>1.3574394482672401</v>
      </c>
      <c r="EJ3" s="75">
        <f t="shared" si="42"/>
        <v>1.5581299021689758</v>
      </c>
      <c r="EK3" s="78">
        <f t="shared" si="43"/>
        <v>13.885838179921361</v>
      </c>
      <c r="EL3" s="72">
        <f t="shared" si="44"/>
        <v>1146.0517254749902</v>
      </c>
      <c r="EM3" s="72">
        <f t="shared" si="45"/>
        <v>3694.1938617534711</v>
      </c>
      <c r="EN3" s="72">
        <f t="shared" si="46"/>
        <v>339.78967031087529</v>
      </c>
      <c r="EO3" s="72">
        <f t="shared" si="47"/>
        <v>238.99462771671725</v>
      </c>
      <c r="EP3" s="75">
        <f t="shared" si="48"/>
        <v>9.3041591892240649E-2</v>
      </c>
      <c r="EQ3" s="77">
        <f t="shared" ref="EQ3:EQ59" si="82">1/EP3</f>
        <v>10.747881454545455</v>
      </c>
      <c r="ER3" s="60"/>
      <c r="ES3" s="60"/>
      <c r="ET3" s="60"/>
      <c r="EX3" s="78"/>
      <c r="EY3" s="132">
        <f t="shared" si="49"/>
        <v>0.364482919585433</v>
      </c>
      <c r="EZ3" s="78">
        <v>0.25039751081244649</v>
      </c>
      <c r="FA3" s="72">
        <f t="shared" ref="FA3:FA60" si="83">60*CC3/$EY3</f>
        <v>25.074142952429529</v>
      </c>
      <c r="FB3" s="78">
        <f t="shared" ref="FB3:FB60" si="84">EH3/$EY3</f>
        <v>4.2749051284521391</v>
      </c>
      <c r="FC3" s="78">
        <f t="shared" ref="FC3:FC60" si="85">EH3/EY3</f>
        <v>4.2749051284521391</v>
      </c>
      <c r="FD3" s="78">
        <f t="shared" ref="FD3:FD60" si="86">EY3/(EH3/100)</f>
        <v>23.392331992220857</v>
      </c>
      <c r="FE3" s="72">
        <f t="shared" ref="FE3:FE59" si="87">EB3*(EC3/100)*EG3/EZ3</f>
        <v>554.53299299662058</v>
      </c>
    </row>
    <row r="4" spans="1:161" s="67" customFormat="1" x14ac:dyDescent="0.2">
      <c r="A4" s="68">
        <v>1962</v>
      </c>
      <c r="B4" s="72">
        <v>46422</v>
      </c>
      <c r="C4" s="72">
        <v>47573.406000000003</v>
      </c>
      <c r="D4" s="72">
        <v>46997.703000000001</v>
      </c>
      <c r="E4" s="72">
        <v>46997.703000000001</v>
      </c>
      <c r="F4" s="117">
        <v>63.488999999999997</v>
      </c>
      <c r="G4" s="72">
        <f t="shared" si="50"/>
        <v>29838.371657669999</v>
      </c>
      <c r="H4" s="72">
        <v>14681.259586871391</v>
      </c>
      <c r="I4" s="73">
        <v>35.4</v>
      </c>
      <c r="J4" s="73"/>
      <c r="K4" s="67">
        <f t="shared" si="51"/>
        <v>560</v>
      </c>
      <c r="L4" s="67">
        <v>5460</v>
      </c>
      <c r="M4" s="67">
        <f t="shared" si="52"/>
        <v>10</v>
      </c>
      <c r="N4" s="67">
        <v>60</v>
      </c>
      <c r="O4" s="67">
        <f t="shared" si="0"/>
        <v>5520</v>
      </c>
      <c r="P4" s="74">
        <f t="shared" si="53"/>
        <v>0.98913043478260865</v>
      </c>
      <c r="Q4" s="74">
        <f t="shared" si="54"/>
        <v>1.0869565217391304E-2</v>
      </c>
      <c r="R4" s="77">
        <f t="shared" si="55"/>
        <v>11.428571428571432</v>
      </c>
      <c r="S4" s="77">
        <f t="shared" si="56"/>
        <v>19.999999999999996</v>
      </c>
      <c r="T4" s="77">
        <f t="shared" si="57"/>
        <v>10.899028370840647</v>
      </c>
      <c r="U4" s="67">
        <f t="shared" si="58"/>
        <v>570</v>
      </c>
      <c r="V4" s="75">
        <f t="shared" si="1"/>
        <v>0.11603121290075383</v>
      </c>
      <c r="W4" s="77">
        <f t="shared" ref="W4:Y50" si="88">100*(LN(V4)-LN(V3))</f>
        <v>8.4489860874986888</v>
      </c>
      <c r="X4" s="74">
        <f t="shared" si="59"/>
        <v>0.37598953736477897</v>
      </c>
      <c r="Y4" s="77">
        <f t="shared" si="88"/>
        <v>8.9752338447869775</v>
      </c>
      <c r="Z4" s="72">
        <f t="shared" si="2"/>
        <v>4370.8703999999998</v>
      </c>
      <c r="AA4" s="77">
        <f t="shared" ref="AA4:AC53" si="89">100*(Z4/Z3-1)</f>
        <v>11.520970697512789</v>
      </c>
      <c r="AB4" s="74">
        <f t="shared" si="3"/>
        <v>9.1876339482609246E-2</v>
      </c>
      <c r="AC4" s="77">
        <f t="shared" si="89"/>
        <v>8.8218594590418586</v>
      </c>
      <c r="AD4" s="74">
        <f t="shared" si="60"/>
        <v>0.29771767021329826</v>
      </c>
      <c r="AE4" s="77">
        <f t="shared" si="61"/>
        <v>9.3960415389434679</v>
      </c>
      <c r="AF4" s="72">
        <v>5955.4</v>
      </c>
      <c r="AG4" s="72">
        <v>14.6</v>
      </c>
      <c r="AH4" s="72">
        <f t="shared" si="4"/>
        <v>5970</v>
      </c>
      <c r="AI4" s="72">
        <v>6676.6</v>
      </c>
      <c r="AJ4" s="72">
        <v>23.4</v>
      </c>
      <c r="AK4" s="72">
        <v>6700</v>
      </c>
      <c r="AL4" s="72">
        <f t="shared" si="5"/>
        <v>6316</v>
      </c>
      <c r="AM4" s="72">
        <f t="shared" si="6"/>
        <v>19</v>
      </c>
      <c r="AN4" s="72">
        <f t="shared" si="7"/>
        <v>6335</v>
      </c>
      <c r="AO4" s="74">
        <f t="shared" si="8"/>
        <v>0.14083498667301642</v>
      </c>
      <c r="AP4" s="74">
        <f t="shared" si="9"/>
        <v>0.13479382173209614</v>
      </c>
      <c r="AQ4" s="74">
        <f t="shared" si="62"/>
        <v>0.43150248536338309</v>
      </c>
      <c r="AR4" s="76">
        <v>917000</v>
      </c>
      <c r="AS4" s="72">
        <v>31918.286</v>
      </c>
      <c r="AT4" s="77">
        <f t="shared" si="63"/>
        <v>11.957845186816884</v>
      </c>
      <c r="AU4" s="72">
        <v>272806.98700000002</v>
      </c>
      <c r="AV4" s="72">
        <f t="shared" si="10"/>
        <v>272.80698700000005</v>
      </c>
      <c r="AW4" s="78">
        <f t="shared" si="11"/>
        <v>5.7344430415598158</v>
      </c>
      <c r="AX4" s="74">
        <f t="shared" si="64"/>
        <v>4.6660974660300392E-2</v>
      </c>
      <c r="AY4" s="78">
        <f t="shared" si="65"/>
        <v>18.581987831885737</v>
      </c>
      <c r="AZ4" s="74">
        <f t="shared" si="66"/>
        <v>5.1923452233183287E-2</v>
      </c>
      <c r="BA4" s="79">
        <f t="shared" si="67"/>
        <v>0.19353056511478661</v>
      </c>
      <c r="BB4" s="80">
        <v>39577.800000000003</v>
      </c>
      <c r="BC4" s="81">
        <f t="shared" si="12"/>
        <v>338271.79487179493</v>
      </c>
      <c r="BD4" s="82">
        <f t="shared" si="68"/>
        <v>10.227753633791025</v>
      </c>
      <c r="BE4" s="81">
        <f t="shared" si="13"/>
        <v>7110.5229436756099</v>
      </c>
      <c r="BF4" s="81">
        <f t="shared" si="14"/>
        <v>23041.060807499925</v>
      </c>
      <c r="BG4" s="80">
        <v>57.057450999999986</v>
      </c>
      <c r="BH4" s="83">
        <f t="shared" ref="BH4:BH19" si="90">100*(BG4/BG3-1)</f>
        <v>12.085845563517283</v>
      </c>
      <c r="BI4" s="130">
        <f t="shared" si="15"/>
        <v>506.82849482940907</v>
      </c>
      <c r="BJ4" s="83">
        <f t="shared" ref="BJ4:BJ50" si="91">100*(BI4/BI3-1)</f>
        <v>6.8380665329735635</v>
      </c>
      <c r="BK4" s="83">
        <f t="shared" si="16"/>
        <v>10.653609599224596</v>
      </c>
      <c r="BL4" s="83">
        <f t="shared" si="17"/>
        <v>34.522139727209563</v>
      </c>
      <c r="BM4" s="81">
        <v>829.26599999999996</v>
      </c>
      <c r="BN4" s="81">
        <f t="shared" si="18"/>
        <v>904.3249727371865</v>
      </c>
      <c r="BO4" s="82">
        <v>17.337</v>
      </c>
      <c r="BP4" s="82">
        <f t="shared" si="19"/>
        <v>148.17948717948718</v>
      </c>
      <c r="BQ4" s="81">
        <f t="shared" si="20"/>
        <v>5216.1560404752054</v>
      </c>
      <c r="BR4" s="82">
        <v>10.32</v>
      </c>
      <c r="BS4" s="82">
        <f t="shared" si="21"/>
        <v>88.205128205128204</v>
      </c>
      <c r="BT4" s="82">
        <v>7.6150000000000002</v>
      </c>
      <c r="BU4" s="82">
        <f t="shared" si="22"/>
        <v>65.085470085470092</v>
      </c>
      <c r="BV4" s="82">
        <v>6.5629999999999997</v>
      </c>
      <c r="BW4" s="82">
        <f t="shared" si="23"/>
        <v>56.09401709401709</v>
      </c>
      <c r="BX4" s="82">
        <f t="shared" si="24"/>
        <v>68.179929357988783</v>
      </c>
      <c r="BY4" s="84">
        <v>11.7</v>
      </c>
      <c r="BZ4" s="83">
        <v>11.257743315952405</v>
      </c>
      <c r="CA4" s="78">
        <v>0.15292961390930129</v>
      </c>
      <c r="CB4" s="78">
        <v>0.10148022914103616</v>
      </c>
      <c r="CC4" s="86">
        <f t="shared" si="25"/>
        <v>0.15237038146616799</v>
      </c>
      <c r="CD4" s="86">
        <f t="shared" ref="CD4:CD53" si="92">CC4/CC3-1</f>
        <v>3.4205333682413297E-4</v>
      </c>
      <c r="CE4" s="86">
        <f t="shared" si="69"/>
        <v>-5.4941772306994485E-2</v>
      </c>
      <c r="CF4" s="86">
        <f t="shared" si="26"/>
        <v>1.3070907171735153</v>
      </c>
      <c r="CG4" s="86">
        <f t="shared" si="70"/>
        <v>-3.9969023545995297E-2</v>
      </c>
      <c r="CH4" s="86">
        <f t="shared" si="27"/>
        <v>0.86735238582082197</v>
      </c>
      <c r="CI4" s="86">
        <f t="shared" ref="CI4:CI53" si="93">CJ4-CJ3</f>
        <v>-5.5128495564949587E-2</v>
      </c>
      <c r="CJ4" s="86">
        <f t="shared" si="28"/>
        <v>1.3023109527022905</v>
      </c>
      <c r="CK4" s="86">
        <f t="shared" ref="CK4:CK53" si="94">CJ4/CJ3-1</f>
        <v>-4.0612121325426798E-2</v>
      </c>
      <c r="CL4" s="87">
        <v>152.25</v>
      </c>
      <c r="CM4" s="77">
        <f t="shared" si="71"/>
        <v>10.016447368421053</v>
      </c>
      <c r="CN4" s="77">
        <f t="shared" si="29"/>
        <v>85.610661268556015</v>
      </c>
      <c r="CO4" s="77">
        <f t="shared" si="72"/>
        <v>104.05617461480422</v>
      </c>
      <c r="CP4" s="74">
        <v>4.7037480648473004E-2</v>
      </c>
      <c r="CQ4" s="74">
        <f t="shared" si="73"/>
        <v>0.15610215061364485</v>
      </c>
      <c r="CR4" s="139">
        <f t="shared" si="30"/>
        <v>1.2678774698422239E-2</v>
      </c>
      <c r="CS4" s="74">
        <v>0.16894560550216986</v>
      </c>
      <c r="CT4" s="77">
        <f t="shared" si="74"/>
        <v>1.2678774698422239</v>
      </c>
      <c r="CU4" s="77">
        <f t="shared" si="31"/>
        <v>10.836559571301059</v>
      </c>
      <c r="CV4" s="78">
        <f t="shared" si="32"/>
        <v>759.22163055692351</v>
      </c>
      <c r="CW4" s="74">
        <f t="shared" si="75"/>
        <v>-0.16298430051463875</v>
      </c>
      <c r="CX4" s="88">
        <f t="shared" si="76"/>
        <v>13.171384477895533</v>
      </c>
      <c r="CY4" s="77">
        <f t="shared" si="33"/>
        <v>82.273504273504273</v>
      </c>
      <c r="CZ4" s="89">
        <v>9.6259999999999994</v>
      </c>
      <c r="DA4" s="74">
        <f t="shared" si="77"/>
        <v>-9.3453098541207424E-4</v>
      </c>
      <c r="DB4" s="125">
        <v>8.2780000000000005</v>
      </c>
      <c r="DC4" s="125">
        <v>9.6530000000000005</v>
      </c>
      <c r="DD4" s="74">
        <f t="shared" si="78"/>
        <v>1.3534718032721236</v>
      </c>
      <c r="DE4" s="74">
        <f t="shared" si="79"/>
        <v>1.3531382040805466</v>
      </c>
      <c r="DF4" s="75">
        <f t="shared" si="34"/>
        <v>1.3023109527022905</v>
      </c>
      <c r="DG4" s="75">
        <f t="shared" si="35"/>
        <v>1.3019899634656082</v>
      </c>
      <c r="DH4" s="74">
        <f t="shared" si="80"/>
        <v>-5.5128495564949587E-2</v>
      </c>
      <c r="DI4" s="75">
        <f t="shared" ref="DI4:DI53" si="95">DD4-DD3</f>
        <v>-6.5995648439758137E-2</v>
      </c>
      <c r="DJ4" s="77">
        <f t="shared" ref="DJ4:DJ47" si="96">100*(LN(DF4)-LN(DF3))</f>
        <v>-4.1459824271062757</v>
      </c>
      <c r="DK4" s="75">
        <f t="shared" si="36"/>
        <v>1.3019899634656082</v>
      </c>
      <c r="DL4" s="77">
        <f t="shared" ref="DL4:DL53" si="97">10*DK4/DK3-1</f>
        <v>8.5936958937418577</v>
      </c>
      <c r="DM4" s="72">
        <v>13878.134980266141</v>
      </c>
      <c r="DN4" s="72">
        <v>19588.841900257059</v>
      </c>
      <c r="DO4" s="72"/>
      <c r="DP4" s="72"/>
      <c r="DQ4" s="72"/>
      <c r="DR4" s="72">
        <v>13878.134980266141</v>
      </c>
      <c r="DS4" s="72">
        <v>19588.841900257059</v>
      </c>
      <c r="DT4" s="72"/>
      <c r="DU4" s="72"/>
      <c r="DV4" s="72"/>
      <c r="DW4" s="72"/>
      <c r="EB4" s="72">
        <v>9178.9067999999988</v>
      </c>
      <c r="EC4" s="78">
        <v>10.073346812693311</v>
      </c>
      <c r="ED4" s="72">
        <f t="shared" si="37"/>
        <v>6700</v>
      </c>
      <c r="EE4" s="72">
        <f t="shared" si="38"/>
        <v>6194.9748743718601</v>
      </c>
      <c r="EF4" s="72">
        <f t="shared" si="39"/>
        <v>61498675559.999992</v>
      </c>
      <c r="EG4" s="74">
        <f t="shared" si="81"/>
        <v>0.15237038146616799</v>
      </c>
      <c r="EH4" s="74">
        <f t="shared" si="40"/>
        <v>1.5348796964910874</v>
      </c>
      <c r="EI4" s="75">
        <f t="shared" si="41"/>
        <v>1.3023109527022905</v>
      </c>
      <c r="EJ4" s="75">
        <f t="shared" si="42"/>
        <v>1.5348796964910869</v>
      </c>
      <c r="EK4" s="78">
        <f t="shared" si="43"/>
        <v>13.118629884539207</v>
      </c>
      <c r="EL4" s="72">
        <f t="shared" si="44"/>
        <v>1292.7112168508597</v>
      </c>
      <c r="EM4" s="72">
        <f t="shared" si="45"/>
        <v>4188.9236544114192</v>
      </c>
      <c r="EN4" s="72">
        <f t="shared" si="46"/>
        <v>342.79394218060628</v>
      </c>
      <c r="EO4" s="72">
        <f t="shared" si="47"/>
        <v>242.85971698702471</v>
      </c>
      <c r="EP4" s="75">
        <f t="shared" si="48"/>
        <v>8.9758030554894133E-2</v>
      </c>
      <c r="EQ4" s="77">
        <f t="shared" si="82"/>
        <v>11.141064413043477</v>
      </c>
      <c r="ER4" s="60"/>
      <c r="ES4" s="60"/>
      <c r="ET4" s="60"/>
      <c r="EX4" s="78"/>
      <c r="EY4" s="132">
        <f t="shared" si="49"/>
        <v>0.38250365043961904</v>
      </c>
      <c r="EZ4" s="78">
        <v>0.26277764142060128</v>
      </c>
      <c r="FA4" s="72">
        <f t="shared" si="83"/>
        <v>23.901008205968079</v>
      </c>
      <c r="FB4" s="78">
        <f t="shared" si="84"/>
        <v>4.0127190805290871</v>
      </c>
      <c r="FC4" s="78">
        <f t="shared" si="85"/>
        <v>4.0127190805290871</v>
      </c>
      <c r="FD4" s="78">
        <f t="shared" si="86"/>
        <v>24.92075771893176</v>
      </c>
      <c r="FE4" s="72">
        <f t="shared" si="87"/>
        <v>536.13837186223645</v>
      </c>
    </row>
    <row r="5" spans="1:161" s="67" customFormat="1" x14ac:dyDescent="0.2">
      <c r="A5" s="68">
        <v>1963</v>
      </c>
      <c r="B5" s="72">
        <v>47573.406000000003</v>
      </c>
      <c r="C5" s="72">
        <v>48059.029000000002</v>
      </c>
      <c r="D5" s="72">
        <v>47816.218000000001</v>
      </c>
      <c r="E5" s="72">
        <v>47816.217499999999</v>
      </c>
      <c r="F5" s="117">
        <v>64.701999999999998</v>
      </c>
      <c r="G5" s="72">
        <f t="shared" si="50"/>
        <v>30938.049046849999</v>
      </c>
      <c r="H5" s="72">
        <v>14939.594007131986</v>
      </c>
      <c r="I5" s="73">
        <v>38.5</v>
      </c>
      <c r="J5" s="73"/>
      <c r="K5" s="67">
        <f t="shared" si="51"/>
        <v>620</v>
      </c>
      <c r="L5" s="67">
        <v>6080</v>
      </c>
      <c r="M5" s="67">
        <f t="shared" si="52"/>
        <v>10</v>
      </c>
      <c r="N5" s="67">
        <v>70</v>
      </c>
      <c r="O5" s="67">
        <f t="shared" si="0"/>
        <v>6150</v>
      </c>
      <c r="P5" s="74">
        <f t="shared" si="53"/>
        <v>0.98861788617886182</v>
      </c>
      <c r="Q5" s="74">
        <f t="shared" si="54"/>
        <v>1.1382113821138212E-2</v>
      </c>
      <c r="R5" s="77">
        <f t="shared" si="55"/>
        <v>11.355311355311359</v>
      </c>
      <c r="S5" s="77">
        <f t="shared" si="56"/>
        <v>16.666666666666675</v>
      </c>
      <c r="T5" s="77">
        <f t="shared" si="57"/>
        <v>10.807422152942259</v>
      </c>
      <c r="U5" s="67">
        <f t="shared" si="58"/>
        <v>630</v>
      </c>
      <c r="V5" s="75">
        <f t="shared" si="1"/>
        <v>0.12796762914207027</v>
      </c>
      <c r="W5" s="77">
        <f t="shared" si="88"/>
        <v>9.7918102965769194</v>
      </c>
      <c r="X5" s="74">
        <f t="shared" si="59"/>
        <v>0.41165777310039769</v>
      </c>
      <c r="Y5" s="77">
        <f t="shared" si="88"/>
        <v>9.0631039510663314</v>
      </c>
      <c r="Z5" s="72">
        <f t="shared" si="2"/>
        <v>4869.8891999999996</v>
      </c>
      <c r="AA5" s="77">
        <f t="shared" si="89"/>
        <v>11.416920529146779</v>
      </c>
      <c r="AB5" s="74">
        <f t="shared" si="3"/>
        <v>0.10133141058675986</v>
      </c>
      <c r="AC5" s="77">
        <f t="shared" si="89"/>
        <v>10.291083817004164</v>
      </c>
      <c r="AD5" s="74">
        <f t="shared" si="60"/>
        <v>0.32597199078336214</v>
      </c>
      <c r="AE5" s="77">
        <f t="shared" si="61"/>
        <v>9.4903068903573029</v>
      </c>
      <c r="AF5" s="72">
        <v>6676.6</v>
      </c>
      <c r="AG5" s="72">
        <v>23.4</v>
      </c>
      <c r="AH5" s="72">
        <f t="shared" si="4"/>
        <v>6700</v>
      </c>
      <c r="AI5" s="72">
        <v>7495.6</v>
      </c>
      <c r="AJ5" s="72">
        <v>34.4</v>
      </c>
      <c r="AK5" s="72">
        <v>7530</v>
      </c>
      <c r="AL5" s="72">
        <f t="shared" si="5"/>
        <v>7086.1</v>
      </c>
      <c r="AM5" s="72">
        <f t="shared" si="6"/>
        <v>28.9</v>
      </c>
      <c r="AN5" s="72">
        <f t="shared" si="7"/>
        <v>7115</v>
      </c>
      <c r="AO5" s="74">
        <f t="shared" si="8"/>
        <v>0.15668231665687626</v>
      </c>
      <c r="AP5" s="74">
        <f t="shared" si="9"/>
        <v>0.14879888660370422</v>
      </c>
      <c r="AQ5" s="74">
        <f t="shared" si="62"/>
        <v>0.47625122855436253</v>
      </c>
      <c r="AR5" s="76">
        <v>1047000</v>
      </c>
      <c r="AS5" s="72">
        <v>35877.247000000003</v>
      </c>
      <c r="AT5" s="77">
        <f t="shared" si="63"/>
        <v>12.403426048629317</v>
      </c>
      <c r="AU5" s="72">
        <v>292499.946</v>
      </c>
      <c r="AV5" s="72">
        <f t="shared" si="10"/>
        <v>292.49994600000002</v>
      </c>
      <c r="AW5" s="78">
        <f t="shared" si="11"/>
        <v>6.08626416484611</v>
      </c>
      <c r="AX5" s="74">
        <f t="shared" si="64"/>
        <v>5.9543825681447116E-2</v>
      </c>
      <c r="AY5" s="78">
        <f t="shared" si="65"/>
        <v>19.578841691438466</v>
      </c>
      <c r="AZ5" s="74">
        <f t="shared" si="66"/>
        <v>5.2256762226341458E-2</v>
      </c>
      <c r="BA5" s="79">
        <f t="shared" si="67"/>
        <v>0.1862890755235207</v>
      </c>
      <c r="BB5" s="80">
        <v>44090.9</v>
      </c>
      <c r="BC5" s="81">
        <f t="shared" si="12"/>
        <v>359456.22044676339</v>
      </c>
      <c r="BD5" s="82">
        <f t="shared" si="68"/>
        <v>6.2625456500141619</v>
      </c>
      <c r="BE5" s="81">
        <f t="shared" si="13"/>
        <v>7479.4732212913286</v>
      </c>
      <c r="BF5" s="81">
        <f t="shared" si="14"/>
        <v>24060.641827024432</v>
      </c>
      <c r="BG5" s="80">
        <v>63.967463000000002</v>
      </c>
      <c r="BH5" s="83">
        <f t="shared" si="90"/>
        <v>12.110621625911788</v>
      </c>
      <c r="BI5" s="130">
        <f t="shared" si="15"/>
        <v>538.33717201672448</v>
      </c>
      <c r="BJ5" s="83">
        <f t="shared" si="91"/>
        <v>6.2168322240683693</v>
      </c>
      <c r="BK5" s="83">
        <f t="shared" si="16"/>
        <v>11.201582371061313</v>
      </c>
      <c r="BL5" s="83">
        <f t="shared" si="17"/>
        <v>36.034257139767568</v>
      </c>
      <c r="BM5" s="81">
        <v>1022.51</v>
      </c>
      <c r="BN5" s="81">
        <f t="shared" si="18"/>
        <v>976.60936007640873</v>
      </c>
      <c r="BO5" s="82">
        <v>17.527999999999999</v>
      </c>
      <c r="BP5" s="82">
        <f t="shared" si="19"/>
        <v>142.89907060166314</v>
      </c>
      <c r="BQ5" s="81">
        <f t="shared" si="20"/>
        <v>5571.7101784368379</v>
      </c>
      <c r="BR5" s="82">
        <v>10.590999999999999</v>
      </c>
      <c r="BS5" s="82">
        <f t="shared" si="21"/>
        <v>86.344366541659866</v>
      </c>
      <c r="BT5" s="82">
        <v>8.0229999999999997</v>
      </c>
      <c r="BU5" s="82">
        <f t="shared" si="22"/>
        <v>65.408446111201698</v>
      </c>
      <c r="BV5" s="82">
        <v>7.3259999999999996</v>
      </c>
      <c r="BW5" s="82">
        <f t="shared" si="23"/>
        <v>59.726072069134183</v>
      </c>
      <c r="BX5" s="82">
        <f t="shared" si="24"/>
        <v>75.995850622406621</v>
      </c>
      <c r="BY5" s="84">
        <v>12.266</v>
      </c>
      <c r="BZ5" s="83">
        <v>11.882416137151443</v>
      </c>
      <c r="CA5" s="78">
        <v>0.15264823239859412</v>
      </c>
      <c r="CB5" s="78">
        <v>0.10134048420856855</v>
      </c>
      <c r="CC5" s="86">
        <f t="shared" si="25"/>
        <v>0.15206424176878894</v>
      </c>
      <c r="CD5" s="86">
        <f t="shared" si="92"/>
        <v>-2.0091811442175533E-3</v>
      </c>
      <c r="CE5" s="86">
        <f t="shared" si="69"/>
        <v>-6.2608144219054918E-2</v>
      </c>
      <c r="CF5" s="86">
        <f t="shared" si="26"/>
        <v>1.2444825729544604</v>
      </c>
      <c r="CG5" s="86">
        <f t="shared" si="70"/>
        <v>-4.1162232481766536E-2</v>
      </c>
      <c r="CH5" s="86">
        <f t="shared" si="27"/>
        <v>0.82619015333905543</v>
      </c>
      <c r="CI5" s="86">
        <f t="shared" si="93"/>
        <v>-6.2589431678411911E-2</v>
      </c>
      <c r="CJ5" s="86">
        <f t="shared" si="28"/>
        <v>1.2397215210238786</v>
      </c>
      <c r="CK5" s="86">
        <f t="shared" si="94"/>
        <v>-4.806028203060031E-2</v>
      </c>
      <c r="CL5" s="87">
        <v>167</v>
      </c>
      <c r="CM5" s="77">
        <f t="shared" si="71"/>
        <v>10.986842105263158</v>
      </c>
      <c r="CN5" s="77">
        <f t="shared" si="29"/>
        <v>89.571515614406962</v>
      </c>
      <c r="CO5" s="77">
        <f t="shared" si="72"/>
        <v>113.97139113343525</v>
      </c>
      <c r="CP5" s="74">
        <v>5.7942515745607534E-2</v>
      </c>
      <c r="CQ5" s="74">
        <f t="shared" si="73"/>
        <v>0.20850666672683138</v>
      </c>
      <c r="CR5" s="139">
        <f t="shared" si="30"/>
        <v>1.5256251314432274E-2</v>
      </c>
      <c r="CS5" s="74">
        <v>0.23183714235529629</v>
      </c>
      <c r="CT5" s="77">
        <f t="shared" si="74"/>
        <v>1.5256251314432274</v>
      </c>
      <c r="CU5" s="77">
        <f t="shared" si="31"/>
        <v>12.437837367057128</v>
      </c>
      <c r="CV5" s="78">
        <f t="shared" si="32"/>
        <v>631.87212909115146</v>
      </c>
      <c r="CW5" s="74">
        <f t="shared" si="75"/>
        <v>-0.18360669185125733</v>
      </c>
      <c r="CX5" s="88">
        <f t="shared" si="76"/>
        <v>15.825986840697379</v>
      </c>
      <c r="CY5" s="77">
        <f t="shared" si="33"/>
        <v>78.591227784118701</v>
      </c>
      <c r="CZ5" s="89">
        <v>9.64</v>
      </c>
      <c r="DA5" s="74">
        <f t="shared" si="77"/>
        <v>1.4533377415366644E-3</v>
      </c>
      <c r="DB5" s="125">
        <v>8.25</v>
      </c>
      <c r="DC5" s="125">
        <v>9.6560000000000006</v>
      </c>
      <c r="DD5" s="74">
        <f t="shared" si="78"/>
        <v>1.2797417630690986</v>
      </c>
      <c r="DE5" s="74">
        <f t="shared" si="79"/>
        <v>1.279411891504689</v>
      </c>
      <c r="DF5" s="75">
        <f t="shared" si="34"/>
        <v>1.2397215210238786</v>
      </c>
      <c r="DG5" s="75">
        <f t="shared" si="35"/>
        <v>1.2394019652436625</v>
      </c>
      <c r="DH5" s="74">
        <f t="shared" si="80"/>
        <v>-6.2589431678411911E-2</v>
      </c>
      <c r="DI5" s="75">
        <f t="shared" si="95"/>
        <v>-7.3730040203024982E-2</v>
      </c>
      <c r="DJ5" s="77">
        <f t="shared" si="96"/>
        <v>-4.9253567656374733</v>
      </c>
      <c r="DK5" s="75">
        <f t="shared" si="36"/>
        <v>1.2394019652436625</v>
      </c>
      <c r="DL5" s="77">
        <f t="shared" si="97"/>
        <v>8.5192897028533903</v>
      </c>
      <c r="DM5" s="72">
        <v>14097.725815022444</v>
      </c>
      <c r="DN5" s="72">
        <v>19762.266496073284</v>
      </c>
      <c r="DO5" s="72"/>
      <c r="DP5" s="72"/>
      <c r="DQ5" s="72"/>
      <c r="DR5" s="72">
        <v>14097.725815022444</v>
      </c>
      <c r="DS5" s="72">
        <v>19762.266496073284</v>
      </c>
      <c r="DT5" s="72"/>
      <c r="DU5" s="72"/>
      <c r="DV5" s="72"/>
      <c r="DW5" s="72"/>
      <c r="EB5" s="72">
        <v>9454.274003999999</v>
      </c>
      <c r="EC5" s="78">
        <v>9.7089469521703755</v>
      </c>
      <c r="ED5" s="72">
        <f t="shared" si="37"/>
        <v>7530</v>
      </c>
      <c r="EE5" s="72">
        <f t="shared" si="38"/>
        <v>6911.8656716417918</v>
      </c>
      <c r="EF5" s="72">
        <f t="shared" si="39"/>
        <v>71190683250.119995</v>
      </c>
      <c r="EG5" s="74">
        <f t="shared" si="81"/>
        <v>0.15206424176878894</v>
      </c>
      <c r="EH5" s="74">
        <f t="shared" si="40"/>
        <v>1.4763836566551825</v>
      </c>
      <c r="EI5" s="75">
        <f t="shared" si="41"/>
        <v>1.2397215210238786</v>
      </c>
      <c r="EJ5" s="75">
        <f t="shared" si="42"/>
        <v>1.4763836566551825</v>
      </c>
      <c r="EK5" s="78">
        <f t="shared" si="43"/>
        <v>12.036390483084809</v>
      </c>
      <c r="EL5" s="72">
        <f t="shared" si="44"/>
        <v>1481.3175532556015</v>
      </c>
      <c r="EM5" s="72">
        <f t="shared" si="45"/>
        <v>4765.2354686569397</v>
      </c>
      <c r="EN5" s="72">
        <f t="shared" si="46"/>
        <v>340.89916083336374</v>
      </c>
      <c r="EO5" s="72">
        <f t="shared" si="47"/>
        <v>243.18581580482797</v>
      </c>
      <c r="EP5" s="75">
        <f t="shared" si="48"/>
        <v>8.6387708604968805E-2</v>
      </c>
      <c r="EQ5" s="77">
        <f t="shared" si="82"/>
        <v>11.575720853678048</v>
      </c>
      <c r="ER5" s="60"/>
      <c r="ES5" s="60"/>
      <c r="ET5" s="60"/>
      <c r="EX5" s="78"/>
      <c r="EY5" s="132">
        <f t="shared" si="49"/>
        <v>0.40919726253609651</v>
      </c>
      <c r="EZ5" s="78">
        <v>0.28111598778578473</v>
      </c>
      <c r="FA5" s="72">
        <f t="shared" si="83"/>
        <v>22.296958805589504</v>
      </c>
      <c r="FB5" s="78">
        <f t="shared" si="84"/>
        <v>3.6079998373032769</v>
      </c>
      <c r="FC5" s="78">
        <f t="shared" si="85"/>
        <v>3.6079998373032769</v>
      </c>
      <c r="FD5" s="78">
        <f t="shared" si="86"/>
        <v>27.716187502586717</v>
      </c>
      <c r="FE5" s="72">
        <f t="shared" si="87"/>
        <v>496.52585521681158</v>
      </c>
    </row>
    <row r="6" spans="1:161" s="67" customFormat="1" x14ac:dyDescent="0.2">
      <c r="A6" s="68">
        <v>1964</v>
      </c>
      <c r="B6" s="72">
        <v>48059.029000000002</v>
      </c>
      <c r="C6" s="72">
        <v>48561.8</v>
      </c>
      <c r="D6" s="72">
        <v>48310.415000000001</v>
      </c>
      <c r="E6" s="72">
        <v>48310.414499999999</v>
      </c>
      <c r="F6" s="117">
        <v>65.897999999999996</v>
      </c>
      <c r="G6" s="72">
        <f t="shared" si="50"/>
        <v>31835.596947209997</v>
      </c>
      <c r="H6" s="72">
        <v>15096.884328523793</v>
      </c>
      <c r="I6" s="73">
        <v>42.4</v>
      </c>
      <c r="J6" s="73"/>
      <c r="K6" s="67">
        <f t="shared" si="51"/>
        <v>960</v>
      </c>
      <c r="L6" s="67">
        <v>7040</v>
      </c>
      <c r="M6" s="67">
        <f t="shared" si="52"/>
        <v>10</v>
      </c>
      <c r="N6" s="67">
        <v>80</v>
      </c>
      <c r="O6" s="67">
        <f t="shared" si="0"/>
        <v>7120</v>
      </c>
      <c r="P6" s="74">
        <f t="shared" si="53"/>
        <v>0.9887640449438202</v>
      </c>
      <c r="Q6" s="74">
        <f t="shared" si="54"/>
        <v>1.1235955056179775E-2</v>
      </c>
      <c r="R6" s="77">
        <f t="shared" si="55"/>
        <v>15.789473684210531</v>
      </c>
      <c r="S6" s="77">
        <f t="shared" si="56"/>
        <v>14.285714285714279</v>
      </c>
      <c r="T6" s="77">
        <f t="shared" si="57"/>
        <v>14.645564360545649</v>
      </c>
      <c r="U6" s="67">
        <f t="shared" si="58"/>
        <v>970</v>
      </c>
      <c r="V6" s="75">
        <f t="shared" si="1"/>
        <v>0.1466173000177094</v>
      </c>
      <c r="W6" s="77">
        <f t="shared" si="88"/>
        <v>13.604845618833883</v>
      </c>
      <c r="X6" s="74">
        <f t="shared" si="59"/>
        <v>0.4716204910272509</v>
      </c>
      <c r="Y6" s="77">
        <f t="shared" si="88"/>
        <v>13.598226137876601</v>
      </c>
      <c r="Z6" s="72">
        <f t="shared" si="2"/>
        <v>5637.9296000000004</v>
      </c>
      <c r="AA6" s="77">
        <f t="shared" si="89"/>
        <v>15.77120892196071</v>
      </c>
      <c r="AB6" s="74">
        <f t="shared" si="3"/>
        <v>0.11609803590476465</v>
      </c>
      <c r="AC6" s="77">
        <f t="shared" si="89"/>
        <v>14.572604123932154</v>
      </c>
      <c r="AD6" s="74">
        <f t="shared" si="60"/>
        <v>0.37344987729340906</v>
      </c>
      <c r="AE6" s="77">
        <f t="shared" si="61"/>
        <v>14.565020263228767</v>
      </c>
      <c r="AF6" s="72">
        <v>7495.6</v>
      </c>
      <c r="AG6" s="72">
        <v>34.4</v>
      </c>
      <c r="AH6" s="72">
        <f t="shared" si="4"/>
        <v>7530</v>
      </c>
      <c r="AI6" s="72">
        <v>8274</v>
      </c>
      <c r="AJ6" s="72">
        <v>46</v>
      </c>
      <c r="AK6" s="72">
        <v>8320</v>
      </c>
      <c r="AL6" s="72">
        <f t="shared" si="5"/>
        <v>7884.8</v>
      </c>
      <c r="AM6" s="72">
        <f t="shared" si="6"/>
        <v>40.200000000000003</v>
      </c>
      <c r="AN6" s="72">
        <f t="shared" si="7"/>
        <v>7925</v>
      </c>
      <c r="AO6" s="74">
        <f t="shared" si="8"/>
        <v>0.17132808091957052</v>
      </c>
      <c r="AP6" s="74">
        <f t="shared" si="9"/>
        <v>0.16404330204987888</v>
      </c>
      <c r="AQ6" s="74">
        <f t="shared" si="62"/>
        <v>0.52494275159985437</v>
      </c>
      <c r="AR6" s="76">
        <v>1053000</v>
      </c>
      <c r="AS6" s="72">
        <v>39101.538</v>
      </c>
      <c r="AT6" s="77">
        <f t="shared" si="63"/>
        <v>8.9870078381432137</v>
      </c>
      <c r="AU6" s="72">
        <v>308610.93900000001</v>
      </c>
      <c r="AV6" s="72">
        <f t="shared" si="10"/>
        <v>308.61093900000003</v>
      </c>
      <c r="AW6" s="78">
        <f t="shared" si="11"/>
        <v>6.3550144146221923</v>
      </c>
      <c r="AX6" s="74">
        <f t="shared" si="64"/>
        <v>4.3209717008012127E-2</v>
      </c>
      <c r="AY6" s="78">
        <f t="shared" si="65"/>
        <v>20.442028453309128</v>
      </c>
      <c r="AZ6" s="74">
        <f t="shared" si="66"/>
        <v>4.314352219843931E-2</v>
      </c>
      <c r="BA6" s="79">
        <f t="shared" si="67"/>
        <v>0.18337879917547473</v>
      </c>
      <c r="BB6" s="80">
        <v>47882.1</v>
      </c>
      <c r="BC6" s="81">
        <f t="shared" si="12"/>
        <v>377917.12707182323</v>
      </c>
      <c r="BD6" s="82">
        <f t="shared" si="68"/>
        <v>5.1357872182918429</v>
      </c>
      <c r="BE6" s="81">
        <f t="shared" si="13"/>
        <v>7782.1894384438638</v>
      </c>
      <c r="BF6" s="81">
        <f t="shared" si="14"/>
        <v>25032.789471519838</v>
      </c>
      <c r="BG6" s="80">
        <v>70.951442</v>
      </c>
      <c r="BH6" s="83">
        <f t="shared" si="90"/>
        <v>10.918017805395852</v>
      </c>
      <c r="BI6" s="130">
        <f t="shared" si="15"/>
        <v>574.12252872296904</v>
      </c>
      <c r="BJ6" s="83">
        <f t="shared" si="91"/>
        <v>6.6473872818748614</v>
      </c>
      <c r="BK6" s="83">
        <f t="shared" si="16"/>
        <v>11.822513348413136</v>
      </c>
      <c r="BL6" s="83">
        <f t="shared" si="17"/>
        <v>38.029206307041235</v>
      </c>
      <c r="BM6" s="81">
        <v>1100.068</v>
      </c>
      <c r="BN6" s="81">
        <f t="shared" si="18"/>
        <v>1044.6989553656219</v>
      </c>
      <c r="BO6" s="82">
        <v>17.652000000000001</v>
      </c>
      <c r="BP6" s="82">
        <f t="shared" si="19"/>
        <v>139.32123125493291</v>
      </c>
      <c r="BQ6" s="81">
        <f t="shared" si="20"/>
        <v>5918.3036220576823</v>
      </c>
      <c r="BR6" s="82">
        <v>10.757</v>
      </c>
      <c r="BS6" s="82">
        <f t="shared" si="21"/>
        <v>84.901341752170481</v>
      </c>
      <c r="BT6" s="82">
        <v>8.2799999999999994</v>
      </c>
      <c r="BU6" s="82">
        <f t="shared" si="22"/>
        <v>65.351223362273075</v>
      </c>
      <c r="BV6" s="82">
        <v>7.798</v>
      </c>
      <c r="BW6" s="82">
        <f t="shared" si="23"/>
        <v>61.546961325966848</v>
      </c>
      <c r="BX6" s="82">
        <f t="shared" si="24"/>
        <v>80.850181441161226</v>
      </c>
      <c r="BY6" s="84">
        <v>12.67</v>
      </c>
      <c r="BZ6" s="83">
        <v>12.358240349463127</v>
      </c>
      <c r="CA6" s="78">
        <v>0.15091761502955173</v>
      </c>
      <c r="CB6" s="78">
        <v>0.10036226968129518</v>
      </c>
      <c r="CC6" s="86">
        <f t="shared" si="25"/>
        <v>0.15034957744136906</v>
      </c>
      <c r="CD6" s="86">
        <f t="shared" si="92"/>
        <v>-1.127592067323091E-2</v>
      </c>
      <c r="CE6" s="86">
        <f t="shared" si="69"/>
        <v>-5.3341175720429401E-2</v>
      </c>
      <c r="CF6" s="86">
        <f t="shared" si="26"/>
        <v>1.191141397234031</v>
      </c>
      <c r="CG6" s="86">
        <f t="shared" si="70"/>
        <v>-3.4064899343039912E-2</v>
      </c>
      <c r="CH6" s="86">
        <f t="shared" si="27"/>
        <v>0.79212525399601552</v>
      </c>
      <c r="CI6" s="86">
        <f t="shared" si="93"/>
        <v>-5.3063451241960102E-2</v>
      </c>
      <c r="CJ6" s="86">
        <f t="shared" si="28"/>
        <v>1.1866580697819185</v>
      </c>
      <c r="CK6" s="86">
        <f t="shared" si="94"/>
        <v>-4.280271846707584E-2</v>
      </c>
      <c r="CL6" s="87">
        <v>178.25</v>
      </c>
      <c r="CM6" s="77">
        <f t="shared" si="71"/>
        <v>11.726973684210526</v>
      </c>
      <c r="CN6" s="77">
        <f t="shared" si="29"/>
        <v>92.557014082166731</v>
      </c>
      <c r="CO6" s="77">
        <f t="shared" si="72"/>
        <v>121.5860413085591</v>
      </c>
      <c r="CP6" s="74">
        <v>7.1164999078430491E-2</v>
      </c>
      <c r="CQ6" s="74">
        <f t="shared" si="73"/>
        <v>0.20554970033289566</v>
      </c>
      <c r="CR6" s="139">
        <f t="shared" si="30"/>
        <v>1.9860699020530757E-2</v>
      </c>
      <c r="CS6" s="74">
        <v>0.22820002139491713</v>
      </c>
      <c r="CT6" s="77">
        <f t="shared" si="74"/>
        <v>1.9860699020530757</v>
      </c>
      <c r="CU6" s="77">
        <f t="shared" si="31"/>
        <v>15.675374128279996</v>
      </c>
      <c r="CV6" s="78">
        <f t="shared" si="32"/>
        <v>485.63245382398668</v>
      </c>
      <c r="CW6" s="74">
        <f t="shared" si="75"/>
        <v>-0.26323497635467152</v>
      </c>
      <c r="CX6" s="88">
        <f t="shared" si="76"/>
        <v>20.59170453139529</v>
      </c>
      <c r="CY6" s="77">
        <f t="shared" si="33"/>
        <v>76.124704025256506</v>
      </c>
      <c r="CZ6" s="89">
        <v>9.6449999999999996</v>
      </c>
      <c r="DA6" s="74">
        <f t="shared" si="77"/>
        <v>5.1853773523813373E-4</v>
      </c>
      <c r="DB6" s="125">
        <v>8.157</v>
      </c>
      <c r="DC6" s="125">
        <v>9.6310000000000002</v>
      </c>
      <c r="DD6" s="74">
        <f t="shared" si="78"/>
        <v>1.2165937317111708</v>
      </c>
      <c r="DE6" s="74">
        <f t="shared" si="79"/>
        <v>1.2162851766261413</v>
      </c>
      <c r="DF6" s="75">
        <f t="shared" si="34"/>
        <v>1.1866580697819185</v>
      </c>
      <c r="DG6" s="75">
        <f t="shared" si="35"/>
        <v>1.1863571070430201</v>
      </c>
      <c r="DH6" s="74">
        <f t="shared" si="80"/>
        <v>-5.3063451241960102E-2</v>
      </c>
      <c r="DI6" s="75">
        <f t="shared" si="95"/>
        <v>-6.3148031357927792E-2</v>
      </c>
      <c r="DJ6" s="77">
        <f t="shared" si="96"/>
        <v>-4.3745762971880433</v>
      </c>
      <c r="DK6" s="75">
        <f t="shared" si="36"/>
        <v>1.1863571070430201</v>
      </c>
      <c r="DL6" s="77">
        <f t="shared" si="97"/>
        <v>8.5720124730461116</v>
      </c>
      <c r="DM6" s="72">
        <v>14322.268393713915</v>
      </c>
      <c r="DN6" s="72">
        <v>19946.277337003306</v>
      </c>
      <c r="DO6" s="72"/>
      <c r="DP6" s="72"/>
      <c r="DQ6" s="72"/>
      <c r="DR6" s="72">
        <v>14322.268393713915</v>
      </c>
      <c r="DS6" s="72">
        <v>19946.277337003306</v>
      </c>
      <c r="DT6" s="72"/>
      <c r="DU6" s="72"/>
      <c r="DV6" s="72"/>
      <c r="DW6" s="72"/>
      <c r="EB6" s="72">
        <v>9737.90222412</v>
      </c>
      <c r="EC6" s="78">
        <v>9.710008450033591</v>
      </c>
      <c r="ED6" s="72">
        <f t="shared" si="37"/>
        <v>8320</v>
      </c>
      <c r="EE6" s="72">
        <f t="shared" si="38"/>
        <v>7866.9853917662667</v>
      </c>
      <c r="EF6" s="72">
        <f t="shared" si="39"/>
        <v>81019346504.678406</v>
      </c>
      <c r="EG6" s="74">
        <f t="shared" si="81"/>
        <v>0.15034957744136906</v>
      </c>
      <c r="EH6" s="74">
        <f t="shared" si="40"/>
        <v>1.4598956674146735</v>
      </c>
      <c r="EI6" s="75">
        <f t="shared" si="41"/>
        <v>1.1866580697819185</v>
      </c>
      <c r="EJ6" s="75">
        <f t="shared" si="42"/>
        <v>1.4598956674146735</v>
      </c>
      <c r="EK6" s="78">
        <f t="shared" si="43"/>
        <v>11.522459884882979</v>
      </c>
      <c r="EL6" s="72">
        <f t="shared" si="44"/>
        <v>1668.3761002408974</v>
      </c>
      <c r="EM6" s="72">
        <f t="shared" si="45"/>
        <v>5366.6269636577827</v>
      </c>
      <c r="EN6" s="72">
        <f t="shared" si="46"/>
        <v>339.06500468399207</v>
      </c>
      <c r="EO6" s="72">
        <f t="shared" si="47"/>
        <v>243.46297396512506</v>
      </c>
      <c r="EP6" s="75">
        <f t="shared" si="48"/>
        <v>8.7880244746097291E-2</v>
      </c>
      <c r="EQ6" s="77">
        <f t="shared" si="82"/>
        <v>11.379121700095281</v>
      </c>
      <c r="ER6" s="60"/>
      <c r="ES6" s="60"/>
      <c r="ET6" s="60"/>
      <c r="EX6" s="78"/>
      <c r="EY6" s="132">
        <f t="shared" si="49"/>
        <v>0.42026489456917021</v>
      </c>
      <c r="EZ6" s="78">
        <v>0.28871938252050061</v>
      </c>
      <c r="FA6" s="72">
        <f t="shared" si="83"/>
        <v>21.46497307544541</v>
      </c>
      <c r="FB6" s="78">
        <f t="shared" si="84"/>
        <v>3.4737511657053082</v>
      </c>
      <c r="FC6" s="78">
        <f t="shared" si="85"/>
        <v>3.4737511657053082</v>
      </c>
      <c r="FD6" s="78">
        <f t="shared" si="86"/>
        <v>28.787323912907869</v>
      </c>
      <c r="FE6" s="72">
        <f t="shared" si="87"/>
        <v>492.39234105424379</v>
      </c>
    </row>
    <row r="7" spans="1:161" s="67" customFormat="1" x14ac:dyDescent="0.2">
      <c r="A7" s="68">
        <v>1965</v>
      </c>
      <c r="B7" s="72">
        <v>48561.8</v>
      </c>
      <c r="C7" s="72">
        <v>48953.792000000001</v>
      </c>
      <c r="D7" s="72">
        <v>48757.796000000002</v>
      </c>
      <c r="E7" s="72">
        <v>48757.796000000002</v>
      </c>
      <c r="F7" s="117">
        <v>67.070999999999998</v>
      </c>
      <c r="G7" s="72">
        <f t="shared" si="50"/>
        <v>32702.341355159999</v>
      </c>
      <c r="H7" s="72">
        <v>15246.708337191307</v>
      </c>
      <c r="I7" s="73">
        <v>47.5</v>
      </c>
      <c r="J7" s="73"/>
      <c r="K7" s="67">
        <f t="shared" si="51"/>
        <v>730</v>
      </c>
      <c r="L7" s="67">
        <v>7770</v>
      </c>
      <c r="M7" s="67">
        <f t="shared" si="52"/>
        <v>70</v>
      </c>
      <c r="N7" s="67">
        <v>150</v>
      </c>
      <c r="O7" s="67">
        <f t="shared" si="0"/>
        <v>7920</v>
      </c>
      <c r="P7" s="74">
        <f t="shared" si="53"/>
        <v>0.98106060606060608</v>
      </c>
      <c r="Q7" s="74">
        <f t="shared" si="54"/>
        <v>1.893939393939394E-2</v>
      </c>
      <c r="R7" s="77">
        <f t="shared" si="55"/>
        <v>10.369318181818187</v>
      </c>
      <c r="S7" s="77">
        <f t="shared" si="56"/>
        <v>87.5</v>
      </c>
      <c r="T7" s="77">
        <f t="shared" si="57"/>
        <v>10.648348040245104</v>
      </c>
      <c r="U7" s="67">
        <f t="shared" si="58"/>
        <v>800</v>
      </c>
      <c r="V7" s="75">
        <f t="shared" si="1"/>
        <v>0.1617852198252589</v>
      </c>
      <c r="W7" s="77">
        <f t="shared" si="88"/>
        <v>9.8443861233031615</v>
      </c>
      <c r="X7" s="74">
        <f t="shared" si="59"/>
        <v>0.51945638526322024</v>
      </c>
      <c r="Y7" s="77">
        <f t="shared" si="88"/>
        <v>9.660823406019869</v>
      </c>
      <c r="Z7" s="72">
        <f t="shared" si="2"/>
        <v>6274.6848000000009</v>
      </c>
      <c r="AA7" s="77">
        <f t="shared" si="89"/>
        <v>11.294131803277585</v>
      </c>
      <c r="AB7" s="74">
        <f t="shared" si="3"/>
        <v>0.12817566410381448</v>
      </c>
      <c r="AC7" s="77">
        <f t="shared" si="89"/>
        <v>10.402956522845152</v>
      </c>
      <c r="AD7" s="74">
        <f t="shared" si="60"/>
        <v>0.41154357132248393</v>
      </c>
      <c r="AE7" s="77">
        <f t="shared" si="61"/>
        <v>10.200483745010235</v>
      </c>
      <c r="AF7" s="72">
        <v>8274</v>
      </c>
      <c r="AG7" s="72">
        <v>46</v>
      </c>
      <c r="AH7" s="72">
        <f t="shared" si="4"/>
        <v>8320</v>
      </c>
      <c r="AI7" s="72">
        <v>8954</v>
      </c>
      <c r="AJ7" s="72">
        <v>56</v>
      </c>
      <c r="AK7" s="72">
        <v>9010</v>
      </c>
      <c r="AL7" s="72">
        <f t="shared" si="5"/>
        <v>8614</v>
      </c>
      <c r="AM7" s="72">
        <f t="shared" si="6"/>
        <v>51</v>
      </c>
      <c r="AN7" s="72">
        <f t="shared" si="7"/>
        <v>8665</v>
      </c>
      <c r="AO7" s="74">
        <f t="shared" si="8"/>
        <v>0.1840511149779776</v>
      </c>
      <c r="AP7" s="74">
        <f t="shared" si="9"/>
        <v>0.17771516989816355</v>
      </c>
      <c r="AQ7" s="74">
        <f t="shared" si="62"/>
        <v>0.56831939120022779</v>
      </c>
      <c r="AR7" s="67">
        <v>1057642</v>
      </c>
      <c r="AS7" s="72">
        <v>41690.182999999997</v>
      </c>
      <c r="AT7" s="77">
        <f t="shared" si="63"/>
        <v>6.6203150372243558</v>
      </c>
      <c r="AU7" s="72">
        <v>320560.47100000002</v>
      </c>
      <c r="AV7" s="72">
        <f t="shared" si="10"/>
        <v>320.56047100000001</v>
      </c>
      <c r="AW7" s="78">
        <f t="shared" si="11"/>
        <v>6.5482255388918595</v>
      </c>
      <c r="AX7" s="74">
        <f t="shared" si="64"/>
        <v>2.9949929979469214E-2</v>
      </c>
      <c r="AY7" s="78">
        <f t="shared" si="65"/>
        <v>21.024896909587799</v>
      </c>
      <c r="AZ7" s="74">
        <f t="shared" si="66"/>
        <v>2.8114302806636182E-2</v>
      </c>
      <c r="BA7" s="79">
        <f t="shared" si="67"/>
        <v>0.18962745185700647</v>
      </c>
      <c r="BB7" s="80">
        <v>51445.7</v>
      </c>
      <c r="BC7" s="81">
        <f t="shared" si="12"/>
        <v>395584.00615148019</v>
      </c>
      <c r="BD7" s="82">
        <f t="shared" si="68"/>
        <v>4.67480244056242</v>
      </c>
      <c r="BE7" s="81">
        <f t="shared" si="13"/>
        <v>8080.7633073956804</v>
      </c>
      <c r="BF7" s="81">
        <f t="shared" si="14"/>
        <v>25945.535088812045</v>
      </c>
      <c r="BG7" s="80">
        <v>76.628754999999998</v>
      </c>
      <c r="BH7" s="83">
        <f t="shared" si="90"/>
        <v>8.0016879713311617</v>
      </c>
      <c r="BI7" s="130">
        <f t="shared" si="15"/>
        <v>601.89516384694218</v>
      </c>
      <c r="BJ7" s="83">
        <f t="shared" si="91"/>
        <v>4.8374055597066201</v>
      </c>
      <c r="BK7" s="83">
        <f t="shared" si="16"/>
        <v>12.295169368022442</v>
      </c>
      <c r="BL7" s="83">
        <f t="shared" si="17"/>
        <v>39.477056328200284</v>
      </c>
      <c r="BM7" s="81">
        <v>1156.077</v>
      </c>
      <c r="BN7" s="81">
        <f t="shared" si="18"/>
        <v>1093.0702449411049</v>
      </c>
      <c r="BO7" s="82">
        <v>17.631</v>
      </c>
      <c r="BP7" s="82">
        <f t="shared" si="19"/>
        <v>135.57093425605535</v>
      </c>
      <c r="BQ7" s="81">
        <f t="shared" si="20"/>
        <v>6199.7064542062553</v>
      </c>
      <c r="BR7" s="82">
        <v>10.865</v>
      </c>
      <c r="BS7" s="82">
        <f t="shared" si="21"/>
        <v>83.544790465205679</v>
      </c>
      <c r="BT7" s="82">
        <v>8.7260000000000009</v>
      </c>
      <c r="BU7" s="82">
        <f t="shared" si="22"/>
        <v>67.097270280661292</v>
      </c>
      <c r="BV7" s="82">
        <v>8.5869999999999997</v>
      </c>
      <c r="BW7" s="82">
        <f t="shared" si="23"/>
        <v>66.028450595924639</v>
      </c>
      <c r="BX7" s="82">
        <f t="shared" si="24"/>
        <v>89.615946566478797</v>
      </c>
      <c r="BY7" s="84">
        <v>13.005000000000001</v>
      </c>
      <c r="BZ7" s="83">
        <v>12.731246170884033</v>
      </c>
      <c r="CA7" s="78">
        <v>0.15025026110142828</v>
      </c>
      <c r="CB7" s="78">
        <v>9.8634514152604533E-2</v>
      </c>
      <c r="CC7" s="86">
        <f t="shared" si="25"/>
        <v>0.14927269013648842</v>
      </c>
      <c r="CD7" s="86">
        <f t="shared" si="92"/>
        <v>-7.1625562452983793E-3</v>
      </c>
      <c r="CE7" s="86">
        <f t="shared" si="69"/>
        <v>-3.5814514485639881E-2</v>
      </c>
      <c r="CF7" s="86">
        <f t="shared" si="26"/>
        <v>1.1553268827483911</v>
      </c>
      <c r="CG7" s="86">
        <f t="shared" si="70"/>
        <v>-3.3689927947537779E-2</v>
      </c>
      <c r="CH7" s="86">
        <f t="shared" si="27"/>
        <v>0.75843532604847774</v>
      </c>
      <c r="CI7" s="86">
        <f t="shared" si="93"/>
        <v>-3.8848072577086334E-2</v>
      </c>
      <c r="CJ7" s="86">
        <f t="shared" si="28"/>
        <v>1.1478099972048321</v>
      </c>
      <c r="CK7" s="86">
        <f t="shared" si="94"/>
        <v>-3.2737376980233046E-2</v>
      </c>
      <c r="CL7" s="87">
        <v>188.25</v>
      </c>
      <c r="CM7" s="77">
        <f t="shared" si="71"/>
        <v>12.384868421052632</v>
      </c>
      <c r="CN7" s="77">
        <f t="shared" si="29"/>
        <v>95.231591088447757</v>
      </c>
      <c r="CO7" s="77">
        <f t="shared" si="72"/>
        <v>129.25139241340671</v>
      </c>
      <c r="CP7" s="74">
        <v>8.6148819964018408E-2</v>
      </c>
      <c r="CQ7" s="74">
        <f t="shared" si="73"/>
        <v>0.19107515384958784</v>
      </c>
      <c r="CR7" s="139">
        <f t="shared" si="30"/>
        <v>2.5732961351496931E-2</v>
      </c>
      <c r="CS7" s="74">
        <v>0.21055042618737829</v>
      </c>
      <c r="CT7" s="77">
        <f t="shared" si="74"/>
        <v>2.5732961351496932</v>
      </c>
      <c r="CU7" s="77">
        <f t="shared" si="31"/>
        <v>19.78697527988999</v>
      </c>
      <c r="CV7" s="78">
        <f t="shared" si="32"/>
        <v>372.36289555312288</v>
      </c>
      <c r="CW7" s="74">
        <f t="shared" si="75"/>
        <v>-0.2655831654961851</v>
      </c>
      <c r="CX7" s="88">
        <f t="shared" si="76"/>
        <v>26.855522178560769</v>
      </c>
      <c r="CY7" s="77">
        <f t="shared" si="33"/>
        <v>73.679354094579011</v>
      </c>
      <c r="CZ7" s="89">
        <v>9.5820000000000007</v>
      </c>
      <c r="DA7" s="74">
        <f t="shared" si="77"/>
        <v>-6.5533078967616731E-3</v>
      </c>
      <c r="DB7" s="125">
        <v>8.0239999999999991</v>
      </c>
      <c r="DC7" s="125">
        <v>9.5619999999999994</v>
      </c>
      <c r="DD7" s="74">
        <f t="shared" si="78"/>
        <v>1.1724908004518089</v>
      </c>
      <c r="DE7" s="74">
        <f t="shared" si="79"/>
        <v>1.1719796299986944</v>
      </c>
      <c r="DF7" s="75">
        <f t="shared" si="34"/>
        <v>1.1478099972048321</v>
      </c>
      <c r="DG7" s="75">
        <f t="shared" si="35"/>
        <v>1.1473095868339072</v>
      </c>
      <c r="DH7" s="74">
        <f t="shared" si="80"/>
        <v>-3.8848072577086334E-2</v>
      </c>
      <c r="DI7" s="75">
        <f t="shared" si="95"/>
        <v>-4.4102931259361933E-2</v>
      </c>
      <c r="DJ7" s="77">
        <f t="shared" si="96"/>
        <v>-3.3285235065614147</v>
      </c>
      <c r="DK7" s="75">
        <f t="shared" si="36"/>
        <v>1.1473095868339072</v>
      </c>
      <c r="DL7" s="77">
        <f t="shared" si="97"/>
        <v>8.6708620028716457</v>
      </c>
      <c r="DM7" s="72">
        <v>14552.412646404309</v>
      </c>
      <c r="DN7" s="72">
        <v>20141.955433713902</v>
      </c>
      <c r="DO7" s="72"/>
      <c r="DP7" s="72"/>
      <c r="DQ7" s="72"/>
      <c r="DR7" s="72">
        <v>14552.412646404309</v>
      </c>
      <c r="DS7" s="72">
        <v>20141.955433713902</v>
      </c>
      <c r="DT7" s="72"/>
      <c r="DU7" s="72"/>
      <c r="DV7" s="72"/>
      <c r="DW7" s="72"/>
      <c r="DX7" s="67">
        <v>8.52</v>
      </c>
      <c r="DY7" s="67">
        <v>8.64</v>
      </c>
      <c r="EB7" s="72">
        <v>10030.039290843601</v>
      </c>
      <c r="EC7" s="78">
        <v>9.4907213154397638</v>
      </c>
      <c r="ED7" s="72">
        <f t="shared" si="37"/>
        <v>9010</v>
      </c>
      <c r="EE7" s="72">
        <f t="shared" si="38"/>
        <v>8576.8269230769238</v>
      </c>
      <c r="EF7" s="72">
        <f t="shared" si="39"/>
        <v>90370654010.500839</v>
      </c>
      <c r="EG7" s="74">
        <f t="shared" si="81"/>
        <v>0.14927269013648842</v>
      </c>
      <c r="EH7" s="74">
        <f t="shared" si="40"/>
        <v>1.4167055020914057</v>
      </c>
      <c r="EI7" s="75">
        <f t="shared" si="41"/>
        <v>1.1478099972048321</v>
      </c>
      <c r="EJ7" s="75">
        <f t="shared" si="42"/>
        <v>1.4167055020914057</v>
      </c>
      <c r="EK7" s="78">
        <f t="shared" si="43"/>
        <v>10.893544806546757</v>
      </c>
      <c r="EL7" s="72">
        <f t="shared" si="44"/>
        <v>1846.0399147526884</v>
      </c>
      <c r="EM7" s="72">
        <f t="shared" si="45"/>
        <v>5927.2238972434225</v>
      </c>
      <c r="EN7" s="72">
        <f t="shared" si="46"/>
        <v>336.39639824325474</v>
      </c>
      <c r="EO7" s="72">
        <f t="shared" si="47"/>
        <v>243.04388995946454</v>
      </c>
      <c r="EP7" s="75">
        <f t="shared" si="48"/>
        <v>8.7639069194737892E-2</v>
      </c>
      <c r="EQ7" s="77">
        <f t="shared" si="82"/>
        <v>11.410436112436974</v>
      </c>
      <c r="ER7" s="60"/>
      <c r="ES7" s="60"/>
      <c r="ET7" s="60"/>
      <c r="EX7" s="78"/>
      <c r="EY7" s="132">
        <f t="shared" si="49"/>
        <v>0.43821165628696113</v>
      </c>
      <c r="EZ7" s="78">
        <v>0.30104869678957602</v>
      </c>
      <c r="FA7" s="72">
        <f t="shared" si="83"/>
        <v>20.438437179143104</v>
      </c>
      <c r="FB7" s="78">
        <f t="shared" si="84"/>
        <v>3.2329251898395004</v>
      </c>
      <c r="FC7" s="78">
        <f t="shared" si="85"/>
        <v>3.2329251898395004</v>
      </c>
      <c r="FD7" s="78">
        <f t="shared" si="86"/>
        <v>30.931739563378063</v>
      </c>
      <c r="FE7" s="72">
        <f t="shared" si="87"/>
        <v>472.00376553907489</v>
      </c>
    </row>
    <row r="8" spans="1:161" s="67" customFormat="1" x14ac:dyDescent="0.2">
      <c r="A8" s="68">
        <v>1966</v>
      </c>
      <c r="B8" s="72">
        <v>48953.792000000001</v>
      </c>
      <c r="C8" s="72">
        <v>49373.536999999997</v>
      </c>
      <c r="D8" s="72">
        <v>49163.665000000001</v>
      </c>
      <c r="E8" s="72">
        <v>49163.664499999999</v>
      </c>
      <c r="F8" s="117">
        <v>68.224999999999994</v>
      </c>
      <c r="G8" s="72">
        <f t="shared" si="50"/>
        <v>33541.910105124996</v>
      </c>
      <c r="H8" s="72">
        <v>15399.021116766915</v>
      </c>
      <c r="I8" s="73">
        <v>50.6</v>
      </c>
      <c r="J8" s="73"/>
      <c r="K8" s="67">
        <f t="shared" si="51"/>
        <v>820</v>
      </c>
      <c r="L8" s="67">
        <v>8590</v>
      </c>
      <c r="M8" s="67">
        <f t="shared" si="52"/>
        <v>20</v>
      </c>
      <c r="N8" s="67">
        <v>170</v>
      </c>
      <c r="O8" s="67">
        <f t="shared" si="0"/>
        <v>8760</v>
      </c>
      <c r="P8" s="74">
        <f t="shared" si="53"/>
        <v>0.98059360730593603</v>
      </c>
      <c r="Q8" s="74">
        <f t="shared" si="54"/>
        <v>1.9406392694063926E-2</v>
      </c>
      <c r="R8" s="77">
        <f t="shared" si="55"/>
        <v>10.553410553410547</v>
      </c>
      <c r="S8" s="77">
        <f t="shared" si="56"/>
        <v>13.33333333333333</v>
      </c>
      <c r="T8" s="77">
        <f t="shared" si="57"/>
        <v>10.080469912196577</v>
      </c>
      <c r="U8" s="67">
        <f t="shared" si="58"/>
        <v>840</v>
      </c>
      <c r="V8" s="75">
        <f t="shared" si="1"/>
        <v>0.17742297862921996</v>
      </c>
      <c r="W8" s="77">
        <f t="shared" si="88"/>
        <v>9.2266939498396603</v>
      </c>
      <c r="X8" s="74">
        <f t="shared" si="59"/>
        <v>0.5688673282265877</v>
      </c>
      <c r="Y8" s="77">
        <f t="shared" si="88"/>
        <v>9.0864388582559634</v>
      </c>
      <c r="Z8" s="72">
        <f t="shared" si="2"/>
        <v>6940.4016000000001</v>
      </c>
      <c r="AA8" s="77">
        <f t="shared" si="89"/>
        <v>10.60956559921542</v>
      </c>
      <c r="AB8" s="74">
        <f t="shared" si="3"/>
        <v>0.14056926081678128</v>
      </c>
      <c r="AC8" s="77">
        <f t="shared" si="89"/>
        <v>9.6692276179109591</v>
      </c>
      <c r="AD8" s="74">
        <f t="shared" si="60"/>
        <v>0.45070407705611126</v>
      </c>
      <c r="AE8" s="77">
        <f t="shared" si="61"/>
        <v>9.5155187597235837</v>
      </c>
      <c r="AF8" s="72">
        <v>8954</v>
      </c>
      <c r="AG8" s="72">
        <v>56</v>
      </c>
      <c r="AH8" s="72">
        <f t="shared" si="4"/>
        <v>9010</v>
      </c>
      <c r="AI8" s="72">
        <v>9743</v>
      </c>
      <c r="AJ8" s="72">
        <v>67</v>
      </c>
      <c r="AK8" s="72">
        <v>9810</v>
      </c>
      <c r="AL8" s="72">
        <f t="shared" si="5"/>
        <v>9348.5</v>
      </c>
      <c r="AM8" s="72">
        <f t="shared" si="6"/>
        <v>61.5</v>
      </c>
      <c r="AN8" s="72">
        <f t="shared" si="7"/>
        <v>9410</v>
      </c>
      <c r="AO8" s="74">
        <f t="shared" si="8"/>
        <v>0.19868943154710592</v>
      </c>
      <c r="AP8" s="74">
        <f t="shared" si="9"/>
        <v>0.19140151573321476</v>
      </c>
      <c r="AQ8" s="74">
        <f t="shared" si="62"/>
        <v>0.61107780349454233</v>
      </c>
      <c r="AR8" s="67">
        <v>1209891</v>
      </c>
      <c r="AS8" s="72">
        <v>45008.733999999997</v>
      </c>
      <c r="AT8" s="77">
        <f t="shared" si="63"/>
        <v>7.9600298228482247</v>
      </c>
      <c r="AU8" s="72">
        <v>335955.09899999999</v>
      </c>
      <c r="AV8" s="72">
        <f t="shared" si="10"/>
        <v>335.95509899999996</v>
      </c>
      <c r="AW8" s="78">
        <f t="shared" si="11"/>
        <v>6.8043555194354415</v>
      </c>
      <c r="AX8" s="74">
        <f t="shared" si="64"/>
        <v>3.836882185072632E-2</v>
      </c>
      <c r="AY8" s="78">
        <f t="shared" si="65"/>
        <v>21.816652919204198</v>
      </c>
      <c r="AZ8" s="74">
        <f t="shared" si="66"/>
        <v>3.6966270934889689E-2</v>
      </c>
      <c r="BA8" s="79">
        <f t="shared" si="67"/>
        <v>0.19012187200290787</v>
      </c>
      <c r="BB8" s="80">
        <v>55574.7</v>
      </c>
      <c r="BC8" s="81">
        <f t="shared" si="12"/>
        <v>414829.43942673731</v>
      </c>
      <c r="BD8" s="82">
        <f t="shared" si="68"/>
        <v>4.865068601354805</v>
      </c>
      <c r="BE8" s="81">
        <f t="shared" si="13"/>
        <v>8401.8578500206968</v>
      </c>
      <c r="BF8" s="81">
        <f t="shared" si="14"/>
        <v>26938.688912833466</v>
      </c>
      <c r="BG8" s="80">
        <v>83.045298000000003</v>
      </c>
      <c r="BH8" s="83">
        <f t="shared" si="90"/>
        <v>8.3735446308634387</v>
      </c>
      <c r="BI8" s="130">
        <f t="shared" si="15"/>
        <v>633.41538540370868</v>
      </c>
      <c r="BJ8" s="83">
        <f t="shared" si="91"/>
        <v>5.2368291772455278</v>
      </c>
      <c r="BK8" s="83">
        <f t="shared" si="16"/>
        <v>12.829046163002435</v>
      </c>
      <c r="BL8" s="83">
        <f t="shared" si="17"/>
        <v>41.133483784500243</v>
      </c>
      <c r="BM8" s="81">
        <v>1300.306</v>
      </c>
      <c r="BN8" s="81">
        <f t="shared" si="18"/>
        <v>1074.7298723604026</v>
      </c>
      <c r="BO8" s="82">
        <v>17.597000000000001</v>
      </c>
      <c r="BP8" s="82">
        <f t="shared" si="19"/>
        <v>131.35030230648653</v>
      </c>
      <c r="BQ8" s="81">
        <f t="shared" si="20"/>
        <v>6107.4607737705437</v>
      </c>
      <c r="BR8" s="82">
        <v>11.051</v>
      </c>
      <c r="BS8" s="82">
        <f t="shared" si="21"/>
        <v>82.488616854519663</v>
      </c>
      <c r="BT8" s="82">
        <v>9.0190000000000001</v>
      </c>
      <c r="BU8" s="82">
        <f t="shared" si="22"/>
        <v>67.321042024333806</v>
      </c>
      <c r="BV8" s="82">
        <v>9.3699999999999992</v>
      </c>
      <c r="BW8" s="82">
        <f t="shared" si="23"/>
        <v>69.941031574233023</v>
      </c>
      <c r="BX8" s="82">
        <f t="shared" si="24"/>
        <v>97.66520742130497</v>
      </c>
      <c r="BY8" s="84">
        <v>13.397</v>
      </c>
      <c r="BZ8" s="83">
        <v>13.110716902948434</v>
      </c>
      <c r="CA8" s="78">
        <v>0.15101941491740428</v>
      </c>
      <c r="CB8" s="78">
        <v>9.8329616118129723E-2</v>
      </c>
      <c r="CC8" s="86">
        <f t="shared" si="25"/>
        <v>0.14999689599093433</v>
      </c>
      <c r="CD8" s="86">
        <f t="shared" si="92"/>
        <v>4.8515629602690069E-3</v>
      </c>
      <c r="CE8" s="86">
        <f t="shared" si="69"/>
        <v>-2.8063951365213669E-2</v>
      </c>
      <c r="CF8" s="86">
        <f t="shared" si="26"/>
        <v>1.1272629313831775</v>
      </c>
      <c r="CG8" s="86">
        <f t="shared" si="70"/>
        <v>-2.4467899623683231E-2</v>
      </c>
      <c r="CH8" s="86">
        <f t="shared" si="27"/>
        <v>0.73396742642479451</v>
      </c>
      <c r="CI8" s="86">
        <f t="shared" si="93"/>
        <v>-2.8179512835687204E-2</v>
      </c>
      <c r="CJ8" s="86">
        <f t="shared" si="28"/>
        <v>1.1196304843691449</v>
      </c>
      <c r="CK8" s="86">
        <f t="shared" si="94"/>
        <v>-2.455067729355076E-2</v>
      </c>
      <c r="CL8" s="87">
        <v>193</v>
      </c>
      <c r="CM8" s="77">
        <f t="shared" si="71"/>
        <v>12.697368421052632</v>
      </c>
      <c r="CN8" s="77">
        <f t="shared" si="29"/>
        <v>94.777699642103684</v>
      </c>
      <c r="CO8" s="77">
        <f t="shared" si="72"/>
        <v>132.3469712429918</v>
      </c>
      <c r="CP8" s="74">
        <v>9.502144520833436E-2</v>
      </c>
      <c r="CQ8" s="74">
        <f t="shared" si="73"/>
        <v>9.8026339737998125E-2</v>
      </c>
      <c r="CR8" s="139">
        <f t="shared" si="30"/>
        <v>3.2596079857539741E-2</v>
      </c>
      <c r="CS8" s="74">
        <v>0.10299183724190009</v>
      </c>
      <c r="CT8" s="77">
        <f t="shared" si="74"/>
        <v>3.2596079857539739</v>
      </c>
      <c r="CU8" s="77">
        <f t="shared" si="31"/>
        <v>24.330879941434453</v>
      </c>
      <c r="CV8" s="78">
        <f t="shared" si="32"/>
        <v>294.32987162659776</v>
      </c>
      <c r="CW8" s="74">
        <f t="shared" si="75"/>
        <v>-0.23516775374898469</v>
      </c>
      <c r="CX8" s="88">
        <f t="shared" si="76"/>
        <v>33.975484529434794</v>
      </c>
      <c r="CY8" s="77">
        <f t="shared" si="33"/>
        <v>71.613047697245648</v>
      </c>
      <c r="CZ8" s="89">
        <v>9.5939999999999994</v>
      </c>
      <c r="DA8" s="74">
        <f t="shared" si="77"/>
        <v>1.2515646189412699E-3</v>
      </c>
      <c r="DB8" s="125">
        <v>8.0280000000000005</v>
      </c>
      <c r="DC8" s="125">
        <v>9.5640000000000001</v>
      </c>
      <c r="DD8" s="74">
        <f t="shared" si="78"/>
        <v>1.1440785206581796</v>
      </c>
      <c r="DE8" s="74">
        <f t="shared" si="79"/>
        <v>1.1435595859268581</v>
      </c>
      <c r="DF8" s="75">
        <f t="shared" si="34"/>
        <v>1.1196304843691449</v>
      </c>
      <c r="DG8" s="75">
        <f t="shared" si="35"/>
        <v>1.1191226388549653</v>
      </c>
      <c r="DH8" s="74">
        <f t="shared" si="80"/>
        <v>-2.8179512835687204E-2</v>
      </c>
      <c r="DI8" s="75">
        <f t="shared" si="95"/>
        <v>-2.8412279793629258E-2</v>
      </c>
      <c r="DJ8" s="77">
        <f t="shared" si="96"/>
        <v>-2.4857070338695193</v>
      </c>
      <c r="DK8" s="75">
        <f t="shared" si="36"/>
        <v>1.1191226388549653</v>
      </c>
      <c r="DL8" s="77">
        <f t="shared" si="97"/>
        <v>8.7543213418382919</v>
      </c>
      <c r="DM8" s="72">
        <v>14787.759781638877</v>
      </c>
      <c r="DN8" s="72">
        <v>20348.272348694096</v>
      </c>
      <c r="DO8" s="72"/>
      <c r="DP8" s="72"/>
      <c r="DQ8" s="72"/>
      <c r="DR8" s="72">
        <v>14787.759781638877</v>
      </c>
      <c r="DS8" s="72">
        <v>20348.272348694096</v>
      </c>
      <c r="DT8" s="72"/>
      <c r="DU8" s="72"/>
      <c r="DV8" s="72"/>
      <c r="DW8" s="72"/>
      <c r="DX8" s="67">
        <v>8.52</v>
      </c>
      <c r="DY8" s="67">
        <v>8.64</v>
      </c>
      <c r="EB8" s="72">
        <v>10330.940469568908</v>
      </c>
      <c r="EC8" s="78">
        <v>9.4110798046717647</v>
      </c>
      <c r="ED8" s="72">
        <f t="shared" si="37"/>
        <v>9810</v>
      </c>
      <c r="EE8" s="72">
        <f t="shared" si="38"/>
        <v>9537.8024417314082</v>
      </c>
      <c r="EF8" s="72">
        <f t="shared" si="39"/>
        <v>101346526006.47099</v>
      </c>
      <c r="EG8" s="74">
        <f t="shared" si="81"/>
        <v>0.14999689599093433</v>
      </c>
      <c r="EH8" s="74">
        <f t="shared" si="40"/>
        <v>1.4116327586237332</v>
      </c>
      <c r="EI8" s="75">
        <f t="shared" si="41"/>
        <v>1.1196304843691449</v>
      </c>
      <c r="EJ8" s="75">
        <f t="shared" si="42"/>
        <v>1.4116327586237336</v>
      </c>
      <c r="EK8" s="78">
        <f t="shared" si="43"/>
        <v>10.536931840141326</v>
      </c>
      <c r="EL8" s="72">
        <f t="shared" si="44"/>
        <v>2052.6486892456378</v>
      </c>
      <c r="EM8" s="72">
        <f t="shared" si="45"/>
        <v>6581.3615838296282</v>
      </c>
      <c r="EN8" s="72">
        <f t="shared" si="46"/>
        <v>333.88111336041794</v>
      </c>
      <c r="EO8" s="72">
        <f t="shared" si="47"/>
        <v>242.64240302036586</v>
      </c>
      <c r="EP8" s="75">
        <f t="shared" si="48"/>
        <v>8.6436115229452187E-2</v>
      </c>
      <c r="EQ8" s="77">
        <f t="shared" si="82"/>
        <v>11.56923812859258</v>
      </c>
      <c r="ER8" s="60"/>
      <c r="ES8" s="60"/>
      <c r="ET8" s="60"/>
      <c r="EX8" s="78"/>
      <c r="EY8" s="132">
        <f t="shared" si="49"/>
        <v>0.45611218729450576</v>
      </c>
      <c r="EZ8" s="78">
        <v>0.31334625084672729</v>
      </c>
      <c r="FA8" s="72">
        <f t="shared" si="83"/>
        <v>19.73157922580349</v>
      </c>
      <c r="FB8" s="78">
        <f t="shared" si="84"/>
        <v>3.0949244461040024</v>
      </c>
      <c r="FC8" s="78">
        <f t="shared" si="85"/>
        <v>3.0949244461040024</v>
      </c>
      <c r="FD8" s="78">
        <f t="shared" si="86"/>
        <v>32.310966468303761</v>
      </c>
      <c r="FE8" s="72">
        <f t="shared" si="87"/>
        <v>465.41147228752425</v>
      </c>
    </row>
    <row r="9" spans="1:161" s="67" customFormat="1" x14ac:dyDescent="0.2">
      <c r="A9" s="68">
        <v>1967</v>
      </c>
      <c r="B9" s="72">
        <v>49373.536999999997</v>
      </c>
      <c r="C9" s="72">
        <v>49723.072</v>
      </c>
      <c r="D9" s="72">
        <v>49548.305</v>
      </c>
      <c r="E9" s="72">
        <v>49548.304499999998</v>
      </c>
      <c r="F9" s="117">
        <v>69.356999999999999</v>
      </c>
      <c r="G9" s="72">
        <f t="shared" si="50"/>
        <v>34365.217552064998</v>
      </c>
      <c r="H9" s="72">
        <v>15573.235080333792</v>
      </c>
      <c r="I9" s="73">
        <v>52.7</v>
      </c>
      <c r="J9" s="73"/>
      <c r="K9" s="67">
        <f t="shared" si="51"/>
        <v>860</v>
      </c>
      <c r="L9" s="67">
        <v>9450</v>
      </c>
      <c r="M9" s="67">
        <f t="shared" si="52"/>
        <v>20</v>
      </c>
      <c r="N9" s="67">
        <v>190</v>
      </c>
      <c r="O9" s="67">
        <f t="shared" si="0"/>
        <v>9640</v>
      </c>
      <c r="P9" s="74">
        <f t="shared" si="53"/>
        <v>0.98029045643153523</v>
      </c>
      <c r="Q9" s="74">
        <f t="shared" si="54"/>
        <v>1.970954356846473E-2</v>
      </c>
      <c r="R9" s="77">
        <f t="shared" si="55"/>
        <v>10.011641443538988</v>
      </c>
      <c r="S9" s="77">
        <f t="shared" si="56"/>
        <v>11.764705882352944</v>
      </c>
      <c r="T9" s="77">
        <f t="shared" si="57"/>
        <v>9.5725203674152937</v>
      </c>
      <c r="U9" s="67">
        <f t="shared" si="58"/>
        <v>880</v>
      </c>
      <c r="V9" s="75">
        <f t="shared" si="1"/>
        <v>0.19387378157166155</v>
      </c>
      <c r="W9" s="77">
        <f t="shared" si="88"/>
        <v>8.8670745341261856</v>
      </c>
      <c r="X9" s="74">
        <f t="shared" si="59"/>
        <v>0.61901075468728994</v>
      </c>
      <c r="Y9" s="77">
        <f t="shared" si="88"/>
        <v>8.447540644911566</v>
      </c>
      <c r="Z9" s="72">
        <f t="shared" si="2"/>
        <v>7637.7680000000009</v>
      </c>
      <c r="AA9" s="77">
        <f t="shared" si="89"/>
        <v>10.047925756918751</v>
      </c>
      <c r="AB9" s="74">
        <f t="shared" si="3"/>
        <v>0.15360611669367494</v>
      </c>
      <c r="AC9" s="77">
        <f t="shared" si="89"/>
        <v>9.2743291108900117</v>
      </c>
      <c r="AD9" s="74">
        <f t="shared" si="60"/>
        <v>0.49044196408780438</v>
      </c>
      <c r="AE9" s="77">
        <f t="shared" si="61"/>
        <v>8.8168465861794054</v>
      </c>
      <c r="AF9" s="72">
        <v>9743</v>
      </c>
      <c r="AG9" s="72">
        <v>67</v>
      </c>
      <c r="AH9" s="72">
        <f t="shared" si="4"/>
        <v>9810</v>
      </c>
      <c r="AI9" s="72">
        <v>10486</v>
      </c>
      <c r="AJ9" s="72">
        <v>79</v>
      </c>
      <c r="AK9" s="72">
        <v>10565</v>
      </c>
      <c r="AL9" s="72">
        <f t="shared" si="5"/>
        <v>10114.5</v>
      </c>
      <c r="AM9" s="72">
        <f t="shared" si="6"/>
        <v>73</v>
      </c>
      <c r="AN9" s="72">
        <f t="shared" si="7"/>
        <v>10187.5</v>
      </c>
      <c r="AO9" s="74">
        <f t="shared" si="8"/>
        <v>0.21247681559176393</v>
      </c>
      <c r="AP9" s="74">
        <f t="shared" si="9"/>
        <v>0.20560743702534326</v>
      </c>
      <c r="AQ9" s="74">
        <f t="shared" si="62"/>
        <v>0.65416722649136583</v>
      </c>
      <c r="AR9" s="67">
        <v>1230793</v>
      </c>
      <c r="AS9" s="72">
        <v>48740.9</v>
      </c>
      <c r="AT9" s="77">
        <f t="shared" si="63"/>
        <v>8.2920928191404073</v>
      </c>
      <c r="AU9" s="72">
        <v>352732.46600000001</v>
      </c>
      <c r="AV9" s="72">
        <f t="shared" si="10"/>
        <v>352.73246599999999</v>
      </c>
      <c r="AW9" s="78">
        <f t="shared" si="11"/>
        <v>7.0939395297217356</v>
      </c>
      <c r="AX9" s="74">
        <f t="shared" si="64"/>
        <v>4.1677907468723685E-2</v>
      </c>
      <c r="AY9" s="78">
        <f t="shared" si="65"/>
        <v>22.649915973171044</v>
      </c>
      <c r="AZ9" s="74">
        <f t="shared" si="66"/>
        <v>3.7482568576577169E-2</v>
      </c>
      <c r="BA9" s="79">
        <f t="shared" si="67"/>
        <v>0.19506910486533258</v>
      </c>
      <c r="BB9" s="80">
        <v>60552.9</v>
      </c>
      <c r="BC9" s="81">
        <f t="shared" si="12"/>
        <v>438217.54233608337</v>
      </c>
      <c r="BD9" s="82">
        <f t="shared" si="68"/>
        <v>5.6380046077893153</v>
      </c>
      <c r="BE9" s="81">
        <f t="shared" si="13"/>
        <v>8813.1630792257438</v>
      </c>
      <c r="BF9" s="81">
        <f t="shared" si="14"/>
        <v>28139.146431397137</v>
      </c>
      <c r="BG9" s="80">
        <v>89.796665999999988</v>
      </c>
      <c r="BH9" s="83">
        <f t="shared" si="90"/>
        <v>8.1297414334041918</v>
      </c>
      <c r="BI9" s="130">
        <f t="shared" si="15"/>
        <v>664.56648133715487</v>
      </c>
      <c r="BJ9" s="83">
        <f t="shared" si="91"/>
        <v>4.9179569444136595</v>
      </c>
      <c r="BK9" s="83">
        <f t="shared" si="16"/>
        <v>13.365354444253864</v>
      </c>
      <c r="BL9" s="83">
        <f t="shared" si="17"/>
        <v>42.673630617467744</v>
      </c>
      <c r="BM9" s="81">
        <v>1350.635</v>
      </c>
      <c r="BN9" s="81">
        <f t="shared" si="18"/>
        <v>1097.3697445468085</v>
      </c>
      <c r="BO9" s="82">
        <v>17.587</v>
      </c>
      <c r="BP9" s="82">
        <f t="shared" si="19"/>
        <v>127.27601678969461</v>
      </c>
      <c r="BQ9" s="81">
        <f t="shared" si="20"/>
        <v>6239.6642096253399</v>
      </c>
      <c r="BR9" s="82">
        <v>11.334</v>
      </c>
      <c r="BS9" s="82">
        <f t="shared" si="21"/>
        <v>82.023447676943107</v>
      </c>
      <c r="BT9" s="82">
        <v>9.7140000000000004</v>
      </c>
      <c r="BU9" s="82">
        <f t="shared" si="22"/>
        <v>70.299609205384286</v>
      </c>
      <c r="BV9" s="82">
        <v>10.37</v>
      </c>
      <c r="BW9" s="82">
        <f t="shared" si="23"/>
        <v>75.047040092632798</v>
      </c>
      <c r="BX9" s="82">
        <f t="shared" si="24"/>
        <v>106.62142710261155</v>
      </c>
      <c r="BY9" s="84">
        <v>13.818</v>
      </c>
      <c r="BZ9" s="83">
        <v>13.512066666275846</v>
      </c>
      <c r="CA9" s="78">
        <v>0.15327938852670112</v>
      </c>
      <c r="CB9" s="78">
        <v>9.9091861204316775E-2</v>
      </c>
      <c r="CC9" s="86">
        <f t="shared" si="25"/>
        <v>0.15221137709607321</v>
      </c>
      <c r="CD9" s="86">
        <f t="shared" si="92"/>
        <v>1.476351287477784E-2</v>
      </c>
      <c r="CE9" s="86">
        <f t="shared" si="69"/>
        <v>-1.7989602922465986E-2</v>
      </c>
      <c r="CF9" s="86">
        <f t="shared" si="26"/>
        <v>1.1092733284607115</v>
      </c>
      <c r="CG9" s="86">
        <f t="shared" si="70"/>
        <v>-1.6845837162116961E-2</v>
      </c>
      <c r="CH9" s="86">
        <f t="shared" si="27"/>
        <v>0.71712158926267755</v>
      </c>
      <c r="CI9" s="86">
        <f t="shared" si="93"/>
        <v>-1.8086287697606229E-2</v>
      </c>
      <c r="CJ9" s="86">
        <f t="shared" si="28"/>
        <v>1.1015441966715387</v>
      </c>
      <c r="CK9" s="86">
        <f t="shared" si="94"/>
        <v>-1.6153800695947407E-2</v>
      </c>
      <c r="CL9" s="87">
        <v>196.25</v>
      </c>
      <c r="CM9" s="77">
        <f t="shared" si="71"/>
        <v>12.911184210526317</v>
      </c>
      <c r="CN9" s="77">
        <f t="shared" si="29"/>
        <v>93.43743096342682</v>
      </c>
      <c r="CO9" s="77">
        <f t="shared" si="72"/>
        <v>132.74916934532507</v>
      </c>
      <c r="CP9" s="74">
        <v>0.10048744551480535</v>
      </c>
      <c r="CQ9" s="74">
        <f t="shared" si="73"/>
        <v>5.593019428483581E-2</v>
      </c>
      <c r="CR9" s="139">
        <f t="shared" si="30"/>
        <v>3.6338665812487222E-2</v>
      </c>
      <c r="CS9" s="74">
        <v>5.7523859950633138E-2</v>
      </c>
      <c r="CT9" s="77">
        <f t="shared" si="74"/>
        <v>3.6338665812487223</v>
      </c>
      <c r="CU9" s="77">
        <f t="shared" si="31"/>
        <v>26.298064707256639</v>
      </c>
      <c r="CV9" s="78">
        <f t="shared" si="32"/>
        <v>267.64879179074899</v>
      </c>
      <c r="CW9" s="74">
        <f t="shared" si="75"/>
        <v>-9.5025507998252934E-2</v>
      </c>
      <c r="CX9" s="88">
        <f t="shared" si="76"/>
        <v>37.362395447755723</v>
      </c>
      <c r="CY9" s="77">
        <f t="shared" si="33"/>
        <v>70.386452453321766</v>
      </c>
      <c r="CZ9" s="89">
        <v>9.7260000000000009</v>
      </c>
      <c r="DA9" s="74">
        <f t="shared" si="77"/>
        <v>1.3664808901722392E-2</v>
      </c>
      <c r="DB9" s="125">
        <v>8.09</v>
      </c>
      <c r="DC9" s="125">
        <v>9.6929999999999996</v>
      </c>
      <c r="DD9" s="74">
        <f t="shared" si="78"/>
        <v>1.1264847995160554</v>
      </c>
      <c r="DE9" s="74">
        <f t="shared" si="79"/>
        <v>1.1259590501862846</v>
      </c>
      <c r="DF9" s="75">
        <f t="shared" si="34"/>
        <v>1.1015441966715387</v>
      </c>
      <c r="DG9" s="75">
        <f t="shared" si="35"/>
        <v>1.101030087538986</v>
      </c>
      <c r="DH9" s="74">
        <f t="shared" si="80"/>
        <v>-1.8086287697606229E-2</v>
      </c>
      <c r="DI9" s="75">
        <f t="shared" si="95"/>
        <v>-1.7593721142124208E-2</v>
      </c>
      <c r="DJ9" s="77">
        <f t="shared" si="96"/>
        <v>-1.6285695666510989</v>
      </c>
      <c r="DK9" s="75">
        <f t="shared" si="36"/>
        <v>1.101030087538986</v>
      </c>
      <c r="DL9" s="77">
        <f t="shared" si="97"/>
        <v>8.8383327198662442</v>
      </c>
      <c r="DM9" s="72">
        <v>15027.871395027341</v>
      </c>
      <c r="DN9" s="72">
        <v>20565.258124810935</v>
      </c>
      <c r="DO9" s="72"/>
      <c r="DP9" s="72"/>
      <c r="DQ9" s="72"/>
      <c r="DR9" s="72">
        <v>15027.871395027341</v>
      </c>
      <c r="DS9" s="72">
        <v>20565.258124810935</v>
      </c>
      <c r="DT9" s="72"/>
      <c r="DU9" s="72"/>
      <c r="DV9" s="72"/>
      <c r="DW9" s="72"/>
      <c r="DX9" s="67">
        <v>8.52</v>
      </c>
      <c r="DY9" s="67">
        <v>8.64</v>
      </c>
      <c r="EB9" s="72">
        <v>10640.868683655975</v>
      </c>
      <c r="EC9" s="78">
        <v>9.2348733299188623</v>
      </c>
      <c r="ED9" s="72">
        <f t="shared" si="37"/>
        <v>10565</v>
      </c>
      <c r="EE9" s="72">
        <f t="shared" si="38"/>
        <v>10381.916411824668</v>
      </c>
      <c r="EF9" s="72">
        <f t="shared" si="39"/>
        <v>112420777642.82538</v>
      </c>
      <c r="EG9" s="74">
        <f t="shared" si="81"/>
        <v>0.15221137709607321</v>
      </c>
      <c r="EH9" s="74">
        <f t="shared" si="40"/>
        <v>1.4056527868547493</v>
      </c>
      <c r="EI9" s="75">
        <f t="shared" si="41"/>
        <v>1.1015441966715387</v>
      </c>
      <c r="EJ9" s="75">
        <f t="shared" si="42"/>
        <v>1.4056527868547493</v>
      </c>
      <c r="EK9" s="78">
        <f t="shared" si="43"/>
        <v>10.172621123568891</v>
      </c>
      <c r="EL9" s="72">
        <f t="shared" si="44"/>
        <v>2260.9378930333464</v>
      </c>
      <c r="EM9" s="72">
        <f t="shared" si="45"/>
        <v>7218.8454783420493</v>
      </c>
      <c r="EN9" s="72">
        <f t="shared" si="46"/>
        <v>330.87235505923451</v>
      </c>
      <c r="EO9" s="72">
        <f t="shared" si="47"/>
        <v>241.78190080683527</v>
      </c>
      <c r="EP9" s="75">
        <f t="shared" si="48"/>
        <v>8.5749273418366342E-2</v>
      </c>
      <c r="EQ9" s="77">
        <f t="shared" si="82"/>
        <v>11.66190639448396</v>
      </c>
      <c r="ER9" s="60"/>
      <c r="ES9" s="60"/>
      <c r="ET9" s="60"/>
      <c r="EX9" s="78"/>
      <c r="EY9" s="132">
        <f t="shared" si="49"/>
        <v>0.47710092974653345</v>
      </c>
      <c r="EZ9" s="78">
        <v>0.32776538706043234</v>
      </c>
      <c r="FA9" s="72">
        <f t="shared" si="83"/>
        <v>19.142034853330212</v>
      </c>
      <c r="FB9" s="78">
        <f t="shared" si="84"/>
        <v>2.9462377857899416</v>
      </c>
      <c r="FC9" s="78">
        <f t="shared" si="85"/>
        <v>2.9462377857899416</v>
      </c>
      <c r="FD9" s="78">
        <f t="shared" si="86"/>
        <v>33.941591708012162</v>
      </c>
      <c r="FE9" s="72">
        <f t="shared" si="87"/>
        <v>456.34369308735637</v>
      </c>
    </row>
    <row r="10" spans="1:161" s="67" customFormat="1" x14ac:dyDescent="0.2">
      <c r="A10" s="68">
        <v>1968</v>
      </c>
      <c r="B10" s="72">
        <v>49723.072</v>
      </c>
      <c r="C10" s="72">
        <v>50107.735000000001</v>
      </c>
      <c r="D10" s="72">
        <v>49915.404000000002</v>
      </c>
      <c r="E10" s="72">
        <v>49915.4035</v>
      </c>
      <c r="F10" s="117">
        <v>70.238</v>
      </c>
      <c r="G10" s="72">
        <f t="shared" si="50"/>
        <v>35059.58111033</v>
      </c>
      <c r="H10" s="72">
        <v>15773.332261344887</v>
      </c>
      <c r="I10" s="73">
        <v>53.3</v>
      </c>
      <c r="J10" s="73"/>
      <c r="K10" s="67">
        <f t="shared" si="51"/>
        <v>1050</v>
      </c>
      <c r="L10" s="67">
        <v>10500</v>
      </c>
      <c r="M10" s="67">
        <f t="shared" si="52"/>
        <v>20</v>
      </c>
      <c r="N10" s="67">
        <v>210</v>
      </c>
      <c r="O10" s="67">
        <f t="shared" si="0"/>
        <v>10710</v>
      </c>
      <c r="P10" s="74">
        <f t="shared" si="53"/>
        <v>0.98039215686274506</v>
      </c>
      <c r="Q10" s="74">
        <f t="shared" si="54"/>
        <v>1.9607843137254902E-2</v>
      </c>
      <c r="R10" s="77">
        <f t="shared" si="55"/>
        <v>11.111111111111116</v>
      </c>
      <c r="S10" s="77">
        <f t="shared" si="56"/>
        <v>10.526315789473696</v>
      </c>
      <c r="T10" s="77">
        <f t="shared" si="57"/>
        <v>10.525677583720316</v>
      </c>
      <c r="U10" s="67">
        <f t="shared" si="58"/>
        <v>1070</v>
      </c>
      <c r="V10" s="75">
        <f t="shared" si="1"/>
        <v>0.21373945559502938</v>
      </c>
      <c r="W10" s="77">
        <f t="shared" si="88"/>
        <v>9.7550439181359536</v>
      </c>
      <c r="X10" s="74">
        <f t="shared" si="59"/>
        <v>0.67899412898608591</v>
      </c>
      <c r="Y10" s="77">
        <f t="shared" si="88"/>
        <v>9.2489834135254085</v>
      </c>
      <c r="Z10" s="72">
        <f t="shared" si="2"/>
        <v>8485.4700000000012</v>
      </c>
      <c r="AA10" s="77">
        <f t="shared" si="89"/>
        <v>11.098818398254572</v>
      </c>
      <c r="AB10" s="74">
        <f t="shared" si="3"/>
        <v>0.16934451337702655</v>
      </c>
      <c r="AC10" s="77">
        <f t="shared" si="89"/>
        <v>10.245943991109097</v>
      </c>
      <c r="AD10" s="74">
        <f t="shared" si="60"/>
        <v>0.53796305431256419</v>
      </c>
      <c r="AE10" s="77">
        <f t="shared" si="61"/>
        <v>9.6894421163870916</v>
      </c>
      <c r="AF10" s="72">
        <v>10486</v>
      </c>
      <c r="AG10" s="72">
        <v>79</v>
      </c>
      <c r="AH10" s="72">
        <f t="shared" si="4"/>
        <v>10565</v>
      </c>
      <c r="AI10" s="72">
        <v>11114</v>
      </c>
      <c r="AJ10" s="72">
        <v>96</v>
      </c>
      <c r="AK10" s="72">
        <v>11210</v>
      </c>
      <c r="AL10" s="72">
        <f t="shared" si="5"/>
        <v>10800</v>
      </c>
      <c r="AM10" s="72">
        <f t="shared" si="6"/>
        <v>87.5</v>
      </c>
      <c r="AN10" s="72">
        <f t="shared" si="7"/>
        <v>10887.5</v>
      </c>
      <c r="AO10" s="74">
        <f t="shared" si="8"/>
        <v>0.22371795492252844</v>
      </c>
      <c r="AP10" s="74">
        <f t="shared" si="9"/>
        <v>0.21811903996609944</v>
      </c>
      <c r="AQ10" s="74">
        <f t="shared" si="62"/>
        <v>0.69024729965789078</v>
      </c>
      <c r="AR10" s="67">
        <v>1239467</v>
      </c>
      <c r="AS10" s="72">
        <v>53403.601999999999</v>
      </c>
      <c r="AT10" s="77">
        <f t="shared" si="63"/>
        <v>9.5663026329017242</v>
      </c>
      <c r="AU10" s="72">
        <v>367942.29800000001</v>
      </c>
      <c r="AV10" s="72">
        <f t="shared" si="10"/>
        <v>367.94229799999999</v>
      </c>
      <c r="AW10" s="78">
        <f t="shared" si="11"/>
        <v>7.3430239463029015</v>
      </c>
      <c r="AX10" s="74">
        <f t="shared" si="64"/>
        <v>3.4509907399369544E-2</v>
      </c>
      <c r="AY10" s="78">
        <f t="shared" si="65"/>
        <v>23.326859024056848</v>
      </c>
      <c r="AZ10" s="74">
        <f t="shared" si="66"/>
        <v>2.9449302353263818E-2</v>
      </c>
      <c r="BA10" s="79">
        <f t="shared" si="67"/>
        <v>0.19671605376525247</v>
      </c>
      <c r="BB10" s="80">
        <v>66481.600000000006</v>
      </c>
      <c r="BC10" s="81">
        <f t="shared" si="12"/>
        <v>458051.53644756792</v>
      </c>
      <c r="BD10" s="82">
        <f t="shared" si="68"/>
        <v>4.5260611900089565</v>
      </c>
      <c r="BE10" s="81">
        <f t="shared" si="13"/>
        <v>9141.3338968039152</v>
      </c>
      <c r="BF10" s="81">
        <f t="shared" si="14"/>
        <v>29039.617555644701</v>
      </c>
      <c r="BG10" s="80">
        <v>97.965962000000005</v>
      </c>
      <c r="BH10" s="83">
        <f t="shared" si="90"/>
        <v>9.0975493455403011</v>
      </c>
      <c r="BI10" s="130">
        <f t="shared" si="15"/>
        <v>694.37550389069838</v>
      </c>
      <c r="BJ10" s="83">
        <f t="shared" si="91"/>
        <v>4.4854839042687944</v>
      </c>
      <c r="BK10" s="83">
        <f t="shared" si="16"/>
        <v>13.85765099721028</v>
      </c>
      <c r="BL10" s="83">
        <f t="shared" si="17"/>
        <v>44.02211862311291</v>
      </c>
      <c r="BM10" s="81">
        <v>1451.4549999999999</v>
      </c>
      <c r="BN10" s="81">
        <f t="shared" si="18"/>
        <v>1171.0315805100095</v>
      </c>
      <c r="BO10" s="82">
        <v>17.905999999999999</v>
      </c>
      <c r="BP10" s="82">
        <f t="shared" si="19"/>
        <v>123.37053879013366</v>
      </c>
      <c r="BQ10" s="81">
        <f t="shared" si="20"/>
        <v>6539.883728973582</v>
      </c>
      <c r="BR10" s="82">
        <v>11.968999999999999</v>
      </c>
      <c r="BS10" s="82">
        <f t="shared" si="21"/>
        <v>82.465206007992279</v>
      </c>
      <c r="BT10" s="82">
        <v>10.943</v>
      </c>
      <c r="BU10" s="82">
        <f t="shared" si="22"/>
        <v>75.396169215929447</v>
      </c>
      <c r="BV10" s="82">
        <v>11.278</v>
      </c>
      <c r="BW10" s="82">
        <f t="shared" si="23"/>
        <v>77.704285517431444</v>
      </c>
      <c r="BX10" s="82">
        <f t="shared" si="24"/>
        <v>114.82386479332112</v>
      </c>
      <c r="BY10" s="84">
        <v>14.513999999999999</v>
      </c>
      <c r="BZ10" s="83">
        <v>14.108499140750336</v>
      </c>
      <c r="CA10" s="78">
        <v>0.15719044783502614</v>
      </c>
      <c r="CB10" s="78">
        <v>0.10151834139534553</v>
      </c>
      <c r="CC10" s="86">
        <f t="shared" si="25"/>
        <v>0.15609883790483631</v>
      </c>
      <c r="CD10" s="86">
        <f t="shared" si="92"/>
        <v>2.553988330523671E-2</v>
      </c>
      <c r="CE10" s="86">
        <f t="shared" si="69"/>
        <v>-2.6246955062432908E-2</v>
      </c>
      <c r="CF10" s="86">
        <f t="shared" si="26"/>
        <v>1.0830263733982786</v>
      </c>
      <c r="CG10" s="86">
        <f t="shared" si="70"/>
        <v>-1.7670429035686053E-2</v>
      </c>
      <c r="CH10" s="86">
        <f t="shared" si="27"/>
        <v>0.6994511602269915</v>
      </c>
      <c r="CI10" s="86">
        <f t="shared" si="93"/>
        <v>-2.6038905884461894E-2</v>
      </c>
      <c r="CJ10" s="86">
        <f t="shared" si="28"/>
        <v>1.0755052907870768</v>
      </c>
      <c r="CK10" s="86">
        <f t="shared" si="94"/>
        <v>-2.363854846963187E-2</v>
      </c>
      <c r="CL10" s="87">
        <v>205.25</v>
      </c>
      <c r="CM10" s="77">
        <f t="shared" si="71"/>
        <v>13.503289473684211</v>
      </c>
      <c r="CN10" s="77">
        <f t="shared" si="29"/>
        <v>93.03630614361451</v>
      </c>
      <c r="CO10" s="77">
        <f t="shared" si="72"/>
        <v>137.48003943885371</v>
      </c>
      <c r="CP10" s="74">
        <v>0.10806807194113437</v>
      </c>
      <c r="CQ10" s="74">
        <f t="shared" si="73"/>
        <v>7.2728524877271106E-2</v>
      </c>
      <c r="CR10" s="139">
        <f t="shared" si="30"/>
        <v>3.8556589677255705E-2</v>
      </c>
      <c r="CS10" s="74">
        <v>7.5438542471577996E-2</v>
      </c>
      <c r="CT10" s="77">
        <f t="shared" si="74"/>
        <v>3.8556589677255704</v>
      </c>
      <c r="CU10" s="77">
        <f t="shared" si="31"/>
        <v>26.5651024371336</v>
      </c>
      <c r="CV10" s="78">
        <f t="shared" si="32"/>
        <v>254.74244693881568</v>
      </c>
      <c r="CW10" s="74">
        <f t="shared" si="75"/>
        <v>-4.9422619942446566E-2</v>
      </c>
      <c r="CX10" s="88">
        <f t="shared" si="76"/>
        <v>39.255334633736211</v>
      </c>
      <c r="CY10" s="77">
        <f t="shared" si="33"/>
        <v>67.672591980157094</v>
      </c>
      <c r="CZ10" s="89">
        <v>9.8219999999999992</v>
      </c>
      <c r="DA10" s="74">
        <f t="shared" si="77"/>
        <v>9.8220556354582378E-3</v>
      </c>
      <c r="DB10" s="125">
        <v>8.1649999999999991</v>
      </c>
      <c r="DC10" s="125">
        <v>9.75</v>
      </c>
      <c r="DD10" s="74">
        <f t="shared" si="78"/>
        <v>1.1064170352037495</v>
      </c>
      <c r="DE10" s="74">
        <f t="shared" si="79"/>
        <v>1.1059023291000487</v>
      </c>
      <c r="DF10" s="75">
        <f t="shared" si="34"/>
        <v>1.0755052907870768</v>
      </c>
      <c r="DG10" s="75">
        <f t="shared" si="35"/>
        <v>1.0750049648519935</v>
      </c>
      <c r="DH10" s="74">
        <f t="shared" si="80"/>
        <v>-2.6038905884461894E-2</v>
      </c>
      <c r="DI10" s="75">
        <f t="shared" si="95"/>
        <v>-2.0067764312305947E-2</v>
      </c>
      <c r="DJ10" s="77">
        <f t="shared" si="96"/>
        <v>-2.392242144510448</v>
      </c>
      <c r="DK10" s="75">
        <f t="shared" si="36"/>
        <v>1.0750049648519935</v>
      </c>
      <c r="DL10" s="77">
        <f t="shared" si="97"/>
        <v>8.7636293232897593</v>
      </c>
      <c r="DM10" s="72">
        <v>15272.252122217094</v>
      </c>
      <c r="DN10" s="72">
        <v>20792.17475739371</v>
      </c>
      <c r="DO10" s="72"/>
      <c r="DP10" s="72"/>
      <c r="DQ10" s="72"/>
      <c r="DR10" s="72">
        <v>15272.252122217094</v>
      </c>
      <c r="DS10" s="72">
        <v>20792.17475739371</v>
      </c>
      <c r="DT10" s="72"/>
      <c r="DU10" s="72"/>
      <c r="DV10" s="72"/>
      <c r="DW10" s="72"/>
      <c r="DX10" s="67">
        <v>8.52</v>
      </c>
      <c r="DY10" s="67">
        <v>8.64</v>
      </c>
      <c r="EB10" s="72">
        <v>10960.094744165655</v>
      </c>
      <c r="EC10" s="78">
        <v>9.2492317438535174</v>
      </c>
      <c r="ED10" s="72">
        <f t="shared" si="37"/>
        <v>11210</v>
      </c>
      <c r="EE10" s="72">
        <f t="shared" si="38"/>
        <v>11363.852342640796</v>
      </c>
      <c r="EF10" s="72">
        <f t="shared" si="39"/>
        <v>122862662082.097</v>
      </c>
      <c r="EG10" s="74">
        <f t="shared" si="81"/>
        <v>0.15609883790483631</v>
      </c>
      <c r="EH10" s="74">
        <f t="shared" si="40"/>
        <v>1.4437943267280566</v>
      </c>
      <c r="EI10" s="75">
        <f t="shared" si="41"/>
        <v>1.0755052907870768</v>
      </c>
      <c r="EJ10" s="75">
        <f t="shared" si="42"/>
        <v>1.4437943267280569</v>
      </c>
      <c r="EK10" s="78">
        <f t="shared" si="43"/>
        <v>9.9475976762302381</v>
      </c>
      <c r="EL10" s="72">
        <f t="shared" si="44"/>
        <v>2451.9699819218931</v>
      </c>
      <c r="EM10" s="72">
        <f t="shared" si="45"/>
        <v>7789.2648202936743</v>
      </c>
      <c r="EN10" s="72">
        <f t="shared" si="46"/>
        <v>328.09656754622637</v>
      </c>
      <c r="EO10" s="72">
        <f t="shared" si="47"/>
        <v>240.99323704549789</v>
      </c>
      <c r="EP10" s="75">
        <f t="shared" si="48"/>
        <v>8.7170502563614999E-2</v>
      </c>
      <c r="EQ10" s="77">
        <f t="shared" si="82"/>
        <v>11.471770502530065</v>
      </c>
      <c r="ER10" s="60"/>
      <c r="ES10" s="60"/>
      <c r="ET10" s="60"/>
      <c r="EX10" s="78"/>
      <c r="EY10" s="132">
        <f t="shared" si="49"/>
        <v>0.59508170229625768</v>
      </c>
      <c r="EZ10" s="78">
        <v>0.40881744789165558</v>
      </c>
      <c r="FA10" s="72">
        <f t="shared" si="83"/>
        <v>15.738898101134035</v>
      </c>
      <c r="FB10" s="78">
        <f t="shared" si="84"/>
        <v>2.4262119321714124</v>
      </c>
      <c r="FC10" s="78">
        <f t="shared" si="85"/>
        <v>2.4262119321714124</v>
      </c>
      <c r="FD10" s="78">
        <f t="shared" si="86"/>
        <v>41.216514795763104</v>
      </c>
      <c r="FE10" s="72">
        <f t="shared" si="87"/>
        <v>387.0706275780592</v>
      </c>
    </row>
    <row r="11" spans="1:161" s="67" customFormat="1" x14ac:dyDescent="0.2">
      <c r="A11" s="68">
        <v>1969</v>
      </c>
      <c r="B11" s="72">
        <v>50107.735000000001</v>
      </c>
      <c r="C11" s="72">
        <v>50528.218999999997</v>
      </c>
      <c r="D11" s="72">
        <v>50317.976999999999</v>
      </c>
      <c r="E11" s="72">
        <v>50317.976999999999</v>
      </c>
      <c r="F11" s="117">
        <v>70.647999999999996</v>
      </c>
      <c r="G11" s="72">
        <f t="shared" si="50"/>
        <v>35548.644390959998</v>
      </c>
      <c r="H11" s="72">
        <v>16028.680156515764</v>
      </c>
      <c r="I11" s="73">
        <v>55.4</v>
      </c>
      <c r="J11" s="73"/>
      <c r="K11" s="67">
        <f t="shared" si="51"/>
        <v>750</v>
      </c>
      <c r="L11" s="67">
        <v>11250</v>
      </c>
      <c r="M11" s="67">
        <f t="shared" si="52"/>
        <v>60</v>
      </c>
      <c r="N11" s="67">
        <v>270</v>
      </c>
      <c r="O11" s="67">
        <f t="shared" si="0"/>
        <v>11520</v>
      </c>
      <c r="P11" s="74">
        <f t="shared" si="53"/>
        <v>0.9765625</v>
      </c>
      <c r="Q11" s="74">
        <f t="shared" si="54"/>
        <v>2.34375E-2</v>
      </c>
      <c r="R11" s="77">
        <f t="shared" si="55"/>
        <v>7.1428571428571397</v>
      </c>
      <c r="S11" s="77">
        <f t="shared" si="56"/>
        <v>28.57142857142858</v>
      </c>
      <c r="T11" s="77">
        <f t="shared" si="57"/>
        <v>7.290677080808905</v>
      </c>
      <c r="U11" s="67">
        <f t="shared" si="58"/>
        <v>810</v>
      </c>
      <c r="V11" s="75">
        <f t="shared" si="1"/>
        <v>0.22799141208598706</v>
      </c>
      <c r="W11" s="77">
        <f t="shared" si="88"/>
        <v>6.4550185905009938</v>
      </c>
      <c r="X11" s="74">
        <f t="shared" si="59"/>
        <v>0.71871170224312231</v>
      </c>
      <c r="Y11" s="77">
        <f t="shared" si="88"/>
        <v>5.6847825894475843</v>
      </c>
      <c r="Z11" s="72">
        <f t="shared" si="2"/>
        <v>9129.6</v>
      </c>
      <c r="AA11" s="77">
        <f t="shared" si="89"/>
        <v>7.5909761038575274</v>
      </c>
      <c r="AB11" s="74">
        <f t="shared" si="3"/>
        <v>0.18068319407814476</v>
      </c>
      <c r="AC11" s="77">
        <f t="shared" si="89"/>
        <v>6.6956292087679836</v>
      </c>
      <c r="AD11" s="74">
        <f t="shared" si="60"/>
        <v>0.56957902402767446</v>
      </c>
      <c r="AE11" s="77">
        <f t="shared" si="61"/>
        <v>5.8769778819682594</v>
      </c>
      <c r="AF11" s="72">
        <v>11114</v>
      </c>
      <c r="AG11" s="72">
        <v>96</v>
      </c>
      <c r="AH11" s="72">
        <f t="shared" si="4"/>
        <v>11210</v>
      </c>
      <c r="AI11" s="72">
        <v>11743</v>
      </c>
      <c r="AJ11" s="72">
        <v>117</v>
      </c>
      <c r="AK11" s="72">
        <v>11860</v>
      </c>
      <c r="AL11" s="72">
        <f t="shared" si="5"/>
        <v>11428.5</v>
      </c>
      <c r="AM11" s="72">
        <f t="shared" si="6"/>
        <v>106.5</v>
      </c>
      <c r="AN11" s="72">
        <f t="shared" si="7"/>
        <v>11535</v>
      </c>
      <c r="AO11" s="74">
        <f t="shared" si="8"/>
        <v>0.23472032528991377</v>
      </c>
      <c r="AP11" s="74">
        <f t="shared" si="9"/>
        <v>0.22924212553298795</v>
      </c>
      <c r="AQ11" s="74">
        <f t="shared" si="62"/>
        <v>0.71964752477208471</v>
      </c>
      <c r="AR11" s="67">
        <v>1365278</v>
      </c>
      <c r="AS11" s="72">
        <v>60894.786999999997</v>
      </c>
      <c r="AT11" s="77">
        <f t="shared" si="63"/>
        <v>14.027490130721887</v>
      </c>
      <c r="AU11" s="72">
        <v>391745.22100000002</v>
      </c>
      <c r="AV11" s="72">
        <f t="shared" si="10"/>
        <v>391.74522100000002</v>
      </c>
      <c r="AW11" s="78">
        <f t="shared" si="11"/>
        <v>7.7529987945943644</v>
      </c>
      <c r="AX11" s="74">
        <f t="shared" si="64"/>
        <v>5.4328970190416825E-2</v>
      </c>
      <c r="AY11" s="78">
        <f t="shared" si="65"/>
        <v>24.440266895010254</v>
      </c>
      <c r="AZ11" s="74">
        <f t="shared" si="66"/>
        <v>4.6626610179882899E-2</v>
      </c>
      <c r="BA11" s="79">
        <f t="shared" si="67"/>
        <v>0.18347300403069022</v>
      </c>
      <c r="BB11" s="80">
        <v>74577.8</v>
      </c>
      <c r="BC11" s="81">
        <f t="shared" si="12"/>
        <v>479785.12609366956</v>
      </c>
      <c r="BD11" s="82">
        <f t="shared" si="68"/>
        <v>4.7447913426198918</v>
      </c>
      <c r="BE11" s="81">
        <f t="shared" si="13"/>
        <v>9495.3896177039114</v>
      </c>
      <c r="BF11" s="81">
        <f t="shared" si="14"/>
        <v>29932.915337301412</v>
      </c>
      <c r="BG11" s="80">
        <v>112.707076</v>
      </c>
      <c r="BH11" s="83">
        <f t="shared" si="90"/>
        <v>15.047179345822158</v>
      </c>
      <c r="BI11" s="130">
        <f t="shared" si="15"/>
        <v>743.80489344112448</v>
      </c>
      <c r="BJ11" s="83">
        <f t="shared" si="91"/>
        <v>7.1185387839094671</v>
      </c>
      <c r="BK11" s="83">
        <f t="shared" si="16"/>
        <v>14.720584025356693</v>
      </c>
      <c r="BL11" s="83">
        <f t="shared" si="17"/>
        <v>46.404625095645379</v>
      </c>
      <c r="BM11" s="81">
        <v>1774.373</v>
      </c>
      <c r="BN11" s="81">
        <f t="shared" si="18"/>
        <v>1299.6422706584301</v>
      </c>
      <c r="BO11" s="82">
        <v>19.344000000000001</v>
      </c>
      <c r="BP11" s="82">
        <f t="shared" si="19"/>
        <v>124.44673185795162</v>
      </c>
      <c r="BQ11" s="81">
        <f t="shared" si="20"/>
        <v>6718.5808036519338</v>
      </c>
      <c r="BR11" s="82">
        <v>12.885999999999999</v>
      </c>
      <c r="BS11" s="82">
        <f t="shared" si="21"/>
        <v>82.900154400411722</v>
      </c>
      <c r="BT11" s="82">
        <v>11.573</v>
      </c>
      <c r="BU11" s="82">
        <f t="shared" si="22"/>
        <v>74.453165208440552</v>
      </c>
      <c r="BV11" s="82">
        <v>12.423</v>
      </c>
      <c r="BW11" s="82">
        <f t="shared" si="23"/>
        <v>79.921513124034988</v>
      </c>
      <c r="BX11" s="82">
        <f t="shared" si="24"/>
        <v>117.69777356702984</v>
      </c>
      <c r="BY11" s="84">
        <v>15.544</v>
      </c>
      <c r="BZ11" s="83">
        <v>15.152774201118008</v>
      </c>
      <c r="CA11" s="78">
        <v>0.16879958099363854</v>
      </c>
      <c r="CB11" s="78">
        <v>0.10776875110207935</v>
      </c>
      <c r="CC11" s="86">
        <f t="shared" si="25"/>
        <v>0.16736917091805514</v>
      </c>
      <c r="CD11" s="86">
        <f t="shared" si="92"/>
        <v>7.219998024642349E-2</v>
      </c>
      <c r="CE11" s="86">
        <f t="shared" si="69"/>
        <v>2.9204935191078363E-3</v>
      </c>
      <c r="CF11" s="86">
        <f t="shared" si="26"/>
        <v>1.0859468669173864</v>
      </c>
      <c r="CG11" s="86">
        <f t="shared" si="70"/>
        <v>-6.1370126325540619E-3</v>
      </c>
      <c r="CH11" s="86">
        <f t="shared" si="27"/>
        <v>0.69331414759443744</v>
      </c>
      <c r="CI11" s="86">
        <f t="shared" si="93"/>
        <v>1.2392467711779265E-3</v>
      </c>
      <c r="CJ11" s="86">
        <f t="shared" si="28"/>
        <v>1.0767445375582547</v>
      </c>
      <c r="CK11" s="86">
        <f t="shared" si="94"/>
        <v>1.1522460947366309E-3</v>
      </c>
      <c r="CL11" s="87">
        <v>217</v>
      </c>
      <c r="CM11" s="77">
        <f t="shared" si="71"/>
        <v>14.276315789473685</v>
      </c>
      <c r="CN11" s="77">
        <f t="shared" si="29"/>
        <v>91.844543164395816</v>
      </c>
      <c r="CO11" s="77">
        <f t="shared" si="72"/>
        <v>135.2564262385001</v>
      </c>
      <c r="CP11" s="74">
        <v>0.11936907247853619</v>
      </c>
      <c r="CQ11" s="74">
        <f t="shared" si="73"/>
        <v>9.9458818615475231E-2</v>
      </c>
      <c r="CR11" s="139">
        <f t="shared" si="30"/>
        <v>4.1702570838640478E-2</v>
      </c>
      <c r="CS11" s="74">
        <v>0.10457298195860831</v>
      </c>
      <c r="CT11" s="77">
        <f t="shared" si="74"/>
        <v>4.1702570838640476</v>
      </c>
      <c r="CU11" s="77">
        <f t="shared" si="31"/>
        <v>26.828725449459906</v>
      </c>
      <c r="CV11" s="78">
        <f t="shared" si="32"/>
        <v>253.10190205875801</v>
      </c>
      <c r="CW11" s="74">
        <f t="shared" si="75"/>
        <v>-6.460840176679028E-3</v>
      </c>
      <c r="CX11" s="88">
        <f t="shared" si="76"/>
        <v>39.509778151246309</v>
      </c>
      <c r="CY11" s="77">
        <f t="shared" si="33"/>
        <v>67.904014410705088</v>
      </c>
      <c r="CZ11" s="89">
        <v>10.555</v>
      </c>
      <c r="DA11" s="74">
        <f t="shared" si="77"/>
        <v>7.1974913683231279E-2</v>
      </c>
      <c r="DB11" s="125">
        <v>8.3559999999999999</v>
      </c>
      <c r="DC11" s="125">
        <v>10.478</v>
      </c>
      <c r="DD11" s="74">
        <f t="shared" si="78"/>
        <v>1.1045447434022093</v>
      </c>
      <c r="DE11" s="74">
        <f t="shared" si="79"/>
        <v>1.1039193857889342</v>
      </c>
      <c r="DF11" s="75">
        <f t="shared" si="34"/>
        <v>1.0767445375582547</v>
      </c>
      <c r="DG11" s="75">
        <f t="shared" si="35"/>
        <v>1.0761349195250001</v>
      </c>
      <c r="DH11" s="74">
        <f t="shared" si="80"/>
        <v>1.2392467711779265E-3</v>
      </c>
      <c r="DI11" s="75">
        <f t="shared" si="95"/>
        <v>-1.872291801540138E-3</v>
      </c>
      <c r="DJ11" s="77">
        <f t="shared" si="96"/>
        <v>0.11515827686994773</v>
      </c>
      <c r="DK11" s="75">
        <f t="shared" si="36"/>
        <v>1.0761349195250001</v>
      </c>
      <c r="DL11" s="77">
        <f t="shared" si="97"/>
        <v>9.0105111577150918</v>
      </c>
      <c r="DM11" s="72">
        <v>15521.062706676928</v>
      </c>
      <c r="DN11" s="72">
        <v>21029.66591159251</v>
      </c>
      <c r="DO11" s="92">
        <v>14870.117264125374</v>
      </c>
      <c r="DP11" s="92"/>
      <c r="DQ11" s="92">
        <v>19645.950625336991</v>
      </c>
      <c r="DR11" s="72">
        <v>15521.062706676928</v>
      </c>
      <c r="DS11" s="72">
        <v>21029.66591159251</v>
      </c>
      <c r="DT11" s="72"/>
      <c r="DU11" s="72"/>
      <c r="DV11" s="72"/>
      <c r="DW11" s="72"/>
      <c r="DX11" s="67">
        <v>8.52</v>
      </c>
      <c r="DY11" s="67">
        <v>8.64</v>
      </c>
      <c r="EB11" s="72">
        <v>11288.897586490626</v>
      </c>
      <c r="EC11" s="78">
        <v>9.1032261794425384</v>
      </c>
      <c r="ED11" s="72">
        <f t="shared" si="37"/>
        <v>11860</v>
      </c>
      <c r="EE11" s="72">
        <f t="shared" si="38"/>
        <v>12187.975022301516</v>
      </c>
      <c r="EF11" s="72">
        <f t="shared" si="39"/>
        <v>133886325375.77882</v>
      </c>
      <c r="EG11" s="74">
        <f t="shared" si="81"/>
        <v>0.16736917091805514</v>
      </c>
      <c r="EH11" s="74">
        <f t="shared" si="40"/>
        <v>1.5235994183328323</v>
      </c>
      <c r="EI11" s="75">
        <f t="shared" si="41"/>
        <v>1.0767445375582547</v>
      </c>
      <c r="EJ11" s="75">
        <f t="shared" si="42"/>
        <v>1.5235994183328321</v>
      </c>
      <c r="EK11" s="78">
        <f t="shared" si="43"/>
        <v>9.8018490628720532</v>
      </c>
      <c r="EL11" s="72">
        <f t="shared" si="44"/>
        <v>2649.733713665602</v>
      </c>
      <c r="EM11" s="72">
        <f t="shared" si="45"/>
        <v>8352.9226404429282</v>
      </c>
      <c r="EN11" s="72">
        <f t="shared" si="46"/>
        <v>325.5461301516649</v>
      </c>
      <c r="EO11" s="72">
        <f t="shared" si="47"/>
        <v>240.27114464118299</v>
      </c>
      <c r="EP11" s="75">
        <f t="shared" si="48"/>
        <v>8.6043141207041193E-2</v>
      </c>
      <c r="EQ11" s="77">
        <f t="shared" si="82"/>
        <v>11.622076855536356</v>
      </c>
      <c r="ER11" s="60"/>
      <c r="ES11" s="60"/>
      <c r="ET11" s="60"/>
      <c r="EX11" s="78"/>
      <c r="EY11" s="132">
        <f t="shared" si="49"/>
        <v>0.70178218154577277</v>
      </c>
      <c r="EZ11" s="78">
        <v>0.4821200170133102</v>
      </c>
      <c r="FA11" s="72">
        <f t="shared" si="83"/>
        <v>14.309497332867696</v>
      </c>
      <c r="FB11" s="78">
        <f t="shared" si="84"/>
        <v>2.1710431789204065</v>
      </c>
      <c r="FC11" s="78">
        <f t="shared" si="85"/>
        <v>2.1710431789204065</v>
      </c>
      <c r="FD11" s="78">
        <f t="shared" si="86"/>
        <v>46.060806607138488</v>
      </c>
      <c r="FE11" s="72">
        <f t="shared" si="87"/>
        <v>356.75261738657883</v>
      </c>
    </row>
    <row r="12" spans="1:161" s="67" customFormat="1" x14ac:dyDescent="0.2">
      <c r="A12" s="68">
        <v>1970</v>
      </c>
      <c r="B12" s="72">
        <v>50528.218999999997</v>
      </c>
      <c r="C12" s="72">
        <v>51016.233999999997</v>
      </c>
      <c r="D12" s="72">
        <v>50772.226999999999</v>
      </c>
      <c r="E12" s="72">
        <v>50772.226499999997</v>
      </c>
      <c r="F12" s="117">
        <v>71.055000000000007</v>
      </c>
      <c r="G12" s="72">
        <f t="shared" si="50"/>
        <v>36076.205539574999</v>
      </c>
      <c r="H12" s="72">
        <v>16325.341648761072</v>
      </c>
      <c r="I12" s="73">
        <v>57.6</v>
      </c>
      <c r="J12" s="73"/>
      <c r="K12" s="67">
        <f t="shared" si="51"/>
        <v>1000</v>
      </c>
      <c r="L12" s="67">
        <v>12250</v>
      </c>
      <c r="M12" s="67">
        <f t="shared" si="52"/>
        <v>4</v>
      </c>
      <c r="N12" s="67">
        <v>274</v>
      </c>
      <c r="O12" s="67">
        <f t="shared" si="0"/>
        <v>12524</v>
      </c>
      <c r="P12" s="74">
        <f t="shared" si="53"/>
        <v>0.97812200574896202</v>
      </c>
      <c r="Q12" s="74">
        <f t="shared" si="54"/>
        <v>2.1877994251038008E-2</v>
      </c>
      <c r="R12" s="77">
        <f t="shared" si="55"/>
        <v>8.8888888888888786</v>
      </c>
      <c r="S12" s="77">
        <f t="shared" si="56"/>
        <v>1.4814814814814836</v>
      </c>
      <c r="T12" s="77">
        <f t="shared" si="57"/>
        <v>8.3562148196413943</v>
      </c>
      <c r="U12" s="67">
        <f t="shared" si="58"/>
        <v>1004</v>
      </c>
      <c r="V12" s="75">
        <f t="shared" si="1"/>
        <v>0.24549048446029945</v>
      </c>
      <c r="W12" s="77">
        <f t="shared" si="88"/>
        <v>7.3950224692028055</v>
      </c>
      <c r="X12" s="74">
        <f t="shared" si="59"/>
        <v>0.76715086700500656</v>
      </c>
      <c r="Y12" s="77">
        <f t="shared" si="88"/>
        <v>6.5223172697906895</v>
      </c>
      <c r="Z12" s="72">
        <f t="shared" si="2"/>
        <v>9924.2200000000012</v>
      </c>
      <c r="AA12" s="77">
        <f t="shared" si="89"/>
        <v>8.7037767262530643</v>
      </c>
      <c r="AB12" s="74">
        <f t="shared" si="3"/>
        <v>0.19453062725092568</v>
      </c>
      <c r="AC12" s="77">
        <f t="shared" si="89"/>
        <v>7.6639298100917852</v>
      </c>
      <c r="AD12" s="74">
        <f t="shared" si="60"/>
        <v>0.6079027449176323</v>
      </c>
      <c r="AE12" s="77">
        <f t="shared" si="61"/>
        <v>6.7284291157631904</v>
      </c>
      <c r="AF12" s="72">
        <v>11743</v>
      </c>
      <c r="AG12" s="72">
        <v>117</v>
      </c>
      <c r="AH12" s="72">
        <f t="shared" si="4"/>
        <v>11860</v>
      </c>
      <c r="AI12" s="72">
        <v>12330</v>
      </c>
      <c r="AJ12" s="72">
        <v>140</v>
      </c>
      <c r="AK12" s="72">
        <v>12470</v>
      </c>
      <c r="AL12" s="72">
        <f t="shared" si="5"/>
        <v>12036.5</v>
      </c>
      <c r="AM12" s="72">
        <f t="shared" si="6"/>
        <v>128.5</v>
      </c>
      <c r="AN12" s="72">
        <f t="shared" si="7"/>
        <v>12165</v>
      </c>
      <c r="AO12" s="74">
        <f t="shared" si="8"/>
        <v>0.24443199786170028</v>
      </c>
      <c r="AP12" s="74">
        <f t="shared" si="9"/>
        <v>0.23959949600004743</v>
      </c>
      <c r="AQ12" s="74">
        <f t="shared" si="62"/>
        <v>0.74516051557936003</v>
      </c>
      <c r="AR12" s="67">
        <v>1293519</v>
      </c>
      <c r="AS12" s="72">
        <v>66849.695999999996</v>
      </c>
      <c r="AT12" s="77">
        <f t="shared" si="63"/>
        <v>9.7790127749358913</v>
      </c>
      <c r="AU12" s="72">
        <v>409521.21899999998</v>
      </c>
      <c r="AV12" s="72">
        <f t="shared" si="10"/>
        <v>409.52121899999997</v>
      </c>
      <c r="AW12" s="78">
        <f t="shared" si="11"/>
        <v>8.0272726324722434</v>
      </c>
      <c r="AX12" s="74">
        <f t="shared" si="64"/>
        <v>3.4765113240960765E-2</v>
      </c>
      <c r="AY12" s="78">
        <f t="shared" si="65"/>
        <v>25.085001454231648</v>
      </c>
      <c r="AZ12" s="74">
        <f t="shared" si="66"/>
        <v>2.6038061246839828E-2</v>
      </c>
      <c r="BA12" s="79">
        <f t="shared" si="67"/>
        <v>0.20406795159377633</v>
      </c>
      <c r="BB12" s="80">
        <v>83989.2</v>
      </c>
      <c r="BC12" s="81">
        <f t="shared" si="12"/>
        <v>514513.59960793919</v>
      </c>
      <c r="BD12" s="82">
        <f t="shared" si="68"/>
        <v>7.2383389199709214</v>
      </c>
      <c r="BE12" s="81">
        <f t="shared" si="13"/>
        <v>10085.291666333882</v>
      </c>
      <c r="BF12" s="81">
        <f t="shared" si="14"/>
        <v>31516.253116025022</v>
      </c>
      <c r="BG12" s="80">
        <v>126.11488599999998</v>
      </c>
      <c r="BH12" s="83">
        <f t="shared" si="90"/>
        <v>11.896156369099643</v>
      </c>
      <c r="BI12" s="130">
        <f t="shared" si="15"/>
        <v>789.34283196257934</v>
      </c>
      <c r="BJ12" s="83">
        <f t="shared" si="91"/>
        <v>6.1222961724248792</v>
      </c>
      <c r="BK12" s="83">
        <f t="shared" si="16"/>
        <v>15.472385358013284</v>
      </c>
      <c r="BL12" s="83">
        <f t="shared" si="17"/>
        <v>48.350769554797189</v>
      </c>
      <c r="BM12" s="81">
        <v>1892.1420000000001</v>
      </c>
      <c r="BN12" s="81">
        <f t="shared" si="18"/>
        <v>1462.7863989628293</v>
      </c>
      <c r="BO12" s="82">
        <v>20.257000000000001</v>
      </c>
      <c r="BP12" s="82">
        <f t="shared" si="19"/>
        <v>124.09335947071796</v>
      </c>
      <c r="BQ12" s="81">
        <f t="shared" si="20"/>
        <v>7221.1403414268107</v>
      </c>
      <c r="BR12" s="82">
        <v>13.428000000000001</v>
      </c>
      <c r="BS12" s="82">
        <f t="shared" si="21"/>
        <v>82.259250183778491</v>
      </c>
      <c r="BT12" s="82">
        <v>12.233000000000001</v>
      </c>
      <c r="BU12" s="82">
        <f t="shared" si="22"/>
        <v>74.938740504778224</v>
      </c>
      <c r="BV12" s="82">
        <v>13.276</v>
      </c>
      <c r="BW12" s="82">
        <f t="shared" si="23"/>
        <v>81.328105856407731</v>
      </c>
      <c r="BX12" s="82">
        <f t="shared" si="24"/>
        <v>124.52865584841948</v>
      </c>
      <c r="BY12" s="84">
        <v>16.324000000000002</v>
      </c>
      <c r="BZ12" s="83">
        <v>15.97720038660955</v>
      </c>
      <c r="CA12" s="78">
        <v>0.1727202865879065</v>
      </c>
      <c r="CB12" s="78">
        <v>0.10943298620692106</v>
      </c>
      <c r="CC12" s="86">
        <f t="shared" si="25"/>
        <v>0.17133568739400759</v>
      </c>
      <c r="CD12" s="86">
        <f t="shared" si="92"/>
        <v>2.3699206097486547E-2</v>
      </c>
      <c r="CE12" s="86">
        <f t="shared" si="69"/>
        <v>-2.7871109824109785E-2</v>
      </c>
      <c r="CF12" s="86">
        <f t="shared" si="26"/>
        <v>1.0580757570932766</v>
      </c>
      <c r="CG12" s="86">
        <f t="shared" si="70"/>
        <v>-2.2933198029863489E-2</v>
      </c>
      <c r="CH12" s="86">
        <f t="shared" si="27"/>
        <v>0.67038094956457395</v>
      </c>
      <c r="CI12" s="86">
        <f t="shared" si="93"/>
        <v>-2.7150765235248286E-2</v>
      </c>
      <c r="CJ12" s="86">
        <f t="shared" si="28"/>
        <v>1.0495937723230064</v>
      </c>
      <c r="CK12" s="86">
        <f t="shared" si="94"/>
        <v>-2.5215605269582664E-2</v>
      </c>
      <c r="CL12" s="87">
        <v>223</v>
      </c>
      <c r="CM12" s="77">
        <f t="shared" si="71"/>
        <v>14.671052631578949</v>
      </c>
      <c r="CN12" s="77">
        <f t="shared" si="29"/>
        <v>89.874127858239078</v>
      </c>
      <c r="CO12" s="77">
        <f t="shared" si="72"/>
        <v>137.61422597860377</v>
      </c>
      <c r="CP12" s="74">
        <v>0.12425154823458764</v>
      </c>
      <c r="CQ12" s="74">
        <f t="shared" si="73"/>
        <v>4.008798260165003E-2</v>
      </c>
      <c r="CR12" s="139">
        <f t="shared" si="30"/>
        <v>4.6572830614222932E-2</v>
      </c>
      <c r="CS12" s="74">
        <v>4.0902351460671449E-2</v>
      </c>
      <c r="CT12" s="77">
        <f t="shared" si="74"/>
        <v>4.6572830614222935</v>
      </c>
      <c r="CU12" s="77">
        <f t="shared" si="31"/>
        <v>28.53028094475798</v>
      </c>
      <c r="CV12" s="78">
        <f t="shared" si="32"/>
        <v>228.91028652109074</v>
      </c>
      <c r="CW12" s="74">
        <f t="shared" si="75"/>
        <v>-0.10046201769241403</v>
      </c>
      <c r="CX12" s="88">
        <f t="shared" si="76"/>
        <v>43.685236482715446</v>
      </c>
      <c r="CY12" s="77">
        <f t="shared" si="33"/>
        <v>65.308747855917659</v>
      </c>
      <c r="CZ12" s="89">
        <v>10.661</v>
      </c>
      <c r="DA12" s="74">
        <f t="shared" si="77"/>
        <v>9.9925416680539669E-3</v>
      </c>
      <c r="DB12" s="125">
        <v>8.5250000000000004</v>
      </c>
      <c r="DC12" s="125">
        <v>10.579000000000001</v>
      </c>
      <c r="DD12" s="74">
        <f t="shared" si="78"/>
        <v>1.0723761563233793</v>
      </c>
      <c r="DE12" s="74">
        <f t="shared" si="79"/>
        <v>1.0718010841441341</v>
      </c>
      <c r="DF12" s="75">
        <f t="shared" si="34"/>
        <v>1.0495937723230064</v>
      </c>
      <c r="DG12" s="75">
        <f t="shared" si="35"/>
        <v>1.0490309174195169</v>
      </c>
      <c r="DH12" s="74">
        <f t="shared" si="80"/>
        <v>-2.7150765235248286E-2</v>
      </c>
      <c r="DI12" s="75">
        <f t="shared" si="95"/>
        <v>-3.2168587078829969E-2</v>
      </c>
      <c r="DJ12" s="77">
        <f t="shared" si="96"/>
        <v>-2.5538966047760043</v>
      </c>
      <c r="DK12" s="75">
        <f t="shared" si="36"/>
        <v>1.0490309174195169</v>
      </c>
      <c r="DL12" s="77">
        <f t="shared" si="97"/>
        <v>8.748135650895458</v>
      </c>
      <c r="DM12" s="72">
        <v>15774.994325061025</v>
      </c>
      <c r="DN12" s="72">
        <v>21278.009753313992</v>
      </c>
      <c r="DO12" s="92">
        <v>15161.357021406136</v>
      </c>
      <c r="DP12" s="92">
        <f t="shared" ref="DP12:DP48" si="98">DO12-DO11</f>
        <v>291.23975728076221</v>
      </c>
      <c r="DQ12" s="92">
        <v>19997.108503375537</v>
      </c>
      <c r="DR12" s="72">
        <v>15774.994325061025</v>
      </c>
      <c r="DS12" s="72">
        <v>21278.009753313992</v>
      </c>
      <c r="DT12" s="72">
        <v>25453.83</v>
      </c>
      <c r="DU12" s="72">
        <v>562.16</v>
      </c>
      <c r="DV12" s="72">
        <v>6064</v>
      </c>
      <c r="DW12" s="93">
        <v>1.002</v>
      </c>
      <c r="DX12" s="67">
        <v>8.52</v>
      </c>
      <c r="DY12" s="67">
        <v>8.64</v>
      </c>
      <c r="EB12" s="72">
        <v>11627.564514085345</v>
      </c>
      <c r="EC12" s="78">
        <v>9.0817514535883905</v>
      </c>
      <c r="ED12" s="72">
        <f t="shared" si="37"/>
        <v>12470</v>
      </c>
      <c r="EE12" s="72">
        <f t="shared" si="38"/>
        <v>13168.151770657676</v>
      </c>
      <c r="EF12" s="72">
        <f t="shared" si="39"/>
        <v>144995729490.64426</v>
      </c>
      <c r="EG12" s="74">
        <f t="shared" si="81"/>
        <v>0.17133568739400759</v>
      </c>
      <c r="EH12" s="74">
        <f t="shared" si="40"/>
        <v>1.5560281280420944</v>
      </c>
      <c r="EI12" s="75">
        <f t="shared" si="41"/>
        <v>1.0495937723230064</v>
      </c>
      <c r="EJ12" s="75">
        <f t="shared" si="42"/>
        <v>1.5560281280420944</v>
      </c>
      <c r="EK12" s="78">
        <f t="shared" si="43"/>
        <v>9.5321497674717861</v>
      </c>
      <c r="EL12" s="72">
        <f t="shared" si="44"/>
        <v>2842.148824443691</v>
      </c>
      <c r="EM12" s="72">
        <f t="shared" si="45"/>
        <v>8881.6352276246525</v>
      </c>
      <c r="EN12" s="72">
        <f t="shared" si="46"/>
        <v>323.39938099979406</v>
      </c>
      <c r="EO12" s="72">
        <f t="shared" si="47"/>
        <v>239.76036570833114</v>
      </c>
      <c r="EP12" s="75">
        <f t="shared" si="48"/>
        <v>8.637495769010288E-2</v>
      </c>
      <c r="EQ12" s="77">
        <f t="shared" si="82"/>
        <v>11.577429694238603</v>
      </c>
      <c r="ER12" s="60"/>
      <c r="ES12" s="60"/>
      <c r="ET12" s="60"/>
      <c r="EX12" s="78"/>
      <c r="EY12" s="132">
        <f t="shared" si="49"/>
        <v>0.74228028372193233</v>
      </c>
      <c r="EZ12" s="78">
        <v>0.50994196265913783</v>
      </c>
      <c r="FA12" s="72">
        <f t="shared" si="83"/>
        <v>13.849406307943278</v>
      </c>
      <c r="FB12" s="78">
        <f t="shared" si="84"/>
        <v>2.0962810978083346</v>
      </c>
      <c r="FC12" s="78">
        <f t="shared" si="85"/>
        <v>2.0962810978083346</v>
      </c>
      <c r="FD12" s="78">
        <f t="shared" si="86"/>
        <v>47.703526070310971</v>
      </c>
      <c r="FE12" s="72">
        <f t="shared" si="87"/>
        <v>354.80150231595564</v>
      </c>
    </row>
    <row r="13" spans="1:161" s="67" customFormat="1" x14ac:dyDescent="0.2">
      <c r="A13" s="68">
        <v>1971</v>
      </c>
      <c r="B13" s="72">
        <v>51016.233999999997</v>
      </c>
      <c r="C13" s="72">
        <v>51485.953000000001</v>
      </c>
      <c r="D13" s="72">
        <v>51251.093999999997</v>
      </c>
      <c r="E13" s="72">
        <v>51251.093500000003</v>
      </c>
      <c r="F13" s="117">
        <v>71.459000000000003</v>
      </c>
      <c r="G13" s="72">
        <f t="shared" si="50"/>
        <v>36623.518904165001</v>
      </c>
      <c r="H13" s="72">
        <v>16627.976191185815</v>
      </c>
      <c r="I13" s="73">
        <v>58.3</v>
      </c>
      <c r="J13" s="73"/>
      <c r="K13" s="67">
        <f t="shared" si="51"/>
        <v>1470</v>
      </c>
      <c r="L13" s="67">
        <v>13720</v>
      </c>
      <c r="M13" s="67">
        <f t="shared" si="52"/>
        <v>16</v>
      </c>
      <c r="N13" s="67">
        <v>290</v>
      </c>
      <c r="O13" s="67">
        <f t="shared" si="0"/>
        <v>14010</v>
      </c>
      <c r="P13" s="74">
        <f t="shared" si="53"/>
        <v>0.97930049964311205</v>
      </c>
      <c r="Q13" s="74">
        <f t="shared" si="54"/>
        <v>2.0699500356887938E-2</v>
      </c>
      <c r="R13" s="77">
        <f t="shared" si="55"/>
        <v>12.000000000000011</v>
      </c>
      <c r="S13" s="77">
        <f t="shared" si="56"/>
        <v>5.8394160583941535</v>
      </c>
      <c r="T13" s="77">
        <f t="shared" si="57"/>
        <v>11.212455688475664</v>
      </c>
      <c r="U13" s="67">
        <f t="shared" si="58"/>
        <v>1486</v>
      </c>
      <c r="V13" s="75">
        <f t="shared" si="1"/>
        <v>0.272113055768823</v>
      </c>
      <c r="W13" s="77">
        <f t="shared" si="88"/>
        <v>10.295943950040254</v>
      </c>
      <c r="X13" s="74">
        <f t="shared" si="59"/>
        <v>0.84255593338090318</v>
      </c>
      <c r="Y13" s="77">
        <f t="shared" si="88"/>
        <v>9.3756570238254433</v>
      </c>
      <c r="Z13" s="72">
        <f t="shared" si="2"/>
        <v>11100.862800000001</v>
      </c>
      <c r="AA13" s="77">
        <f t="shared" si="89"/>
        <v>11.856274850819503</v>
      </c>
      <c r="AB13" s="74">
        <f t="shared" si="3"/>
        <v>0.21560954305342275</v>
      </c>
      <c r="AC13" s="77">
        <f t="shared" si="89"/>
        <v>10.8357825707863</v>
      </c>
      <c r="AD13" s="74">
        <f t="shared" si="60"/>
        <v>0.66760155730102411</v>
      </c>
      <c r="AE13" s="77">
        <f t="shared" si="61"/>
        <v>9.8204544859360254</v>
      </c>
      <c r="AF13" s="72">
        <v>12330</v>
      </c>
      <c r="AG13" s="72">
        <v>140</v>
      </c>
      <c r="AH13" s="72">
        <f t="shared" si="4"/>
        <v>12470</v>
      </c>
      <c r="AI13" s="72">
        <v>12960</v>
      </c>
      <c r="AJ13" s="72">
        <v>170</v>
      </c>
      <c r="AK13" s="72">
        <v>13130</v>
      </c>
      <c r="AL13" s="72">
        <f t="shared" si="5"/>
        <v>12645</v>
      </c>
      <c r="AM13" s="72">
        <f t="shared" si="6"/>
        <v>155</v>
      </c>
      <c r="AN13" s="72">
        <f t="shared" si="7"/>
        <v>12800</v>
      </c>
      <c r="AO13" s="74">
        <f t="shared" si="8"/>
        <v>0.25502101514951075</v>
      </c>
      <c r="AP13" s="74">
        <f t="shared" si="9"/>
        <v>0.24975076629583753</v>
      </c>
      <c r="AQ13" s="74">
        <f t="shared" si="62"/>
        <v>0.76978700551574308</v>
      </c>
      <c r="AR13" s="67">
        <v>1468781</v>
      </c>
      <c r="AS13" s="72">
        <v>74593.706000000006</v>
      </c>
      <c r="AT13" s="77">
        <f t="shared" si="63"/>
        <v>11.584211243084797</v>
      </c>
      <c r="AU13" s="72">
        <v>432511.61099999998</v>
      </c>
      <c r="AV13" s="72">
        <f t="shared" si="10"/>
        <v>432.51161099999996</v>
      </c>
      <c r="AW13" s="78">
        <f t="shared" si="11"/>
        <v>8.4005750267456438</v>
      </c>
      <c r="AX13" s="74">
        <f t="shared" si="64"/>
        <v>4.5455336069506469E-2</v>
      </c>
      <c r="AY13" s="78">
        <f t="shared" si="65"/>
        <v>26.011079522068744</v>
      </c>
      <c r="AZ13" s="74">
        <f t="shared" si="66"/>
        <v>3.6252466807358275E-2</v>
      </c>
      <c r="BA13" s="79">
        <f t="shared" si="67"/>
        <v>0.20330638658280387</v>
      </c>
      <c r="BB13" s="80">
        <v>93629.1</v>
      </c>
      <c r="BC13" s="81">
        <f t="shared" si="12"/>
        <v>542871.80379196384</v>
      </c>
      <c r="BD13" s="82">
        <f t="shared" si="68"/>
        <v>5.5116529875271825</v>
      </c>
      <c r="BE13" s="81">
        <f t="shared" si="13"/>
        <v>10544.076047149478</v>
      </c>
      <c r="BF13" s="81">
        <f t="shared" si="14"/>
        <v>32648.09845468327</v>
      </c>
      <c r="BG13" s="80">
        <v>140.69682199999997</v>
      </c>
      <c r="BH13" s="83">
        <f t="shared" si="90"/>
        <v>11.562422535909022</v>
      </c>
      <c r="BI13" s="130">
        <f t="shared" si="15"/>
        <v>831.53893539037529</v>
      </c>
      <c r="BJ13" s="83">
        <f t="shared" si="91"/>
        <v>5.3457258011555986</v>
      </c>
      <c r="BK13" s="83">
        <f t="shared" si="16"/>
        <v>16.150792341172654</v>
      </c>
      <c r="BL13" s="83">
        <f t="shared" si="17"/>
        <v>50.008427112805158</v>
      </c>
      <c r="BM13" s="81">
        <v>2318.3049999999998</v>
      </c>
      <c r="BN13" s="81">
        <f t="shared" si="18"/>
        <v>1578.3871114890512</v>
      </c>
      <c r="BO13" s="82">
        <v>22.006</v>
      </c>
      <c r="BP13" s="82">
        <f t="shared" si="19"/>
        <v>127.59320461529541</v>
      </c>
      <c r="BQ13" s="81">
        <f t="shared" si="20"/>
        <v>7172.530725661416</v>
      </c>
      <c r="BR13" s="82">
        <v>14.318</v>
      </c>
      <c r="BS13" s="82">
        <f t="shared" si="21"/>
        <v>83.01733634835044</v>
      </c>
      <c r="BT13" s="82">
        <v>13.207000000000001</v>
      </c>
      <c r="BU13" s="82">
        <f t="shared" si="22"/>
        <v>76.575636342552329</v>
      </c>
      <c r="BV13" s="82">
        <v>13.993</v>
      </c>
      <c r="BW13" s="82">
        <f t="shared" si="23"/>
        <v>81.132950658085463</v>
      </c>
      <c r="BX13" s="82">
        <f t="shared" si="24"/>
        <v>125.68939189796102</v>
      </c>
      <c r="BY13" s="84">
        <v>17.247</v>
      </c>
      <c r="BZ13" s="83">
        <v>16.920052208252674</v>
      </c>
      <c r="CA13" s="78">
        <v>0.17729860297724034</v>
      </c>
      <c r="CB13" s="78">
        <v>0.1139937526392736</v>
      </c>
      <c r="CC13" s="86">
        <f t="shared" si="25"/>
        <v>0.17598822420507684</v>
      </c>
      <c r="CD13" s="86">
        <f t="shared" si="92"/>
        <v>2.7154511017720262E-2</v>
      </c>
      <c r="CE13" s="86">
        <f t="shared" si="69"/>
        <v>-3.007898677240739E-2</v>
      </c>
      <c r="CF13" s="86">
        <f t="shared" si="26"/>
        <v>1.0279967703208692</v>
      </c>
      <c r="CG13" s="86">
        <f t="shared" si="70"/>
        <v>-9.4326534013363661E-3</v>
      </c>
      <c r="CH13" s="86">
        <f t="shared" si="27"/>
        <v>0.66094829616323758</v>
      </c>
      <c r="CI13" s="86">
        <f t="shared" si="93"/>
        <v>-2.9194722023958342E-2</v>
      </c>
      <c r="CJ13" s="86">
        <f t="shared" si="28"/>
        <v>1.0203990502990481</v>
      </c>
      <c r="CK13" s="86">
        <f t="shared" si="94"/>
        <v>-2.7815258430262335E-2</v>
      </c>
      <c r="CL13" s="87">
        <v>236.25</v>
      </c>
      <c r="CM13" s="77">
        <f t="shared" si="71"/>
        <v>15.542763157894738</v>
      </c>
      <c r="CN13" s="77">
        <f t="shared" si="29"/>
        <v>90.118647636659929</v>
      </c>
      <c r="CO13" s="77">
        <f t="shared" si="72"/>
        <v>139.60983704207976</v>
      </c>
      <c r="CP13" s="74">
        <v>0.13165325700663871</v>
      </c>
      <c r="CQ13" s="74">
        <f t="shared" si="73"/>
        <v>5.7863499987556466E-2</v>
      </c>
      <c r="CR13" s="139">
        <f t="shared" si="30"/>
        <v>4.8559008235659513E-2</v>
      </c>
      <c r="CS13" s="74">
        <v>5.9570354472176179E-2</v>
      </c>
      <c r="CT13" s="77">
        <f t="shared" si="74"/>
        <v>4.8559008235659515</v>
      </c>
      <c r="CU13" s="77">
        <f t="shared" si="31"/>
        <v>28.155046231611013</v>
      </c>
      <c r="CV13" s="78">
        <f t="shared" si="32"/>
        <v>229.26745014994836</v>
      </c>
      <c r="CW13" s="74">
        <f t="shared" si="75"/>
        <v>1.5590617902923043E-3</v>
      </c>
      <c r="CX13" s="88">
        <f t="shared" si="76"/>
        <v>43.617181564411673</v>
      </c>
      <c r="CY13" s="77">
        <f t="shared" si="33"/>
        <v>64.550356583753697</v>
      </c>
      <c r="CZ13" s="89">
        <v>11.132999999999999</v>
      </c>
      <c r="DA13" s="74">
        <f t="shared" si="77"/>
        <v>4.3321447778232436E-2</v>
      </c>
      <c r="DB13" s="125">
        <v>9.1479999999999997</v>
      </c>
      <c r="DC13" s="125">
        <v>11.023999999999999</v>
      </c>
      <c r="DD13" s="74">
        <f t="shared" si="78"/>
        <v>1.0401163190219915</v>
      </c>
      <c r="DE13" s="74">
        <f t="shared" si="79"/>
        <v>1.0396017403443429</v>
      </c>
      <c r="DF13" s="75">
        <f t="shared" si="34"/>
        <v>1.0203990502990481</v>
      </c>
      <c r="DG13" s="75">
        <f t="shared" si="35"/>
        <v>1.0198942263823632</v>
      </c>
      <c r="DH13" s="74">
        <f t="shared" si="80"/>
        <v>-2.9194722023958342E-2</v>
      </c>
      <c r="DI13" s="75">
        <f t="shared" si="95"/>
        <v>-3.2259837301387817E-2</v>
      </c>
      <c r="DJ13" s="77">
        <f t="shared" si="96"/>
        <v>-2.8209429238095409</v>
      </c>
      <c r="DK13" s="75">
        <f t="shared" si="36"/>
        <v>1.0198942263823632</v>
      </c>
      <c r="DL13" s="77">
        <f t="shared" si="97"/>
        <v>8.7222513602475491</v>
      </c>
      <c r="DM13" s="72">
        <v>16020.952039797343</v>
      </c>
      <c r="DN13" s="72">
        <v>21517.040092885538</v>
      </c>
      <c r="DO13" s="92">
        <v>15458.519231943055</v>
      </c>
      <c r="DP13" s="92">
        <f t="shared" si="98"/>
        <v>297.16221053691879</v>
      </c>
      <c r="DQ13" s="92">
        <v>20354.940573879638</v>
      </c>
      <c r="DR13" s="72">
        <v>16020.952039797343</v>
      </c>
      <c r="DS13" s="72">
        <v>21517.040092885538</v>
      </c>
      <c r="DT13" s="72">
        <v>25608.13</v>
      </c>
      <c r="DU13" s="72">
        <v>609.69000000000005</v>
      </c>
      <c r="DV13" s="72">
        <v>6523</v>
      </c>
      <c r="DW13" s="93">
        <v>1.08</v>
      </c>
      <c r="DX13" s="67">
        <v>8.52</v>
      </c>
      <c r="DY13" s="67">
        <v>8.64</v>
      </c>
      <c r="EB13" s="72">
        <v>11976.391449507906</v>
      </c>
      <c r="EC13" s="78">
        <v>9.3809257661278025</v>
      </c>
      <c r="ED13" s="72">
        <f t="shared" si="37"/>
        <v>13130</v>
      </c>
      <c r="EE13" s="72">
        <f t="shared" si="38"/>
        <v>14751.507618283882</v>
      </c>
      <c r="EF13" s="72">
        <f t="shared" si="39"/>
        <v>157250019732.03882</v>
      </c>
      <c r="EG13" s="74">
        <f t="shared" si="81"/>
        <v>0.17598822420507684</v>
      </c>
      <c r="EH13" s="74">
        <f t="shared" si="40"/>
        <v>1.6509324669804819</v>
      </c>
      <c r="EI13" s="75">
        <f t="shared" si="41"/>
        <v>1.0203990502990481</v>
      </c>
      <c r="EJ13" s="75">
        <f t="shared" si="42"/>
        <v>1.6509324669804821</v>
      </c>
      <c r="EK13" s="78">
        <f t="shared" si="43"/>
        <v>9.5722877426826791</v>
      </c>
      <c r="EL13" s="72">
        <f t="shared" si="44"/>
        <v>3054.2315052814274</v>
      </c>
      <c r="EM13" s="72">
        <f t="shared" si="45"/>
        <v>9456.9548286576301</v>
      </c>
      <c r="EN13" s="72">
        <f t="shared" si="46"/>
        <v>321.36637618104544</v>
      </c>
      <c r="EO13" s="72">
        <f t="shared" si="47"/>
        <v>239.27990456746639</v>
      </c>
      <c r="EP13" s="75">
        <f t="shared" si="48"/>
        <v>8.9093788502371429E-2</v>
      </c>
      <c r="EQ13" s="77">
        <f t="shared" si="82"/>
        <v>11.224127032979215</v>
      </c>
      <c r="ER13" s="60"/>
      <c r="ES13" s="60"/>
      <c r="ET13" s="60"/>
      <c r="EX13" s="78"/>
      <c r="EY13" s="132">
        <f t="shared" si="49"/>
        <v>0.79313406499336481</v>
      </c>
      <c r="EZ13" s="78">
        <v>0.54487819577604413</v>
      </c>
      <c r="FA13" s="72">
        <f t="shared" si="83"/>
        <v>13.313377798736896</v>
      </c>
      <c r="FB13" s="78">
        <f t="shared" si="84"/>
        <v>2.0815301471060801</v>
      </c>
      <c r="FC13" s="78">
        <f t="shared" si="85"/>
        <v>2.0815301471060801</v>
      </c>
      <c r="FD13" s="78">
        <f t="shared" si="86"/>
        <v>48.04158140060018</v>
      </c>
      <c r="FE13" s="72">
        <f t="shared" si="87"/>
        <v>362.87400807256404</v>
      </c>
    </row>
    <row r="14" spans="1:161" s="67" customFormat="1" x14ac:dyDescent="0.2">
      <c r="A14" s="68">
        <v>1972</v>
      </c>
      <c r="B14" s="72">
        <v>51485.953000000001</v>
      </c>
      <c r="C14" s="72">
        <v>51915.873</v>
      </c>
      <c r="D14" s="72">
        <v>51700.913</v>
      </c>
      <c r="E14" s="72">
        <v>51700.913</v>
      </c>
      <c r="F14" s="117">
        <v>71.86</v>
      </c>
      <c r="G14" s="72">
        <f t="shared" si="50"/>
        <v>37152.276081800002</v>
      </c>
      <c r="H14" s="72">
        <v>16927.126454339221</v>
      </c>
      <c r="I14" s="73">
        <v>61.3</v>
      </c>
      <c r="J14" s="73"/>
      <c r="K14" s="67">
        <f t="shared" si="51"/>
        <v>1443</v>
      </c>
      <c r="L14" s="67">
        <v>15163</v>
      </c>
      <c r="M14" s="67">
        <f t="shared" si="52"/>
        <v>160</v>
      </c>
      <c r="N14" s="67">
        <v>450</v>
      </c>
      <c r="O14" s="67">
        <f t="shared" si="0"/>
        <v>15613</v>
      </c>
      <c r="P14" s="74">
        <f t="shared" si="53"/>
        <v>0.97117786460001276</v>
      </c>
      <c r="Q14" s="74">
        <f t="shared" si="54"/>
        <v>2.8822135399987191E-2</v>
      </c>
      <c r="R14" s="77">
        <f t="shared" si="55"/>
        <v>10.517492711370258</v>
      </c>
      <c r="S14" s="77">
        <f t="shared" si="56"/>
        <v>55.172413793103445</v>
      </c>
      <c r="T14" s="77">
        <f t="shared" si="57"/>
        <v>10.833254021046734</v>
      </c>
      <c r="U14" s="67">
        <f t="shared" si="58"/>
        <v>1603</v>
      </c>
      <c r="V14" s="75">
        <f t="shared" si="1"/>
        <v>0.30073653967063213</v>
      </c>
      <c r="W14" s="77">
        <f t="shared" si="88"/>
        <v>10.001697183039337</v>
      </c>
      <c r="X14" s="74">
        <f t="shared" si="59"/>
        <v>0.92236565031376916</v>
      </c>
      <c r="Y14" s="77">
        <f t="shared" si="88"/>
        <v>9.0501678999984065</v>
      </c>
      <c r="Z14" s="72">
        <f t="shared" si="2"/>
        <v>12377.822120000001</v>
      </c>
      <c r="AA14" s="77">
        <f t="shared" si="89"/>
        <v>11.503243873980672</v>
      </c>
      <c r="AB14" s="74">
        <f t="shared" si="3"/>
        <v>0.23842076430073708</v>
      </c>
      <c r="AC14" s="77">
        <f t="shared" si="89"/>
        <v>10.579875512125291</v>
      </c>
      <c r="AD14" s="74">
        <f t="shared" si="60"/>
        <v>0.73124178243655646</v>
      </c>
      <c r="AE14" s="77">
        <f t="shared" si="61"/>
        <v>9.5326657704060338</v>
      </c>
      <c r="AF14" s="72">
        <v>12960</v>
      </c>
      <c r="AG14" s="72">
        <v>170</v>
      </c>
      <c r="AH14" s="72">
        <f t="shared" si="4"/>
        <v>13130</v>
      </c>
      <c r="AI14" s="72">
        <v>13720</v>
      </c>
      <c r="AJ14" s="72">
        <v>200</v>
      </c>
      <c r="AK14" s="72">
        <v>13920</v>
      </c>
      <c r="AL14" s="72">
        <f t="shared" si="5"/>
        <v>13340</v>
      </c>
      <c r="AM14" s="72">
        <f t="shared" si="6"/>
        <v>185</v>
      </c>
      <c r="AN14" s="72">
        <f t="shared" si="7"/>
        <v>13525</v>
      </c>
      <c r="AO14" s="74">
        <f t="shared" si="8"/>
        <v>0.26812608929835391</v>
      </c>
      <c r="AP14" s="74">
        <f t="shared" si="9"/>
        <v>0.26160079610199533</v>
      </c>
      <c r="AQ14" s="74">
        <f t="shared" si="62"/>
        <v>0.79901334916375633</v>
      </c>
      <c r="AR14" s="67">
        <v>1639399</v>
      </c>
      <c r="AS14" s="72">
        <v>83046.157000000007</v>
      </c>
      <c r="AT14" s="77">
        <f t="shared" si="63"/>
        <v>11.331319293882514</v>
      </c>
      <c r="AU14" s="72">
        <v>454835.67</v>
      </c>
      <c r="AV14" s="72">
        <f t="shared" si="10"/>
        <v>454.83566999999999</v>
      </c>
      <c r="AW14" s="78">
        <f t="shared" si="11"/>
        <v>8.761013611386252</v>
      </c>
      <c r="AX14" s="74">
        <f t="shared" si="64"/>
        <v>4.2011448245629968E-2</v>
      </c>
      <c r="AY14" s="78">
        <f t="shared" si="65"/>
        <v>26.870223438509502</v>
      </c>
      <c r="AZ14" s="74">
        <f t="shared" si="66"/>
        <v>3.2496155415220329E-2</v>
      </c>
      <c r="BA14" s="79">
        <f t="shared" si="67"/>
        <v>0.20850001667897733</v>
      </c>
      <c r="BB14" s="80">
        <v>104922.5</v>
      </c>
      <c r="BC14" s="81">
        <f t="shared" si="12"/>
        <v>574665.89987950493</v>
      </c>
      <c r="BD14" s="82">
        <f t="shared" si="68"/>
        <v>5.8566490035877772</v>
      </c>
      <c r="BE14" s="81">
        <f t="shared" si="13"/>
        <v>11069.175315216311</v>
      </c>
      <c r="BF14" s="81">
        <f t="shared" si="14"/>
        <v>33949.406677480743</v>
      </c>
      <c r="BG14" s="80">
        <v>157.09409199999999</v>
      </c>
      <c r="BH14" s="83">
        <f t="shared" si="90"/>
        <v>11.654328624423393</v>
      </c>
      <c r="BI14" s="130">
        <f t="shared" si="15"/>
        <v>869.304149831519</v>
      </c>
      <c r="BJ14" s="83">
        <f t="shared" si="91"/>
        <v>4.5416050690896936</v>
      </c>
      <c r="BK14" s="83">
        <f t="shared" si="16"/>
        <v>16.744477162726685</v>
      </c>
      <c r="BL14" s="83">
        <f t="shared" si="17"/>
        <v>51.355683563684572</v>
      </c>
      <c r="BM14" s="81">
        <v>2835.9259999999999</v>
      </c>
      <c r="BN14" s="81">
        <f t="shared" si="18"/>
        <v>1729.8571000714287</v>
      </c>
      <c r="BO14" s="82">
        <v>23.338000000000001</v>
      </c>
      <c r="BP14" s="82">
        <f t="shared" si="19"/>
        <v>127.8234198707416</v>
      </c>
      <c r="BQ14" s="81">
        <f t="shared" si="20"/>
        <v>7412.1908478508376</v>
      </c>
      <c r="BR14" s="82">
        <v>14.920999999999999</v>
      </c>
      <c r="BS14" s="82">
        <f t="shared" si="21"/>
        <v>81.723080293569936</v>
      </c>
      <c r="BT14" s="82">
        <v>13.914</v>
      </c>
      <c r="BU14" s="82">
        <f t="shared" si="22"/>
        <v>76.207689779822545</v>
      </c>
      <c r="BV14" s="82">
        <v>14.637</v>
      </c>
      <c r="BW14" s="82">
        <f t="shared" si="23"/>
        <v>80.167597765363141</v>
      </c>
      <c r="BX14" s="82">
        <f t="shared" si="24"/>
        <v>131.20294012190749</v>
      </c>
      <c r="BY14" s="84">
        <v>18.257999999999999</v>
      </c>
      <c r="BZ14" s="83">
        <v>18.071246068530399</v>
      </c>
      <c r="CA14" s="78">
        <v>0.17963419358170232</v>
      </c>
      <c r="CB14" s="78">
        <v>0.11822421286761177</v>
      </c>
      <c r="CC14" s="86">
        <f t="shared" si="25"/>
        <v>0.17786422680265021</v>
      </c>
      <c r="CD14" s="86">
        <f t="shared" si="92"/>
        <v>1.0659818894401152E-2</v>
      </c>
      <c r="CE14" s="86">
        <f t="shared" si="69"/>
        <v>-4.413110276855059E-2</v>
      </c>
      <c r="CF14" s="86">
        <f t="shared" si="26"/>
        <v>0.98386566755231863</v>
      </c>
      <c r="CG14" s="86">
        <f t="shared" si="70"/>
        <v>-1.3428234449951448E-2</v>
      </c>
      <c r="CH14" s="86">
        <f t="shared" si="27"/>
        <v>0.64752006171328613</v>
      </c>
      <c r="CI14" s="86">
        <f t="shared" si="93"/>
        <v>-4.6227581339412849E-2</v>
      </c>
      <c r="CJ14" s="86">
        <f t="shared" si="28"/>
        <v>0.97417146895963524</v>
      </c>
      <c r="CK14" s="86">
        <f t="shared" si="94"/>
        <v>-4.5303434304319379E-2</v>
      </c>
      <c r="CL14" s="87">
        <v>250.25</v>
      </c>
      <c r="CM14" s="77">
        <f t="shared" si="71"/>
        <v>16.463815789473685</v>
      </c>
      <c r="CN14" s="77">
        <f t="shared" si="29"/>
        <v>90.173161296273889</v>
      </c>
      <c r="CO14" s="77">
        <f t="shared" si="72"/>
        <v>147.57812647430697</v>
      </c>
      <c r="CP14" s="74">
        <v>0.1435949817453698</v>
      </c>
      <c r="CQ14" s="74">
        <f t="shared" si="73"/>
        <v>8.6825084413405973E-2</v>
      </c>
      <c r="CR14" s="139">
        <f t="shared" si="30"/>
        <v>5.1634918642324779E-2</v>
      </c>
      <c r="CS14" s="74">
        <v>9.0705881572902491E-2</v>
      </c>
      <c r="CT14" s="77">
        <f t="shared" si="74"/>
        <v>5.1634918642324781</v>
      </c>
      <c r="CU14" s="77">
        <f t="shared" si="31"/>
        <v>28.28070908222411</v>
      </c>
      <c r="CV14" s="78">
        <f t="shared" si="32"/>
        <v>216.05534187586588</v>
      </c>
      <c r="CW14" s="74">
        <f t="shared" si="75"/>
        <v>-5.935463941350605E-2</v>
      </c>
      <c r="CX14" s="88">
        <f t="shared" si="76"/>
        <v>46.284437649986359</v>
      </c>
      <c r="CY14" s="77">
        <f t="shared" si="33"/>
        <v>61.101982692518355</v>
      </c>
      <c r="CZ14" s="89">
        <v>11.156000000000001</v>
      </c>
      <c r="DA14" s="74">
        <f t="shared" si="77"/>
        <v>2.0637990186722632E-3</v>
      </c>
      <c r="DB14" s="125">
        <v>9.2200000000000006</v>
      </c>
      <c r="DC14" s="125">
        <v>11.023999999999999</v>
      </c>
      <c r="DD14" s="74">
        <f t="shared" si="78"/>
        <v>0.98423886282189599</v>
      </c>
      <c r="DE14" s="74">
        <f t="shared" si="79"/>
        <v>0.98359383689231328</v>
      </c>
      <c r="DF14" s="75">
        <f t="shared" si="34"/>
        <v>0.97417146895963524</v>
      </c>
      <c r="DG14" s="75">
        <f t="shared" si="35"/>
        <v>0.97353304074766933</v>
      </c>
      <c r="DH14" s="74">
        <f t="shared" si="80"/>
        <v>-4.6227581339412849E-2</v>
      </c>
      <c r="DI14" s="75">
        <f t="shared" si="95"/>
        <v>-5.5877456200095543E-2</v>
      </c>
      <c r="DJ14" s="77">
        <f t="shared" si="96"/>
        <v>-4.6361721244826484</v>
      </c>
      <c r="DK14" s="75">
        <f t="shared" si="36"/>
        <v>0.97353304074766933</v>
      </c>
      <c r="DL14" s="77">
        <f t="shared" si="97"/>
        <v>8.545431433618953</v>
      </c>
      <c r="DM14" s="72">
        <v>16270.145573293923</v>
      </c>
      <c r="DN14" s="72">
        <v>21760.896430361627</v>
      </c>
      <c r="DO14" s="92">
        <v>15761.729340322838</v>
      </c>
      <c r="DP14" s="92">
        <f t="shared" si="98"/>
        <v>303.21010837978247</v>
      </c>
      <c r="DQ14" s="92">
        <v>20719.58171283724</v>
      </c>
      <c r="DR14" s="72">
        <v>16270.145573293923</v>
      </c>
      <c r="DS14" s="72">
        <v>21760.896430361627</v>
      </c>
      <c r="DT14" s="72">
        <v>25834.5</v>
      </c>
      <c r="DU14" s="72">
        <v>679.75</v>
      </c>
      <c r="DV14" s="72">
        <v>7127</v>
      </c>
      <c r="DW14" s="93">
        <v>1.1579999999999999</v>
      </c>
      <c r="DX14" s="67">
        <v>8.52</v>
      </c>
      <c r="DY14" s="67">
        <v>8.64</v>
      </c>
      <c r="EB14" s="72">
        <v>12335.683192993143</v>
      </c>
      <c r="EC14" s="78">
        <v>9.6395869793942275</v>
      </c>
      <c r="ED14" s="72">
        <f t="shared" si="37"/>
        <v>13920</v>
      </c>
      <c r="EE14" s="72">
        <f t="shared" si="38"/>
        <v>16552.396039603962</v>
      </c>
      <c r="EF14" s="72">
        <f t="shared" si="39"/>
        <v>171712710046.46454</v>
      </c>
      <c r="EG14" s="74">
        <f t="shared" si="81"/>
        <v>0.17786422680265021</v>
      </c>
      <c r="EH14" s="74">
        <f t="shared" si="40"/>
        <v>1.7145376847868488</v>
      </c>
      <c r="EI14" s="75">
        <f t="shared" si="41"/>
        <v>0.97417146895963524</v>
      </c>
      <c r="EJ14" s="75">
        <f t="shared" si="42"/>
        <v>1.7145376847868485</v>
      </c>
      <c r="EK14" s="78">
        <f t="shared" si="43"/>
        <v>9.3906106078806477</v>
      </c>
      <c r="EL14" s="72">
        <f t="shared" si="44"/>
        <v>3307.5184933606824</v>
      </c>
      <c r="EM14" s="72">
        <f t="shared" si="45"/>
        <v>10144.232720754944</v>
      </c>
      <c r="EN14" s="72">
        <f t="shared" si="46"/>
        <v>319.08671478155389</v>
      </c>
      <c r="EO14" s="72">
        <f t="shared" si="47"/>
        <v>238.57414682404814</v>
      </c>
      <c r="EP14" s="75">
        <f t="shared" si="48"/>
        <v>9.0925127183510215E-2</v>
      </c>
      <c r="EQ14" s="77">
        <f t="shared" si="82"/>
        <v>10.998059953017648</v>
      </c>
      <c r="ER14" s="60"/>
      <c r="ES14" s="60"/>
      <c r="ET14" s="60"/>
      <c r="EX14" s="78"/>
      <c r="EY14" s="132">
        <f t="shared" si="49"/>
        <v>0.83770046967123901</v>
      </c>
      <c r="EZ14" s="78">
        <v>0.57549504007122432</v>
      </c>
      <c r="FA14" s="72">
        <f t="shared" si="83"/>
        <v>12.739462366957072</v>
      </c>
      <c r="FB14" s="78">
        <f t="shared" si="84"/>
        <v>2.046719259283369</v>
      </c>
      <c r="FC14" s="78">
        <f t="shared" si="85"/>
        <v>2.046719259283369</v>
      </c>
      <c r="FD14" s="78">
        <f t="shared" si="86"/>
        <v>48.858679345702562</v>
      </c>
      <c r="FE14" s="72">
        <f t="shared" si="87"/>
        <v>367.50957400711815</v>
      </c>
    </row>
    <row r="15" spans="1:161" s="67" customFormat="1" x14ac:dyDescent="0.2">
      <c r="A15" s="68">
        <v>1973</v>
      </c>
      <c r="B15" s="72">
        <v>51915.873</v>
      </c>
      <c r="C15" s="72">
        <v>52320.724999999999</v>
      </c>
      <c r="D15" s="72">
        <v>52118.298999999999</v>
      </c>
      <c r="E15" s="72">
        <v>52118.298999999999</v>
      </c>
      <c r="F15" s="117">
        <v>72.256</v>
      </c>
      <c r="G15" s="72">
        <f t="shared" si="50"/>
        <v>37658.598125439996</v>
      </c>
      <c r="H15" s="72">
        <v>17225.778963311008</v>
      </c>
      <c r="I15" s="73">
        <v>61.6</v>
      </c>
      <c r="J15" s="73"/>
      <c r="K15" s="67">
        <f t="shared" si="51"/>
        <v>1461</v>
      </c>
      <c r="L15" s="67">
        <v>16624</v>
      </c>
      <c r="M15" s="67">
        <f t="shared" si="52"/>
        <v>130</v>
      </c>
      <c r="N15" s="67">
        <v>580</v>
      </c>
      <c r="O15" s="67">
        <f t="shared" si="0"/>
        <v>17204</v>
      </c>
      <c r="P15" s="74">
        <f t="shared" si="53"/>
        <v>0.96628691002092537</v>
      </c>
      <c r="Q15" s="74">
        <f t="shared" si="54"/>
        <v>3.3713089979074636E-2</v>
      </c>
      <c r="R15" s="77">
        <f t="shared" si="55"/>
        <v>9.6352964452944612</v>
      </c>
      <c r="S15" s="77">
        <f t="shared" si="56"/>
        <v>28.888888888888896</v>
      </c>
      <c r="T15" s="77">
        <f t="shared" si="57"/>
        <v>9.7038014362105685</v>
      </c>
      <c r="U15" s="67">
        <f t="shared" si="58"/>
        <v>1591</v>
      </c>
      <c r="V15" s="75">
        <f t="shared" si="1"/>
        <v>0.32881807352631298</v>
      </c>
      <c r="W15" s="77">
        <f t="shared" si="88"/>
        <v>8.9270031838710739</v>
      </c>
      <c r="X15" s="74">
        <f t="shared" si="59"/>
        <v>0.99873567614228687</v>
      </c>
      <c r="Y15" s="77">
        <f t="shared" si="88"/>
        <v>7.9548426400280068</v>
      </c>
      <c r="Z15" s="72">
        <f t="shared" si="2"/>
        <v>13643.673760000001</v>
      </c>
      <c r="AA15" s="77">
        <f t="shared" si="89"/>
        <v>10.226771945241042</v>
      </c>
      <c r="AB15" s="74">
        <f t="shared" si="3"/>
        <v>0.26076996754154308</v>
      </c>
      <c r="AC15" s="77">
        <f t="shared" si="89"/>
        <v>9.3738493399909473</v>
      </c>
      <c r="AD15" s="74">
        <f t="shared" si="60"/>
        <v>0.79204974062766675</v>
      </c>
      <c r="AE15" s="77">
        <f t="shared" si="61"/>
        <v>8.3157116635886439</v>
      </c>
      <c r="AF15" s="72">
        <v>13720</v>
      </c>
      <c r="AG15" s="72">
        <v>200</v>
      </c>
      <c r="AH15" s="72">
        <f t="shared" si="4"/>
        <v>13920</v>
      </c>
      <c r="AI15" s="72">
        <v>14390</v>
      </c>
      <c r="AJ15" s="72">
        <v>230</v>
      </c>
      <c r="AK15" s="72">
        <v>14620</v>
      </c>
      <c r="AL15" s="72">
        <f t="shared" si="5"/>
        <v>14055</v>
      </c>
      <c r="AM15" s="72">
        <f t="shared" si="6"/>
        <v>215</v>
      </c>
      <c r="AN15" s="72">
        <f t="shared" si="7"/>
        <v>14270</v>
      </c>
      <c r="AO15" s="74">
        <f t="shared" si="8"/>
        <v>0.27943037868836873</v>
      </c>
      <c r="AP15" s="74">
        <f t="shared" si="9"/>
        <v>0.27380018676357798</v>
      </c>
      <c r="AQ15" s="74">
        <f t="shared" si="62"/>
        <v>0.82840956164557267</v>
      </c>
      <c r="AR15" s="67">
        <v>1745830</v>
      </c>
      <c r="AS15" s="72">
        <v>94051.126000000004</v>
      </c>
      <c r="AT15" s="77">
        <f t="shared" si="63"/>
        <v>13.251629452281577</v>
      </c>
      <c r="AU15" s="72">
        <v>480197.64299999998</v>
      </c>
      <c r="AV15" s="72">
        <f t="shared" si="10"/>
        <v>480.19764299999997</v>
      </c>
      <c r="AW15" s="78">
        <f t="shared" si="11"/>
        <v>9.1779623275480215</v>
      </c>
      <c r="AX15" s="74">
        <f t="shared" si="64"/>
        <v>4.6493604000140021E-2</v>
      </c>
      <c r="AY15" s="78">
        <f t="shared" si="65"/>
        <v>27.876686681210035</v>
      </c>
      <c r="AZ15" s="74">
        <f t="shared" si="66"/>
        <v>3.6771998561709651E-2</v>
      </c>
      <c r="BA15" s="79">
        <f t="shared" si="67"/>
        <v>0.20914533220543641</v>
      </c>
      <c r="BB15" s="80">
        <v>118923.4</v>
      </c>
      <c r="BC15" s="81">
        <f t="shared" si="12"/>
        <v>607185.74491984071</v>
      </c>
      <c r="BD15" s="82">
        <f t="shared" si="68"/>
        <v>5.6589133002592495</v>
      </c>
      <c r="BE15" s="81">
        <f t="shared" si="13"/>
        <v>11605.071315809189</v>
      </c>
      <c r="BF15" s="81">
        <f t="shared" si="14"/>
        <v>35248.666908653518</v>
      </c>
      <c r="BG15" s="80">
        <v>180.14144099999999</v>
      </c>
      <c r="BH15" s="83">
        <f t="shared" si="90"/>
        <v>14.671047591019537</v>
      </c>
      <c r="BI15" s="130">
        <f t="shared" si="15"/>
        <v>924.16133545339687</v>
      </c>
      <c r="BJ15" s="83">
        <f t="shared" si="91"/>
        <v>6.3104709246481594</v>
      </c>
      <c r="BK15" s="83">
        <f t="shared" si="16"/>
        <v>17.663389325231961</v>
      </c>
      <c r="BL15" s="83">
        <f t="shared" si="17"/>
        <v>53.649900966554704</v>
      </c>
      <c r="BM15" s="81">
        <v>3240.3470000000002</v>
      </c>
      <c r="BN15" s="81">
        <f t="shared" si="18"/>
        <v>1856.0495580898485</v>
      </c>
      <c r="BO15" s="82">
        <v>24.657</v>
      </c>
      <c r="BP15" s="82">
        <f t="shared" si="19"/>
        <v>125.89094250995609</v>
      </c>
      <c r="BQ15" s="81">
        <f t="shared" si="20"/>
        <v>7527.4751919935443</v>
      </c>
      <c r="BR15" s="82">
        <v>15.622</v>
      </c>
      <c r="BS15" s="82">
        <f t="shared" si="21"/>
        <v>79.761053813948749</v>
      </c>
      <c r="BT15" s="82">
        <v>15.098000000000001</v>
      </c>
      <c r="BU15" s="82">
        <f t="shared" si="22"/>
        <v>77.085673440212418</v>
      </c>
      <c r="BV15" s="82">
        <v>15.779</v>
      </c>
      <c r="BW15" s="82">
        <f t="shared" si="23"/>
        <v>80.562646788522429</v>
      </c>
      <c r="BX15" s="82">
        <f t="shared" si="24"/>
        <v>136.26079447322971</v>
      </c>
      <c r="BY15" s="84">
        <v>19.585999999999999</v>
      </c>
      <c r="BZ15" s="83">
        <v>19.49242346431015</v>
      </c>
      <c r="CA15" s="78">
        <v>0.18788851909128781</v>
      </c>
      <c r="CB15" s="78">
        <v>0.12225140773963335</v>
      </c>
      <c r="CC15" s="86">
        <f t="shared" si="25"/>
        <v>0.18567568925032296</v>
      </c>
      <c r="CD15" s="86">
        <f t="shared" si="92"/>
        <v>4.391811995078676E-2</v>
      </c>
      <c r="CE15" s="86">
        <f t="shared" si="69"/>
        <v>-2.4565559866788989E-2</v>
      </c>
      <c r="CF15" s="86">
        <f t="shared" si="26"/>
        <v>0.95930010768552965</v>
      </c>
      <c r="CG15" s="86">
        <f t="shared" si="70"/>
        <v>-2.3342548491426807E-2</v>
      </c>
      <c r="CH15" s="86">
        <f t="shared" si="27"/>
        <v>0.62417751322185933</v>
      </c>
      <c r="CI15" s="86">
        <f t="shared" si="93"/>
        <v>-2.6169379455280306E-2</v>
      </c>
      <c r="CJ15" s="86">
        <f t="shared" si="28"/>
        <v>0.94800208950435494</v>
      </c>
      <c r="CK15" s="86">
        <f t="shared" si="94"/>
        <v>-2.6863216886476748E-2</v>
      </c>
      <c r="CL15" s="87">
        <v>271</v>
      </c>
      <c r="CM15" s="77">
        <f t="shared" si="71"/>
        <v>17.828947368421051</v>
      </c>
      <c r="CN15" s="77">
        <f t="shared" si="29"/>
        <v>91.029037927198274</v>
      </c>
      <c r="CO15" s="77">
        <f t="shared" si="72"/>
        <v>153.96327606581218</v>
      </c>
      <c r="CP15" s="74">
        <v>0.15880685410245712</v>
      </c>
      <c r="CQ15" s="74">
        <f t="shared" si="73"/>
        <v>0.10069199979524179</v>
      </c>
      <c r="CR15" s="139">
        <f t="shared" si="30"/>
        <v>5.6785717179874844E-2</v>
      </c>
      <c r="CS15" s="74">
        <v>0.10593596079883771</v>
      </c>
      <c r="CT15" s="77">
        <f t="shared" si="74"/>
        <v>5.6785717179874844</v>
      </c>
      <c r="CU15" s="77">
        <f t="shared" si="31"/>
        <v>28.993013979309122</v>
      </c>
      <c r="CV15" s="78">
        <f t="shared" si="32"/>
        <v>203.92451790859855</v>
      </c>
      <c r="CW15" s="74">
        <f t="shared" si="75"/>
        <v>-5.7784672134079784E-2</v>
      </c>
      <c r="CX15" s="88">
        <f t="shared" si="76"/>
        <v>49.037752314226985</v>
      </c>
      <c r="CY15" s="77">
        <f t="shared" si="33"/>
        <v>59.123863984478717</v>
      </c>
      <c r="CZ15" s="89">
        <v>11.58</v>
      </c>
      <c r="DA15" s="74">
        <f t="shared" si="77"/>
        <v>3.730200237960668E-2</v>
      </c>
      <c r="DB15" s="125">
        <v>9.4979999999999993</v>
      </c>
      <c r="DC15" s="125">
        <v>11.443</v>
      </c>
      <c r="DD15" s="74">
        <f t="shared" si="78"/>
        <v>0.95255312706646122</v>
      </c>
      <c r="DE15" s="74">
        <f t="shared" si="79"/>
        <v>0.95180951633995925</v>
      </c>
      <c r="DF15" s="75">
        <f t="shared" si="34"/>
        <v>0.94800208950435494</v>
      </c>
      <c r="DG15" s="75">
        <f t="shared" si="35"/>
        <v>0.9472620315459368</v>
      </c>
      <c r="DH15" s="74">
        <f t="shared" si="80"/>
        <v>-2.6169379455280306E-2</v>
      </c>
      <c r="DI15" s="75">
        <f t="shared" si="95"/>
        <v>-3.1685735755434763E-2</v>
      </c>
      <c r="DJ15" s="77">
        <f t="shared" si="96"/>
        <v>-2.7230627936907532</v>
      </c>
      <c r="DK15" s="75">
        <f t="shared" si="36"/>
        <v>0.9472620315459368</v>
      </c>
      <c r="DL15" s="77">
        <f t="shared" si="97"/>
        <v>8.7301477391917128</v>
      </c>
      <c r="DM15" s="72">
        <v>16527.02733592167</v>
      </c>
      <c r="DN15" s="72">
        <v>22026.411356979283</v>
      </c>
      <c r="DO15" s="92">
        <v>16071.115558892521</v>
      </c>
      <c r="DP15" s="92">
        <f t="shared" si="98"/>
        <v>309.38621856968348</v>
      </c>
      <c r="DQ15" s="92">
        <v>21091.169682324005</v>
      </c>
      <c r="DR15" s="72">
        <v>16527.02733592167</v>
      </c>
      <c r="DS15" s="72">
        <v>22026.411356979283</v>
      </c>
      <c r="DT15" s="72">
        <v>26174.15</v>
      </c>
      <c r="DU15" s="72">
        <v>726.06</v>
      </c>
      <c r="DV15" s="72">
        <v>7604</v>
      </c>
      <c r="DW15" s="93">
        <v>1.244</v>
      </c>
      <c r="DX15" s="67">
        <v>8.52</v>
      </c>
      <c r="DY15" s="67">
        <v>8.64</v>
      </c>
      <c r="EB15" s="72">
        <v>13000</v>
      </c>
      <c r="EC15" s="78">
        <v>9.5070733863837305</v>
      </c>
      <c r="ED15" s="72">
        <f t="shared" si="37"/>
        <v>14620</v>
      </c>
      <c r="EE15" s="72">
        <f t="shared" si="38"/>
        <v>18069.143678160919</v>
      </c>
      <c r="EF15" s="72">
        <f t="shared" si="39"/>
        <v>190060000000</v>
      </c>
      <c r="EG15" s="74">
        <f t="shared" si="81"/>
        <v>0.18567568925032296</v>
      </c>
      <c r="EH15" s="74">
        <f t="shared" si="40"/>
        <v>1.7652324037702012</v>
      </c>
      <c r="EI15" s="75">
        <f t="shared" si="41"/>
        <v>0.94800208950435494</v>
      </c>
      <c r="EJ15" s="75">
        <f t="shared" si="42"/>
        <v>1.765232403770201</v>
      </c>
      <c r="EK15" s="78">
        <f t="shared" si="43"/>
        <v>9.01272543536302</v>
      </c>
      <c r="EL15" s="72">
        <f t="shared" si="44"/>
        <v>3632.5949229487933</v>
      </c>
      <c r="EM15" s="72">
        <f t="shared" si="45"/>
        <v>11033.46329967467</v>
      </c>
      <c r="EN15" s="72">
        <f t="shared" si="46"/>
        <v>316.57674387867894</v>
      </c>
      <c r="EO15" s="72">
        <f t="shared" si="47"/>
        <v>237.53631107693658</v>
      </c>
      <c r="EP15" s="75">
        <f t="shared" si="48"/>
        <v>9.0518783542039349E-2</v>
      </c>
      <c r="EQ15" s="77">
        <f t="shared" si="82"/>
        <v>11.047430830039527</v>
      </c>
      <c r="ER15" s="60"/>
      <c r="ES15" s="60"/>
      <c r="ET15" s="60"/>
      <c r="EX15" s="78"/>
      <c r="EY15" s="132">
        <f t="shared" si="49"/>
        <v>0.89927977571991935</v>
      </c>
      <c r="EZ15" s="78">
        <v>0.6177996423546056</v>
      </c>
      <c r="FA15" s="72">
        <f t="shared" si="83"/>
        <v>12.388293004922529</v>
      </c>
      <c r="FB15" s="78">
        <f t="shared" si="84"/>
        <v>1.9629401788303786</v>
      </c>
      <c r="FC15" s="78">
        <f t="shared" si="85"/>
        <v>1.9629401788303786</v>
      </c>
      <c r="FD15" s="78">
        <f t="shared" si="86"/>
        <v>50.943987533835688</v>
      </c>
      <c r="FE15" s="72">
        <f t="shared" si="87"/>
        <v>371.44762922735509</v>
      </c>
    </row>
    <row r="16" spans="1:161" s="67" customFormat="1" x14ac:dyDescent="0.2">
      <c r="A16" s="68">
        <v>1974</v>
      </c>
      <c r="B16" s="72">
        <v>52320.724999999999</v>
      </c>
      <c r="C16" s="72">
        <v>52600</v>
      </c>
      <c r="D16" s="72">
        <v>52460.362999999998</v>
      </c>
      <c r="E16" s="72">
        <v>52460.362500000003</v>
      </c>
      <c r="F16" s="117">
        <v>72.650000000000006</v>
      </c>
      <c r="G16" s="72">
        <f t="shared" si="50"/>
        <v>38112.45335625</v>
      </c>
      <c r="H16" s="72">
        <v>17507.507830107726</v>
      </c>
      <c r="I16" s="73">
        <v>62.7</v>
      </c>
      <c r="J16" s="73"/>
      <c r="K16" s="67">
        <f t="shared" si="51"/>
        <v>-771</v>
      </c>
      <c r="L16" s="67">
        <v>15853</v>
      </c>
      <c r="M16" s="67">
        <f t="shared" si="52"/>
        <v>120</v>
      </c>
      <c r="N16" s="67">
        <v>700</v>
      </c>
      <c r="O16" s="67">
        <f t="shared" si="0"/>
        <v>16553</v>
      </c>
      <c r="P16" s="74">
        <f t="shared" si="53"/>
        <v>0.95771159306470122</v>
      </c>
      <c r="Q16" s="74">
        <f t="shared" si="54"/>
        <v>4.2288406935298735E-2</v>
      </c>
      <c r="R16" s="77">
        <f t="shared" si="55"/>
        <v>-4.6378729547641999</v>
      </c>
      <c r="S16" s="77">
        <f t="shared" si="56"/>
        <v>20.68965517241379</v>
      </c>
      <c r="T16" s="77">
        <f t="shared" si="57"/>
        <v>-3.8574560643461098</v>
      </c>
      <c r="U16" s="94">
        <f t="shared" si="58"/>
        <v>-651</v>
      </c>
      <c r="V16" s="75">
        <f t="shared" si="1"/>
        <v>0.3146958174904943</v>
      </c>
      <c r="W16" s="77">
        <f t="shared" si="88"/>
        <v>-4.3898116300551182</v>
      </c>
      <c r="X16" s="74">
        <f t="shared" si="59"/>
        <v>0.94548008549416407</v>
      </c>
      <c r="Y16" s="77">
        <f t="shared" si="88"/>
        <v>-5.4797329723017585</v>
      </c>
      <c r="Z16" s="72">
        <f t="shared" si="2"/>
        <v>13135.02772</v>
      </c>
      <c r="AA16" s="77">
        <f t="shared" si="89"/>
        <v>-3.7280724308377255</v>
      </c>
      <c r="AB16" s="74">
        <f t="shared" si="3"/>
        <v>0.24971535589353613</v>
      </c>
      <c r="AC16" s="77">
        <f t="shared" si="89"/>
        <v>-4.2392196280217176</v>
      </c>
      <c r="AD16" s="74">
        <f t="shared" si="60"/>
        <v>0.75025114067986554</v>
      </c>
      <c r="AE16" s="77">
        <f t="shared" si="61"/>
        <v>-5.2772695708071975</v>
      </c>
      <c r="AF16" s="72">
        <v>14390</v>
      </c>
      <c r="AG16" s="72">
        <v>230</v>
      </c>
      <c r="AH16" s="72">
        <f t="shared" si="4"/>
        <v>14620</v>
      </c>
      <c r="AI16" s="72">
        <v>14910</v>
      </c>
      <c r="AJ16" s="72">
        <v>270</v>
      </c>
      <c r="AK16" s="72">
        <v>15180</v>
      </c>
      <c r="AL16" s="72">
        <f t="shared" si="5"/>
        <v>14650</v>
      </c>
      <c r="AM16" s="72">
        <f t="shared" si="6"/>
        <v>250</v>
      </c>
      <c r="AN16" s="72">
        <f t="shared" si="7"/>
        <v>14900</v>
      </c>
      <c r="AO16" s="74">
        <f t="shared" si="8"/>
        <v>0.28859315589353612</v>
      </c>
      <c r="AP16" s="74">
        <f t="shared" si="9"/>
        <v>0.28402395919372497</v>
      </c>
      <c r="AQ16" s="74">
        <f t="shared" si="62"/>
        <v>0.85106344915501986</v>
      </c>
      <c r="AR16" s="67">
        <v>1524838</v>
      </c>
      <c r="AS16" s="72">
        <v>110624.375</v>
      </c>
      <c r="AT16" s="77">
        <f t="shared" si="63"/>
        <v>17.621531718822791</v>
      </c>
      <c r="AU16" s="72">
        <v>493793.391</v>
      </c>
      <c r="AV16" s="72">
        <f t="shared" si="10"/>
        <v>493.79339099999999</v>
      </c>
      <c r="AW16" s="78">
        <f t="shared" si="11"/>
        <v>9.3877070532319387</v>
      </c>
      <c r="AX16" s="74">
        <f t="shared" si="64"/>
        <v>2.2595861799710626E-2</v>
      </c>
      <c r="AY16" s="78">
        <f t="shared" si="65"/>
        <v>28.204664866739151</v>
      </c>
      <c r="AZ16" s="74">
        <f t="shared" si="66"/>
        <v>1.169664837724449E-2</v>
      </c>
      <c r="BA16" s="79">
        <f t="shared" si="67"/>
        <v>0.21457435191811791</v>
      </c>
      <c r="BB16" s="80">
        <v>140846.39999999999</v>
      </c>
      <c r="BC16" s="81">
        <f t="shared" si="12"/>
        <v>628694.37128955952</v>
      </c>
      <c r="BD16" s="82">
        <f t="shared" si="68"/>
        <v>3.5423470576632754</v>
      </c>
      <c r="BE16" s="81">
        <f t="shared" si="13"/>
        <v>11952.364473185542</v>
      </c>
      <c r="BF16" s="81">
        <f t="shared" si="14"/>
        <v>35909.986583492566</v>
      </c>
      <c r="BG16" s="80">
        <v>210.08055600000003</v>
      </c>
      <c r="BH16" s="83">
        <f t="shared" si="90"/>
        <v>16.619782118874049</v>
      </c>
      <c r="BI16" s="130">
        <f t="shared" si="15"/>
        <v>963.81959556740458</v>
      </c>
      <c r="BJ16" s="83">
        <f t="shared" si="91"/>
        <v>4.2912702136095326</v>
      </c>
      <c r="BK16" s="83">
        <f t="shared" si="16"/>
        <v>18.323566455654078</v>
      </c>
      <c r="BL16" s="83">
        <f t="shared" si="17"/>
        <v>55.051787205824944</v>
      </c>
      <c r="BM16" s="81">
        <v>3061.4679999999998</v>
      </c>
      <c r="BN16" s="81">
        <f t="shared" si="18"/>
        <v>2007.7332805189797</v>
      </c>
      <c r="BO16" s="82">
        <v>27.533000000000001</v>
      </c>
      <c r="BP16" s="82">
        <f t="shared" si="19"/>
        <v>122.89871892157302</v>
      </c>
      <c r="BQ16" s="81">
        <f t="shared" si="20"/>
        <v>7292.0977754657306</v>
      </c>
      <c r="BR16" s="82">
        <v>18.812000000000001</v>
      </c>
      <c r="BS16" s="82">
        <f t="shared" si="21"/>
        <v>83.970896754898902</v>
      </c>
      <c r="BT16" s="82">
        <v>17.561</v>
      </c>
      <c r="BU16" s="82">
        <f t="shared" si="22"/>
        <v>78.386823193322329</v>
      </c>
      <c r="BV16" s="82">
        <v>16.899000000000001</v>
      </c>
      <c r="BW16" s="82">
        <f t="shared" si="23"/>
        <v>75.431861804222663</v>
      </c>
      <c r="BX16" s="82">
        <f t="shared" si="24"/>
        <v>104.78050595238096</v>
      </c>
      <c r="BY16" s="84">
        <v>22.402999999999999</v>
      </c>
      <c r="BZ16" s="83">
        <v>21.796667858399864</v>
      </c>
      <c r="CA16" s="78">
        <v>0.26562131000342731</v>
      </c>
      <c r="CB16" s="78">
        <v>0.16489902031179896</v>
      </c>
      <c r="CC16" s="86">
        <f t="shared" si="25"/>
        <v>0.26136192482949266</v>
      </c>
      <c r="CD16" s="86">
        <f t="shared" si="92"/>
        <v>0.40762598423497187</v>
      </c>
      <c r="CE16" s="86">
        <f t="shared" si="69"/>
        <v>0.22635051947791873</v>
      </c>
      <c r="CF16" s="86">
        <f t="shared" si="26"/>
        <v>1.1856506271634484</v>
      </c>
      <c r="CG16" s="86">
        <f t="shared" si="70"/>
        <v>0.11188024829132626</v>
      </c>
      <c r="CH16" s="86">
        <f t="shared" si="27"/>
        <v>0.73605776151318558</v>
      </c>
      <c r="CI16" s="86">
        <f t="shared" si="93"/>
        <v>0.21863597160126813</v>
      </c>
      <c r="CJ16" s="86">
        <f t="shared" si="28"/>
        <v>1.1666380611056231</v>
      </c>
      <c r="CK16" s="86">
        <f t="shared" si="94"/>
        <v>0.23062815369486978</v>
      </c>
      <c r="CL16" s="87">
        <v>313.5</v>
      </c>
      <c r="CM16" s="77">
        <f t="shared" si="71"/>
        <v>20.625</v>
      </c>
      <c r="CN16" s="77">
        <f t="shared" si="29"/>
        <v>92.063562915680947</v>
      </c>
      <c r="CO16" s="77">
        <f t="shared" si="72"/>
        <v>127.88318452380952</v>
      </c>
      <c r="CP16" s="74">
        <v>0.18231473688698985</v>
      </c>
      <c r="CQ16" s="74">
        <f t="shared" si="73"/>
        <v>0.13804580733750171</v>
      </c>
      <c r="CR16" s="139">
        <f t="shared" si="30"/>
        <v>6.3514149647056983E-2</v>
      </c>
      <c r="CS16" s="74">
        <v>0.14802813718207775</v>
      </c>
      <c r="CT16" s="77">
        <f t="shared" si="74"/>
        <v>6.3514149647056986</v>
      </c>
      <c r="CU16" s="77">
        <f t="shared" si="31"/>
        <v>28.350734119116634</v>
      </c>
      <c r="CV16" s="78">
        <f t="shared" si="32"/>
        <v>253.92766949761582</v>
      </c>
      <c r="CW16" s="74">
        <f t="shared" si="75"/>
        <v>0.21929954558608689</v>
      </c>
      <c r="CX16" s="88">
        <f t="shared" si="76"/>
        <v>39.381293183939107</v>
      </c>
      <c r="CY16" s="77">
        <f t="shared" si="33"/>
        <v>71.990358434138287</v>
      </c>
      <c r="CZ16" s="89">
        <v>16.128</v>
      </c>
      <c r="DA16" s="74">
        <f t="shared" si="77"/>
        <v>0.33127741974410885</v>
      </c>
      <c r="DB16" s="125">
        <v>12.68</v>
      </c>
      <c r="DC16" s="125">
        <v>16.145</v>
      </c>
      <c r="DD16" s="74">
        <f t="shared" si="78"/>
        <v>1.1990911937889195</v>
      </c>
      <c r="DE16" s="74">
        <f t="shared" si="79"/>
        <v>1.1978232601194887</v>
      </c>
      <c r="DF16" s="75">
        <f t="shared" si="34"/>
        <v>1.1666380611056231</v>
      </c>
      <c r="DG16" s="75">
        <f t="shared" si="35"/>
        <v>1.1654044437749502</v>
      </c>
      <c r="DH16" s="74">
        <f t="shared" si="80"/>
        <v>0.21863597160126813</v>
      </c>
      <c r="DI16" s="75">
        <f t="shared" si="95"/>
        <v>0.24653806672245826</v>
      </c>
      <c r="DJ16" s="77">
        <f t="shared" si="96"/>
        <v>20.75247330853648</v>
      </c>
      <c r="DK16" s="75">
        <f t="shared" si="36"/>
        <v>1.1654044437749502</v>
      </c>
      <c r="DL16" s="77">
        <f t="shared" si="97"/>
        <v>11.302872964020354</v>
      </c>
      <c r="DM16" s="72">
        <v>16805.800250389308</v>
      </c>
      <c r="DN16" s="72">
        <v>22325.272999207678</v>
      </c>
      <c r="DO16" s="92">
        <v>16494.856783515628</v>
      </c>
      <c r="DP16" s="92">
        <f t="shared" si="98"/>
        <v>423.74122462310697</v>
      </c>
      <c r="DQ16" s="92">
        <v>21658.347301758149</v>
      </c>
      <c r="DR16" s="72">
        <v>16805.800250389308</v>
      </c>
      <c r="DS16" s="72">
        <v>22325.272999207678</v>
      </c>
      <c r="DT16" s="72">
        <v>26488.62</v>
      </c>
      <c r="DU16" s="72">
        <v>732.76</v>
      </c>
      <c r="DV16" s="72">
        <v>7586</v>
      </c>
      <c r="DW16" s="93">
        <v>1.228</v>
      </c>
      <c r="DX16" s="67">
        <v>8.52</v>
      </c>
      <c r="DY16" s="67">
        <v>8.64</v>
      </c>
      <c r="EB16" s="72">
        <v>13080</v>
      </c>
      <c r="EC16" s="78">
        <v>8.6560867146090352</v>
      </c>
      <c r="ED16" s="72">
        <f t="shared" si="37"/>
        <v>15180</v>
      </c>
      <c r="EE16" s="72">
        <f t="shared" si="38"/>
        <v>17187.041039671683</v>
      </c>
      <c r="EF16" s="72">
        <f t="shared" si="39"/>
        <v>198554400000</v>
      </c>
      <c r="EG16" s="74">
        <f t="shared" si="81"/>
        <v>0.26136192482949266</v>
      </c>
      <c r="EH16" s="74">
        <f t="shared" si="40"/>
        <v>2.2623714852212169</v>
      </c>
      <c r="EI16" s="75">
        <f t="shared" si="41"/>
        <v>1.1666380611056231</v>
      </c>
      <c r="EJ16" s="75">
        <f t="shared" si="42"/>
        <v>2.2623714852212173</v>
      </c>
      <c r="EK16" s="78">
        <f t="shared" si="43"/>
        <v>10.098520221493628</v>
      </c>
      <c r="EL16" s="72">
        <f t="shared" si="44"/>
        <v>3774.7984790874525</v>
      </c>
      <c r="EM16" s="72">
        <f t="shared" si="45"/>
        <v>11341.100168382918</v>
      </c>
      <c r="EN16" s="72">
        <f t="shared" si="46"/>
        <v>312.98717833315624</v>
      </c>
      <c r="EO16" s="72">
        <f t="shared" si="47"/>
        <v>235.60742124795863</v>
      </c>
      <c r="EP16" s="75">
        <f t="shared" si="48"/>
        <v>8.3367580874561323E-2</v>
      </c>
      <c r="EQ16" s="77">
        <f t="shared" si="82"/>
        <v>11.995070379991544</v>
      </c>
      <c r="ER16" s="60"/>
      <c r="ES16" s="60"/>
      <c r="ET16" s="60"/>
      <c r="EX16" s="78"/>
      <c r="EY16" s="132">
        <f t="shared" si="49"/>
        <v>1.0106033259941105</v>
      </c>
      <c r="EZ16" s="78">
        <v>0.69427823266870659</v>
      </c>
      <c r="FA16" s="72">
        <f t="shared" si="83"/>
        <v>15.517181753131247</v>
      </c>
      <c r="FB16" s="78">
        <f t="shared" si="84"/>
        <v>2.2386345136908852</v>
      </c>
      <c r="FC16" s="78">
        <f t="shared" si="85"/>
        <v>2.2386345136908852</v>
      </c>
      <c r="FD16" s="78">
        <f t="shared" si="86"/>
        <v>44.670087675512441</v>
      </c>
      <c r="FE16" s="72">
        <f t="shared" si="87"/>
        <v>426.22420859929281</v>
      </c>
    </row>
    <row r="17" spans="1:161" s="67" customFormat="1" x14ac:dyDescent="0.2">
      <c r="A17" s="68">
        <v>1975</v>
      </c>
      <c r="B17" s="72">
        <v>52600</v>
      </c>
      <c r="C17" s="72">
        <v>52798.338000000003</v>
      </c>
      <c r="D17" s="72">
        <v>52699.169000000002</v>
      </c>
      <c r="E17" s="72">
        <v>52699.169000000002</v>
      </c>
      <c r="F17" s="117">
        <v>72.926000000000002</v>
      </c>
      <c r="G17" s="72">
        <f t="shared" si="50"/>
        <v>38431.395984940005</v>
      </c>
      <c r="H17" s="72">
        <v>17778.783859090432</v>
      </c>
      <c r="I17" s="73">
        <v>64.099999999999994</v>
      </c>
      <c r="J17" s="73"/>
      <c r="K17" s="67">
        <f t="shared" si="51"/>
        <v>737</v>
      </c>
      <c r="L17" s="67">
        <v>16590</v>
      </c>
      <c r="M17" s="67">
        <f t="shared" si="52"/>
        <v>110</v>
      </c>
      <c r="N17" s="67">
        <v>810</v>
      </c>
      <c r="O17" s="67">
        <f t="shared" si="0"/>
        <v>17400</v>
      </c>
      <c r="P17" s="74">
        <f t="shared" si="53"/>
        <v>0.95344827586206893</v>
      </c>
      <c r="Q17" s="74">
        <f t="shared" si="54"/>
        <v>4.6551724137931037E-2</v>
      </c>
      <c r="R17" s="77">
        <f t="shared" si="55"/>
        <v>4.6489623415126413</v>
      </c>
      <c r="S17" s="77">
        <f t="shared" si="56"/>
        <v>15.714285714285726</v>
      </c>
      <c r="T17" s="77">
        <f t="shared" si="57"/>
        <v>4.9902851942455584</v>
      </c>
      <c r="U17" s="67">
        <f t="shared" si="58"/>
        <v>847</v>
      </c>
      <c r="V17" s="75">
        <f t="shared" si="1"/>
        <v>0.32955582806413336</v>
      </c>
      <c r="W17" s="77">
        <f t="shared" si="88"/>
        <v>4.613925874205016</v>
      </c>
      <c r="X17" s="74">
        <f t="shared" si="59"/>
        <v>0.97869461364216104</v>
      </c>
      <c r="Y17" s="77">
        <f t="shared" si="88"/>
        <v>3.4526831362768866</v>
      </c>
      <c r="Z17" s="72">
        <f t="shared" si="2"/>
        <v>13811.121600000002</v>
      </c>
      <c r="AA17" s="77">
        <f t="shared" si="89"/>
        <v>5.147258874608629</v>
      </c>
      <c r="AB17" s="74">
        <f t="shared" si="3"/>
        <v>0.26158250663117466</v>
      </c>
      <c r="AC17" s="77">
        <f t="shared" si="89"/>
        <v>4.7522711189206923</v>
      </c>
      <c r="AD17" s="74">
        <f t="shared" si="60"/>
        <v>0.7768316274871786</v>
      </c>
      <c r="AE17" s="77">
        <f t="shared" si="61"/>
        <v>3.5428785597348522</v>
      </c>
      <c r="AF17" s="72">
        <v>14910</v>
      </c>
      <c r="AG17" s="72">
        <v>270</v>
      </c>
      <c r="AH17" s="72">
        <f t="shared" si="4"/>
        <v>15180</v>
      </c>
      <c r="AI17" s="72">
        <v>15190</v>
      </c>
      <c r="AJ17" s="72">
        <v>330</v>
      </c>
      <c r="AK17" s="72">
        <v>15520</v>
      </c>
      <c r="AL17" s="72">
        <f t="shared" si="5"/>
        <v>15050</v>
      </c>
      <c r="AM17" s="72">
        <f t="shared" si="6"/>
        <v>300</v>
      </c>
      <c r="AN17" s="72">
        <f t="shared" si="7"/>
        <v>15350</v>
      </c>
      <c r="AO17" s="74">
        <f t="shared" si="8"/>
        <v>0.29394864664111203</v>
      </c>
      <c r="AP17" s="74">
        <f t="shared" si="9"/>
        <v>0.29127594023351677</v>
      </c>
      <c r="AQ17" s="74">
        <f t="shared" si="62"/>
        <v>0.86338863904638918</v>
      </c>
      <c r="AR17" s="67">
        <v>1482343</v>
      </c>
      <c r="AS17" s="72">
        <v>125970.655</v>
      </c>
      <c r="AT17" s="77">
        <f t="shared" si="63"/>
        <v>13.872421878089703</v>
      </c>
      <c r="AU17" s="72">
        <v>503585.68</v>
      </c>
      <c r="AV17" s="72">
        <f t="shared" si="10"/>
        <v>503.58567999999997</v>
      </c>
      <c r="AW17" s="78">
        <f t="shared" si="11"/>
        <v>9.5379078030827404</v>
      </c>
      <c r="AX17" s="74">
        <f t="shared" si="64"/>
        <v>1.5873080439018583E-2</v>
      </c>
      <c r="AY17" s="78">
        <f t="shared" si="65"/>
        <v>28.325091524329022</v>
      </c>
      <c r="AZ17" s="74">
        <f t="shared" si="66"/>
        <v>4.2606530597368852E-3</v>
      </c>
      <c r="BA17" s="79">
        <f t="shared" si="67"/>
        <v>0.22257372612791637</v>
      </c>
      <c r="BB17" s="80">
        <v>162035.5</v>
      </c>
      <c r="BC17" s="81">
        <f t="shared" si="12"/>
        <v>647753.34799120529</v>
      </c>
      <c r="BD17" s="82">
        <f t="shared" si="68"/>
        <v>3.031516993313077</v>
      </c>
      <c r="BE17" s="81">
        <f t="shared" si="13"/>
        <v>12268.442010261862</v>
      </c>
      <c r="BF17" s="81">
        <f t="shared" si="14"/>
        <v>36434.063945268332</v>
      </c>
      <c r="BG17" s="80">
        <v>236.63990000000001</v>
      </c>
      <c r="BH17" s="83">
        <f t="shared" si="90"/>
        <v>12.642457020153719</v>
      </c>
      <c r="BI17" s="130">
        <f t="shared" si="15"/>
        <v>954.37300486199774</v>
      </c>
      <c r="BJ17" s="83">
        <f t="shared" si="91"/>
        <v>-0.98012021636119107</v>
      </c>
      <c r="BK17" s="83">
        <f t="shared" si="16"/>
        <v>18.075815281571888</v>
      </c>
      <c r="BL17" s="83">
        <f t="shared" si="17"/>
        <v>53.680443635857543</v>
      </c>
      <c r="BM17" s="81">
        <v>3794.5509999999999</v>
      </c>
      <c r="BN17" s="81">
        <f t="shared" si="18"/>
        <v>2559.8333179297911</v>
      </c>
      <c r="BO17" s="82">
        <v>33.326999999999998</v>
      </c>
      <c r="BP17" s="82">
        <f t="shared" si="19"/>
        <v>133.22806316210273</v>
      </c>
      <c r="BQ17" s="81">
        <f t="shared" si="20"/>
        <v>7680.9593360632261</v>
      </c>
      <c r="BR17" s="82">
        <v>21.158000000000001</v>
      </c>
      <c r="BS17" s="82">
        <f t="shared" si="21"/>
        <v>84.581251249250457</v>
      </c>
      <c r="BT17" s="82">
        <v>19.794</v>
      </c>
      <c r="BU17" s="82">
        <f t="shared" si="22"/>
        <v>79.128522886268243</v>
      </c>
      <c r="BV17" s="82">
        <v>18.538</v>
      </c>
      <c r="BW17" s="82">
        <f t="shared" si="23"/>
        <v>74.107535478712762</v>
      </c>
      <c r="BX17" s="82">
        <f t="shared" si="24"/>
        <v>110.10274989606225</v>
      </c>
      <c r="BY17" s="84">
        <v>25.015000000000001</v>
      </c>
      <c r="BZ17" s="83">
        <v>24.795326229309904</v>
      </c>
      <c r="CA17" s="78">
        <v>0.27542007885668934</v>
      </c>
      <c r="CB17" s="78">
        <v>0.17569749236611551</v>
      </c>
      <c r="CC17" s="86">
        <f t="shared" si="25"/>
        <v>0.27077782052005916</v>
      </c>
      <c r="CD17" s="86">
        <f t="shared" si="92"/>
        <v>3.6026271602909388E-2</v>
      </c>
      <c r="CE17" s="86">
        <f t="shared" si="69"/>
        <v>-8.4630923558853599E-2</v>
      </c>
      <c r="CF17" s="86">
        <f t="shared" si="26"/>
        <v>1.1010197036045948</v>
      </c>
      <c r="CG17" s="86">
        <f t="shared" si="70"/>
        <v>-3.3689213177724775E-2</v>
      </c>
      <c r="CH17" s="86">
        <f t="shared" si="27"/>
        <v>0.70236854833546081</v>
      </c>
      <c r="CI17" s="86">
        <f t="shared" si="93"/>
        <v>-8.417625610838475E-2</v>
      </c>
      <c r="CJ17" s="86">
        <f t="shared" si="28"/>
        <v>1.0824618049972383</v>
      </c>
      <c r="CK17" s="86">
        <f t="shared" si="94"/>
        <v>-7.2152845783730823E-2</v>
      </c>
      <c r="CL17" s="87">
        <v>354.75</v>
      </c>
      <c r="CM17" s="77">
        <f t="shared" si="71"/>
        <v>23.338815789473685</v>
      </c>
      <c r="CN17" s="77">
        <f t="shared" si="29"/>
        <v>93.299283587742082</v>
      </c>
      <c r="CO17" s="77">
        <f t="shared" si="72"/>
        <v>138.61623679677902</v>
      </c>
      <c r="CP17" s="74">
        <v>0.20406345177959451</v>
      </c>
      <c r="CQ17" s="74">
        <f t="shared" si="73"/>
        <v>0.11269646654379573</v>
      </c>
      <c r="CR17" s="139">
        <f t="shared" si="30"/>
        <v>7.45495859886523E-2</v>
      </c>
      <c r="CS17" s="74">
        <v>0.11929213877036093</v>
      </c>
      <c r="CT17" s="77">
        <f t="shared" si="74"/>
        <v>7.4549585988652298</v>
      </c>
      <c r="CU17" s="77">
        <f t="shared" si="31"/>
        <v>29.801953223526805</v>
      </c>
      <c r="CV17" s="78">
        <f t="shared" si="32"/>
        <v>225.84967812648719</v>
      </c>
      <c r="CW17" s="74">
        <f t="shared" si="75"/>
        <v>-0.11717982377304281</v>
      </c>
      <c r="CX17" s="88">
        <f t="shared" si="76"/>
        <v>44.277238218597319</v>
      </c>
      <c r="CY17" s="77">
        <f t="shared" si="33"/>
        <v>67.307615430741549</v>
      </c>
      <c r="CZ17" s="89">
        <v>16.837</v>
      </c>
      <c r="DA17" s="74">
        <f t="shared" si="77"/>
        <v>4.3021953786704703E-2</v>
      </c>
      <c r="DB17" s="125">
        <v>13.541</v>
      </c>
      <c r="DC17" s="125">
        <v>16.806999999999999</v>
      </c>
      <c r="DD17" s="74">
        <f t="shared" si="78"/>
        <v>1.0920518569341502</v>
      </c>
      <c r="DE17" s="74">
        <f t="shared" si="79"/>
        <v>1.0908428294453409</v>
      </c>
      <c r="DF17" s="75">
        <f t="shared" si="34"/>
        <v>1.0824618049972383</v>
      </c>
      <c r="DG17" s="75">
        <f t="shared" si="35"/>
        <v>1.0812633948031458</v>
      </c>
      <c r="DH17" s="74">
        <f t="shared" si="80"/>
        <v>-8.417625610838475E-2</v>
      </c>
      <c r="DI17" s="75">
        <f t="shared" si="95"/>
        <v>-0.1070393368547693</v>
      </c>
      <c r="DJ17" s="77">
        <f t="shared" si="96"/>
        <v>-7.4888264269544145</v>
      </c>
      <c r="DK17" s="75">
        <f t="shared" si="36"/>
        <v>1.0812633948031458</v>
      </c>
      <c r="DL17" s="77">
        <f t="shared" si="97"/>
        <v>8.2780098838540823</v>
      </c>
      <c r="DM17" s="72">
        <v>17097.288908930881</v>
      </c>
      <c r="DN17" s="72">
        <v>22643.642384554332</v>
      </c>
      <c r="DO17" s="92">
        <v>16930.063636023046</v>
      </c>
      <c r="DP17" s="92">
        <f t="shared" si="98"/>
        <v>435.20685250741735</v>
      </c>
      <c r="DQ17" s="92">
        <v>22241.088911136154</v>
      </c>
      <c r="DR17" s="72">
        <v>17097.288908930881</v>
      </c>
      <c r="DS17" s="72">
        <v>22643.642384554332</v>
      </c>
      <c r="DT17" s="72">
        <v>26875.32</v>
      </c>
      <c r="DU17" s="72">
        <v>801.5</v>
      </c>
      <c r="DV17" s="72">
        <v>8202</v>
      </c>
      <c r="DW17" s="93">
        <v>1.292</v>
      </c>
      <c r="DX17" s="67">
        <v>8.52</v>
      </c>
      <c r="DY17" s="67">
        <v>8.64</v>
      </c>
      <c r="EB17" s="72">
        <v>13200</v>
      </c>
      <c r="EC17" s="78">
        <v>8.6836746915798297</v>
      </c>
      <c r="ED17" s="72">
        <f t="shared" si="37"/>
        <v>15520</v>
      </c>
      <c r="EE17" s="72">
        <f t="shared" si="38"/>
        <v>17789.723320158104</v>
      </c>
      <c r="EF17" s="72">
        <f t="shared" si="39"/>
        <v>204864000000</v>
      </c>
      <c r="EG17" s="74">
        <f t="shared" si="81"/>
        <v>0.27077782052005916</v>
      </c>
      <c r="EH17" s="74">
        <f t="shared" si="40"/>
        <v>2.3513465070911832</v>
      </c>
      <c r="EI17" s="75">
        <f t="shared" si="41"/>
        <v>1.0824618049972383</v>
      </c>
      <c r="EJ17" s="75">
        <f t="shared" si="42"/>
        <v>2.3513465070911836</v>
      </c>
      <c r="EK17" s="78">
        <f t="shared" si="43"/>
        <v>9.39974618065634</v>
      </c>
      <c r="EL17" s="72">
        <f t="shared" si="44"/>
        <v>3880.1221356626793</v>
      </c>
      <c r="EM17" s="72">
        <f t="shared" si="45"/>
        <v>11522.947892482051</v>
      </c>
      <c r="EN17" s="72">
        <f t="shared" si="46"/>
        <v>308.8111704799025</v>
      </c>
      <c r="EO17" s="72">
        <f t="shared" si="47"/>
        <v>233.1706935807058</v>
      </c>
      <c r="EP17" s="75">
        <f t="shared" si="48"/>
        <v>8.4934395501405816E-2</v>
      </c>
      <c r="EQ17" s="77">
        <f t="shared" si="82"/>
        <v>11.773793103448275</v>
      </c>
      <c r="ER17" s="95">
        <v>6.1</v>
      </c>
      <c r="ES17" s="95">
        <v>0</v>
      </c>
      <c r="ET17" s="95">
        <f t="shared" ref="ET17:ET59" si="99">100*ER17/BY17</f>
        <v>24.385368778732762</v>
      </c>
      <c r="EU17" s="67">
        <v>0</v>
      </c>
      <c r="EV17" s="77">
        <f t="shared" ref="EV17:EV60" si="100">ER17/CC17</f>
        <v>22.527694433333814</v>
      </c>
      <c r="EW17" s="67">
        <v>0</v>
      </c>
      <c r="EX17" s="78"/>
      <c r="EY17" s="132">
        <f t="shared" si="49"/>
        <v>1.1383850091161472</v>
      </c>
      <c r="EZ17" s="78">
        <v>0.78206345842791547</v>
      </c>
      <c r="FA17" s="72">
        <f t="shared" si="83"/>
        <v>14.271682340421558</v>
      </c>
      <c r="FB17" s="78">
        <f t="shared" si="84"/>
        <v>2.0655107790964244</v>
      </c>
      <c r="FC17" s="78">
        <f t="shared" si="85"/>
        <v>2.0655107790964244</v>
      </c>
      <c r="FD17" s="78">
        <f t="shared" si="86"/>
        <v>48.414174843350793</v>
      </c>
      <c r="FE17" s="72">
        <f t="shared" si="87"/>
        <v>396.87027387771036</v>
      </c>
    </row>
    <row r="18" spans="1:161" s="67" customFormat="1" x14ac:dyDescent="0.2">
      <c r="A18" s="68">
        <v>1976</v>
      </c>
      <c r="B18" s="72">
        <v>52798.338000000003</v>
      </c>
      <c r="C18" s="72">
        <v>53019.004999999997</v>
      </c>
      <c r="D18" s="72">
        <v>52908.671999999999</v>
      </c>
      <c r="E18" s="72">
        <v>52908.671499999997</v>
      </c>
      <c r="F18" s="117">
        <v>72.997</v>
      </c>
      <c r="G18" s="72">
        <f t="shared" si="50"/>
        <v>38621.742934854999</v>
      </c>
      <c r="H18" s="72">
        <v>18054.539675707718</v>
      </c>
      <c r="I18" s="73">
        <v>65.3</v>
      </c>
      <c r="J18" s="73"/>
      <c r="K18" s="67">
        <f t="shared" si="51"/>
        <v>952</v>
      </c>
      <c r="L18" s="67">
        <v>17542</v>
      </c>
      <c r="M18" s="67">
        <f t="shared" si="52"/>
        <v>140</v>
      </c>
      <c r="N18" s="67">
        <v>950</v>
      </c>
      <c r="O18" s="67">
        <f t="shared" si="0"/>
        <v>18492</v>
      </c>
      <c r="P18" s="74">
        <f t="shared" si="53"/>
        <v>0.94862643305213068</v>
      </c>
      <c r="Q18" s="74">
        <f t="shared" si="54"/>
        <v>5.1373566947869348E-2</v>
      </c>
      <c r="R18" s="77">
        <f t="shared" si="55"/>
        <v>5.7383966244725748</v>
      </c>
      <c r="S18" s="77">
        <f t="shared" si="56"/>
        <v>17.28395061728396</v>
      </c>
      <c r="T18" s="77">
        <f t="shared" si="57"/>
        <v>6.0867999905495296</v>
      </c>
      <c r="U18" s="67">
        <f t="shared" si="58"/>
        <v>1092</v>
      </c>
      <c r="V18" s="75">
        <f t="shared" si="1"/>
        <v>0.34878059292134961</v>
      </c>
      <c r="W18" s="77">
        <f t="shared" si="88"/>
        <v>5.6697278667984463</v>
      </c>
      <c r="X18" s="74">
        <f t="shared" si="59"/>
        <v>1.0242299350828026</v>
      </c>
      <c r="Y18" s="77">
        <f t="shared" si="88"/>
        <v>4.547666953963037</v>
      </c>
      <c r="Z18" s="72">
        <f t="shared" si="2"/>
        <v>14682.682080000002</v>
      </c>
      <c r="AA18" s="77">
        <f t="shared" si="89"/>
        <v>6.3105698815945521</v>
      </c>
      <c r="AB18" s="74">
        <f t="shared" si="3"/>
        <v>0.27693243356792535</v>
      </c>
      <c r="AC18" s="77">
        <f t="shared" si="89"/>
        <v>5.8681014775937346</v>
      </c>
      <c r="AD18" s="74">
        <f t="shared" si="60"/>
        <v>0.81324045606964268</v>
      </c>
      <c r="AE18" s="77">
        <f t="shared" si="61"/>
        <v>4.6868365414312274</v>
      </c>
      <c r="AF18" s="72">
        <v>15190</v>
      </c>
      <c r="AG18" s="72">
        <v>330</v>
      </c>
      <c r="AH18" s="72">
        <f t="shared" si="4"/>
        <v>15520</v>
      </c>
      <c r="AI18" s="72">
        <v>15836</v>
      </c>
      <c r="AJ18" s="72">
        <v>394</v>
      </c>
      <c r="AK18" s="72">
        <v>16230</v>
      </c>
      <c r="AL18" s="72">
        <f t="shared" si="5"/>
        <v>15513</v>
      </c>
      <c r="AM18" s="72">
        <f t="shared" si="6"/>
        <v>362</v>
      </c>
      <c r="AN18" s="72">
        <f t="shared" si="7"/>
        <v>15875</v>
      </c>
      <c r="AO18" s="74">
        <f t="shared" si="8"/>
        <v>0.30611664628561025</v>
      </c>
      <c r="AP18" s="74">
        <f t="shared" si="9"/>
        <v>0.30004533094310137</v>
      </c>
      <c r="AQ18" s="74">
        <f t="shared" si="62"/>
        <v>0.87928024115506664</v>
      </c>
      <c r="AR18" s="67">
        <v>1858234</v>
      </c>
      <c r="AS18" s="72">
        <v>145670.72700000001</v>
      </c>
      <c r="AT18" s="77">
        <f t="shared" si="63"/>
        <v>15.638619962720689</v>
      </c>
      <c r="AU18" s="72">
        <v>531137.33799999999</v>
      </c>
      <c r="AV18" s="72">
        <f t="shared" si="10"/>
        <v>531.137338</v>
      </c>
      <c r="AW18" s="78">
        <f t="shared" si="11"/>
        <v>10.017866951671387</v>
      </c>
      <c r="AX18" s="74">
        <f t="shared" si="64"/>
        <v>4.9096040364291049E-2</v>
      </c>
      <c r="AY18" s="78">
        <f t="shared" si="65"/>
        <v>29.418492386966935</v>
      </c>
      <c r="AZ18" s="74">
        <f t="shared" si="66"/>
        <v>3.7875431235936841E-2</v>
      </c>
      <c r="BA18" s="79">
        <f t="shared" si="67"/>
        <v>0.19934127777173172</v>
      </c>
      <c r="BB18" s="80">
        <v>181938.6</v>
      </c>
      <c r="BC18" s="81">
        <f t="shared" si="12"/>
        <v>663380.00437541027</v>
      </c>
      <c r="BD18" s="82">
        <f t="shared" si="68"/>
        <v>2.4124393077497697</v>
      </c>
      <c r="BE18" s="81">
        <f t="shared" si="13"/>
        <v>12512.117199774126</v>
      </c>
      <c r="BF18" s="81">
        <f t="shared" si="14"/>
        <v>36743.113714939209</v>
      </c>
      <c r="BG18" s="80">
        <v>273.41134800000003</v>
      </c>
      <c r="BH18" s="83">
        <f t="shared" si="90"/>
        <v>15.538988987064318</v>
      </c>
      <c r="BI18" s="130">
        <f t="shared" si="15"/>
        <v>995.54702251993797</v>
      </c>
      <c r="BJ18" s="83">
        <f t="shared" si="91"/>
        <v>4.3142479353650565</v>
      </c>
      <c r="BK18" s="83">
        <f t="shared" si="16"/>
        <v>18.777172874518072</v>
      </c>
      <c r="BL18" s="83">
        <f t="shared" si="17"/>
        <v>55.14109140425446</v>
      </c>
      <c r="BM18" s="81">
        <v>5802.8149999999996</v>
      </c>
      <c r="BN18" s="81">
        <f t="shared" si="18"/>
        <v>3122.7579519048732</v>
      </c>
      <c r="BO18" s="82">
        <v>37.456000000000003</v>
      </c>
      <c r="BP18" s="82">
        <f t="shared" si="19"/>
        <v>136.57113687741563</v>
      </c>
      <c r="BQ18" s="81">
        <f t="shared" si="20"/>
        <v>8337.1367789002379</v>
      </c>
      <c r="BR18" s="82">
        <v>23.521000000000001</v>
      </c>
      <c r="BS18" s="82">
        <f t="shared" si="21"/>
        <v>85.761685991395026</v>
      </c>
      <c r="BT18" s="82">
        <v>22.422000000000001</v>
      </c>
      <c r="BU18" s="82">
        <f t="shared" si="22"/>
        <v>81.754539488077029</v>
      </c>
      <c r="BV18" s="82">
        <v>20.428999999999998</v>
      </c>
      <c r="BW18" s="82">
        <f t="shared" si="23"/>
        <v>74.487712389703205</v>
      </c>
      <c r="BX18" s="82">
        <f t="shared" si="24"/>
        <v>112.01952075451007</v>
      </c>
      <c r="BY18" s="84">
        <v>27.425999999999998</v>
      </c>
      <c r="BZ18" s="83">
        <v>27.463428830105752</v>
      </c>
      <c r="CA18" s="78">
        <v>0.2990355765424868</v>
      </c>
      <c r="CB18" s="78">
        <v>0.19348321104381339</v>
      </c>
      <c r="CC18" s="86">
        <f t="shared" si="25"/>
        <v>0.29361297502703471</v>
      </c>
      <c r="CD18" s="86">
        <f t="shared" si="92"/>
        <v>8.4331702142804943E-2</v>
      </c>
      <c r="CE18" s="86">
        <f t="shared" si="69"/>
        <v>-1.0683611784836788E-2</v>
      </c>
      <c r="CF18" s="86">
        <f t="shared" si="26"/>
        <v>1.090336091819758</v>
      </c>
      <c r="CG18" s="86">
        <f t="shared" si="70"/>
        <v>3.1051300857941611E-3</v>
      </c>
      <c r="CH18" s="86">
        <f t="shared" si="27"/>
        <v>0.70547367842125497</v>
      </c>
      <c r="CI18" s="86">
        <f t="shared" si="93"/>
        <v>-1.1897468137926914E-2</v>
      </c>
      <c r="CJ18" s="86">
        <f t="shared" si="28"/>
        <v>1.0705643368593114</v>
      </c>
      <c r="CK18" s="86">
        <f t="shared" si="94"/>
        <v>-1.0991120502360174E-2</v>
      </c>
      <c r="CL18" s="87">
        <v>396</v>
      </c>
      <c r="CM18" s="77">
        <f t="shared" si="71"/>
        <v>26.052631578947366</v>
      </c>
      <c r="CN18" s="77">
        <f t="shared" si="29"/>
        <v>94.992458174532814</v>
      </c>
      <c r="CO18" s="77">
        <f t="shared" si="72"/>
        <v>142.85590600947179</v>
      </c>
      <c r="CP18" s="74">
        <v>0.23646620836783733</v>
      </c>
      <c r="CQ18" s="74">
        <f t="shared" si="73"/>
        <v>0.14737433194061511</v>
      </c>
      <c r="CR18" s="139">
        <f t="shared" si="30"/>
        <v>8.4647349331668967E-2</v>
      </c>
      <c r="CS18" s="74">
        <v>0.1587876530837109</v>
      </c>
      <c r="CT18" s="77">
        <f t="shared" si="74"/>
        <v>8.4647349331668966</v>
      </c>
      <c r="CU18" s="77">
        <f t="shared" si="31"/>
        <v>30.863906268383637</v>
      </c>
      <c r="CV18" s="78">
        <f t="shared" si="32"/>
        <v>215.44679359707985</v>
      </c>
      <c r="CW18" s="74">
        <f t="shared" si="75"/>
        <v>-4.7155655336347913E-2</v>
      </c>
      <c r="CX18" s="88">
        <f t="shared" si="76"/>
        <v>46.415172085139538</v>
      </c>
      <c r="CY18" s="77">
        <f t="shared" si="33"/>
        <v>66.495296434040682</v>
      </c>
      <c r="CZ18" s="89">
        <v>18.236999999999998</v>
      </c>
      <c r="DA18" s="74">
        <f t="shared" si="77"/>
        <v>7.987365175903216E-2</v>
      </c>
      <c r="DB18" s="125">
        <v>14.909000000000001</v>
      </c>
      <c r="DC18" s="125">
        <v>18.202000000000002</v>
      </c>
      <c r="DD18" s="74">
        <f t="shared" si="78"/>
        <v>1.069105306709454</v>
      </c>
      <c r="DE18" s="74">
        <f t="shared" si="79"/>
        <v>1.0678371120957824</v>
      </c>
      <c r="DF18" s="75">
        <f t="shared" si="34"/>
        <v>1.0705643368593114</v>
      </c>
      <c r="DG18" s="75">
        <f t="shared" si="35"/>
        <v>1.0692944115141902</v>
      </c>
      <c r="DH18" s="74">
        <f t="shared" si="80"/>
        <v>-1.1897468137926914E-2</v>
      </c>
      <c r="DI18" s="75">
        <f t="shared" si="95"/>
        <v>-2.2946550224696161E-2</v>
      </c>
      <c r="DJ18" s="77">
        <f t="shared" si="96"/>
        <v>-1.1051969141246092</v>
      </c>
      <c r="DK18" s="75">
        <f t="shared" si="36"/>
        <v>1.0692944115141902</v>
      </c>
      <c r="DL18" s="77">
        <f t="shared" si="97"/>
        <v>8.889305572106835</v>
      </c>
      <c r="DM18" s="72">
        <v>17388.835481840924</v>
      </c>
      <c r="DN18" s="72">
        <v>22958.813354842747</v>
      </c>
      <c r="DO18" s="92">
        <v>17377.055169744057</v>
      </c>
      <c r="DP18" s="92">
        <f t="shared" si="98"/>
        <v>446.99153372101136</v>
      </c>
      <c r="DQ18" s="92">
        <v>22839.830664970679</v>
      </c>
      <c r="DR18" s="72">
        <v>17388.835481840924</v>
      </c>
      <c r="DS18" s="72">
        <v>22958.813354842747</v>
      </c>
      <c r="DT18" s="72">
        <v>27380.81</v>
      </c>
      <c r="DU18" s="72">
        <v>856.03</v>
      </c>
      <c r="DV18" s="72">
        <v>8583</v>
      </c>
      <c r="DW18" s="93">
        <v>1.34</v>
      </c>
      <c r="DX18" s="67">
        <v>8.61</v>
      </c>
      <c r="DY18" s="67">
        <v>7.92</v>
      </c>
      <c r="EB18" s="72">
        <v>13090</v>
      </c>
      <c r="EC18" s="78">
        <v>9.1023288415647414</v>
      </c>
      <c r="ED18" s="72">
        <f t="shared" si="37"/>
        <v>16230</v>
      </c>
      <c r="EE18" s="72">
        <f t="shared" si="38"/>
        <v>19337.961340206188</v>
      </c>
      <c r="EF18" s="72">
        <f t="shared" si="39"/>
        <v>212450700000</v>
      </c>
      <c r="EG18" s="74">
        <f t="shared" si="81"/>
        <v>0.29361297502703471</v>
      </c>
      <c r="EH18" s="74">
        <f t="shared" si="40"/>
        <v>2.6725618508462063</v>
      </c>
      <c r="EI18" s="75">
        <f t="shared" si="41"/>
        <v>1.0705643368593114</v>
      </c>
      <c r="EJ18" s="75">
        <f t="shared" si="42"/>
        <v>2.6725618508462063</v>
      </c>
      <c r="EK18" s="78">
        <f t="shared" si="43"/>
        <v>9.744628640145141</v>
      </c>
      <c r="EL18" s="72">
        <f t="shared" si="44"/>
        <v>4007.0668998786377</v>
      </c>
      <c r="EM18" s="72">
        <f t="shared" si="45"/>
        <v>11767.162376665368</v>
      </c>
      <c r="EN18" s="72">
        <f t="shared" si="46"/>
        <v>304.90256265502933</v>
      </c>
      <c r="EO18" s="72">
        <f t="shared" si="47"/>
        <v>230.93094656312712</v>
      </c>
      <c r="EP18" s="75">
        <f t="shared" si="48"/>
        <v>8.7041370068444118E-2</v>
      </c>
      <c r="EQ18" s="77">
        <f t="shared" si="82"/>
        <v>11.488789746917586</v>
      </c>
      <c r="ER18" s="95">
        <v>6.48</v>
      </c>
      <c r="ES18" s="96">
        <f>ER18/ER17-1</f>
        <v>6.2295081967213228E-2</v>
      </c>
      <c r="ET18" s="95">
        <f t="shared" si="99"/>
        <v>23.627215051411071</v>
      </c>
      <c r="EU18" s="74">
        <f>ET18/ET17-1</f>
        <v>-3.1090517195003442E-2</v>
      </c>
      <c r="EV18" s="77">
        <f t="shared" si="100"/>
        <v>22.069869355750875</v>
      </c>
      <c r="EW18" s="74">
        <f t="shared" ref="EW18:EW60" si="101">EV18/EV17-1</f>
        <v>-2.0322766670054948E-2</v>
      </c>
      <c r="EX18" s="78"/>
      <c r="EY18" s="132">
        <f t="shared" si="49"/>
        <v>1.2498934822313248</v>
      </c>
      <c r="EZ18" s="78">
        <v>0.85866908958971389</v>
      </c>
      <c r="FA18" s="72">
        <f t="shared" si="83"/>
        <v>14.094623863605079</v>
      </c>
      <c r="FB18" s="78">
        <f t="shared" si="84"/>
        <v>2.1382316884116532</v>
      </c>
      <c r="FC18" s="78">
        <f t="shared" si="85"/>
        <v>2.1382316884116532</v>
      </c>
      <c r="FD18" s="78">
        <f t="shared" si="86"/>
        <v>46.767616690913037</v>
      </c>
      <c r="FE18" s="72">
        <f t="shared" si="87"/>
        <v>407.41928470131245</v>
      </c>
    </row>
    <row r="19" spans="1:161" s="67" customFormat="1" x14ac:dyDescent="0.2">
      <c r="A19" s="68">
        <v>1977</v>
      </c>
      <c r="B19" s="72">
        <v>53019.004999999997</v>
      </c>
      <c r="C19" s="72">
        <v>53271.565999999999</v>
      </c>
      <c r="D19" s="72">
        <v>53145.286</v>
      </c>
      <c r="E19" s="72">
        <v>53145.285499999998</v>
      </c>
      <c r="F19" s="117">
        <v>73.067999999999998</v>
      </c>
      <c r="G19" s="72">
        <f t="shared" si="50"/>
        <v>38832.197209139995</v>
      </c>
      <c r="H19" s="72">
        <v>18330.793246506615</v>
      </c>
      <c r="I19" s="73">
        <v>66.099999999999994</v>
      </c>
      <c r="J19" s="73">
        <v>12</v>
      </c>
      <c r="K19" s="67">
        <f t="shared" si="51"/>
        <v>376</v>
      </c>
      <c r="L19" s="67">
        <v>17918</v>
      </c>
      <c r="M19" s="67">
        <f t="shared" si="52"/>
        <v>220</v>
      </c>
      <c r="N19" s="67">
        <v>1170</v>
      </c>
      <c r="O19" s="67">
        <f t="shared" si="0"/>
        <v>19088</v>
      </c>
      <c r="P19" s="74">
        <f t="shared" si="53"/>
        <v>0.93870494551550709</v>
      </c>
      <c r="Q19" s="74">
        <f t="shared" si="54"/>
        <v>6.1295054484492878E-2</v>
      </c>
      <c r="R19" s="77">
        <f t="shared" si="55"/>
        <v>2.1434272032835544</v>
      </c>
      <c r="S19" s="77">
        <f t="shared" si="56"/>
        <v>23.15789473684211</v>
      </c>
      <c r="T19" s="77">
        <f t="shared" si="57"/>
        <v>3.1721659229580368</v>
      </c>
      <c r="U19" s="67">
        <f t="shared" si="58"/>
        <v>596</v>
      </c>
      <c r="V19" s="75">
        <f t="shared" si="1"/>
        <v>0.35831497801284834</v>
      </c>
      <c r="W19" s="77">
        <f t="shared" si="88"/>
        <v>2.6969375504925175</v>
      </c>
      <c r="X19" s="74">
        <f t="shared" si="59"/>
        <v>1.0413079097729547</v>
      </c>
      <c r="Y19" s="77">
        <f t="shared" si="88"/>
        <v>1.6536481190771206</v>
      </c>
      <c r="Z19" s="72">
        <f t="shared" si="2"/>
        <v>15166.088320000001</v>
      </c>
      <c r="AA19" s="77">
        <f t="shared" si="89"/>
        <v>3.2923565147437772</v>
      </c>
      <c r="AB19" s="74">
        <f t="shared" si="3"/>
        <v>0.2846938706476172</v>
      </c>
      <c r="AC19" s="77">
        <f t="shared" si="89"/>
        <v>2.8026464721721212</v>
      </c>
      <c r="AD19" s="74">
        <f t="shared" si="60"/>
        <v>0.82735581139622927</v>
      </c>
      <c r="AE19" s="77">
        <f t="shared" si="61"/>
        <v>1.7356927119446919</v>
      </c>
      <c r="AF19" s="72">
        <v>15836</v>
      </c>
      <c r="AG19" s="72">
        <v>394</v>
      </c>
      <c r="AH19" s="72">
        <f t="shared" si="4"/>
        <v>16230</v>
      </c>
      <c r="AI19" s="72">
        <v>16488</v>
      </c>
      <c r="AJ19" s="72">
        <v>502</v>
      </c>
      <c r="AK19" s="72">
        <v>16990</v>
      </c>
      <c r="AL19" s="72">
        <f t="shared" si="5"/>
        <v>16162</v>
      </c>
      <c r="AM19" s="72">
        <f t="shared" si="6"/>
        <v>448</v>
      </c>
      <c r="AN19" s="72">
        <f t="shared" si="7"/>
        <v>16610</v>
      </c>
      <c r="AO19" s="74">
        <f t="shared" si="8"/>
        <v>0.3189318669550657</v>
      </c>
      <c r="AP19" s="74">
        <f t="shared" si="9"/>
        <v>0.31253947904241214</v>
      </c>
      <c r="AQ19" s="74">
        <f t="shared" si="62"/>
        <v>0.90612554386676336</v>
      </c>
      <c r="AR19" s="67">
        <v>1906989</v>
      </c>
      <c r="AS19" s="72">
        <v>163386.95499999999</v>
      </c>
      <c r="AT19" s="77">
        <f t="shared" si="63"/>
        <v>12.161831251106459</v>
      </c>
      <c r="AU19" s="72">
        <v>544894.74600000004</v>
      </c>
      <c r="AV19" s="72">
        <f t="shared" si="10"/>
        <v>544.89474600000005</v>
      </c>
      <c r="AW19" s="78">
        <f t="shared" si="11"/>
        <v>10.228622638951519</v>
      </c>
      <c r="AX19" s="74">
        <f t="shared" si="64"/>
        <v>2.081973758011868E-2</v>
      </c>
      <c r="AY19" s="78">
        <f t="shared" si="65"/>
        <v>29.725650094484763</v>
      </c>
      <c r="AZ19" s="74">
        <f t="shared" si="66"/>
        <v>1.0386843265964618E-2</v>
      </c>
      <c r="BA19" s="79">
        <f t="shared" si="67"/>
        <v>0.20085929158394611</v>
      </c>
      <c r="BB19" s="80">
        <v>204453.3</v>
      </c>
      <c r="BC19" s="81">
        <f t="shared" si="12"/>
        <v>681851.92596298154</v>
      </c>
      <c r="BD19" s="82">
        <f t="shared" si="68"/>
        <v>2.7845158831645955</v>
      </c>
      <c r="BE19" s="81">
        <f t="shared" si="13"/>
        <v>12799.547247456207</v>
      </c>
      <c r="BF19" s="81">
        <f t="shared" si="14"/>
        <v>37197.076896436287</v>
      </c>
      <c r="BG19" s="80">
        <v>307.69343100000003</v>
      </c>
      <c r="BH19" s="83">
        <f t="shared" si="90"/>
        <v>12.538646713376366</v>
      </c>
      <c r="BI19" s="130">
        <f t="shared" si="15"/>
        <v>1029.907255025413</v>
      </c>
      <c r="BJ19" s="83">
        <f t="shared" si="91"/>
        <v>3.4513922223886606</v>
      </c>
      <c r="BK19" s="83">
        <f t="shared" si="16"/>
        <v>19.333151479448023</v>
      </c>
      <c r="BL19" s="83">
        <f t="shared" si="17"/>
        <v>56.184543744264161</v>
      </c>
      <c r="BM19" s="81">
        <v>6389.6909999999998</v>
      </c>
      <c r="BN19" s="81">
        <f t="shared" si="18"/>
        <v>3350.6700877666312</v>
      </c>
      <c r="BO19" s="82">
        <v>39.911000000000001</v>
      </c>
      <c r="BP19" s="82">
        <f t="shared" si="19"/>
        <v>133.10321827580458</v>
      </c>
      <c r="BQ19" s="81">
        <f t="shared" si="20"/>
        <v>8395.3548840335516</v>
      </c>
      <c r="BR19" s="82">
        <v>25.821999999999999</v>
      </c>
      <c r="BS19" s="82">
        <f t="shared" si="21"/>
        <v>86.116391529097882</v>
      </c>
      <c r="BT19" s="82">
        <v>24.297000000000001</v>
      </c>
      <c r="BU19" s="82">
        <f t="shared" si="22"/>
        <v>81.030515257628821</v>
      </c>
      <c r="BV19" s="82">
        <v>22.186</v>
      </c>
      <c r="BW19" s="82">
        <f t="shared" si="23"/>
        <v>73.990328497582126</v>
      </c>
      <c r="BX19" s="82">
        <f t="shared" si="24"/>
        <v>103.90109118156698</v>
      </c>
      <c r="BY19" s="84">
        <v>29.984999999999999</v>
      </c>
      <c r="BZ19" s="83">
        <v>29.875838770784043</v>
      </c>
      <c r="CA19" s="78">
        <v>0.35171175151769157</v>
      </c>
      <c r="CB19" s="78">
        <v>0.21482607345705085</v>
      </c>
      <c r="CC19" s="86">
        <f t="shared" si="25"/>
        <v>0.34332133642281787</v>
      </c>
      <c r="CD19" s="86">
        <f t="shared" si="92"/>
        <v>0.16929892621811482</v>
      </c>
      <c r="CE19" s="86">
        <f t="shared" si="69"/>
        <v>8.2622892731489594E-2</v>
      </c>
      <c r="CF19" s="86">
        <f t="shared" si="26"/>
        <v>1.1729589845512476</v>
      </c>
      <c r="CG19" s="86">
        <f t="shared" si="70"/>
        <v>1.097145566929314E-2</v>
      </c>
      <c r="CH19" s="86">
        <f t="shared" si="27"/>
        <v>0.71644513409054811</v>
      </c>
      <c r="CI19" s="86">
        <f t="shared" si="93"/>
        <v>7.4412606355021893E-2</v>
      </c>
      <c r="CJ19" s="86">
        <f t="shared" si="28"/>
        <v>1.1449769432143333</v>
      </c>
      <c r="CK19" s="86">
        <f t="shared" si="94"/>
        <v>6.9507832264732672E-2</v>
      </c>
      <c r="CL19" s="87">
        <v>433.25</v>
      </c>
      <c r="CM19" s="77">
        <f t="shared" si="71"/>
        <v>28.503289473684212</v>
      </c>
      <c r="CN19" s="77">
        <f t="shared" si="29"/>
        <v>95.058494159360393</v>
      </c>
      <c r="CO19" s="77">
        <f t="shared" si="72"/>
        <v>133.48611189848833</v>
      </c>
      <c r="CP19" s="74">
        <v>0.27247753943998221</v>
      </c>
      <c r="CQ19" s="74">
        <f t="shared" si="73"/>
        <v>0.14175087107502238</v>
      </c>
      <c r="CR19" s="139">
        <f t="shared" si="30"/>
        <v>0.10062542429621806</v>
      </c>
      <c r="CS19" s="74">
        <v>0.1522895441200931</v>
      </c>
      <c r="CT19" s="77">
        <f t="shared" si="74"/>
        <v>10.062542429621805</v>
      </c>
      <c r="CU19" s="77">
        <f t="shared" si="31"/>
        <v>33.55858739243557</v>
      </c>
      <c r="CV19" s="78">
        <f t="shared" si="32"/>
        <v>212.20283193183556</v>
      </c>
      <c r="CW19" s="74">
        <f t="shared" si="75"/>
        <v>-1.5171409928562696E-2</v>
      </c>
      <c r="CX19" s="88">
        <f t="shared" si="76"/>
        <v>47.124724533422963</v>
      </c>
      <c r="CY19" s="77">
        <f t="shared" si="33"/>
        <v>71.212272803068203</v>
      </c>
      <c r="CZ19" s="89">
        <v>21.353000000000002</v>
      </c>
      <c r="DA19" s="74">
        <f t="shared" si="77"/>
        <v>0.15773974759108178</v>
      </c>
      <c r="DB19" s="125">
        <v>16.414000000000001</v>
      </c>
      <c r="DC19" s="125">
        <v>21.350999999999999</v>
      </c>
      <c r="DD19" s="74">
        <f t="shared" si="78"/>
        <v>1.1491604940596882</v>
      </c>
      <c r="DE19" s="74">
        <f t="shared" si="79"/>
        <v>1.1473767253086022</v>
      </c>
      <c r="DF19" s="75">
        <f t="shared" si="34"/>
        <v>1.1449769432143333</v>
      </c>
      <c r="DG19" s="75">
        <f t="shared" si="35"/>
        <v>1.1431996683231607</v>
      </c>
      <c r="DH19" s="74">
        <f t="shared" si="80"/>
        <v>7.4412606355021893E-2</v>
      </c>
      <c r="DI19" s="75">
        <f t="shared" si="95"/>
        <v>8.0055187350234203E-2</v>
      </c>
      <c r="DJ19" s="77">
        <f t="shared" si="96"/>
        <v>6.7198572809190891</v>
      </c>
      <c r="DK19" s="75">
        <f t="shared" si="36"/>
        <v>1.1431996683231607</v>
      </c>
      <c r="DL19" s="77">
        <f t="shared" si="97"/>
        <v>9.6911591046689907</v>
      </c>
      <c r="DM19" s="72">
        <v>17680.126651938233</v>
      </c>
      <c r="DN19" s="72">
        <v>23282.432731259363</v>
      </c>
      <c r="DO19" s="92">
        <v>17836.159574732621</v>
      </c>
      <c r="DP19" s="92">
        <f t="shared" si="98"/>
        <v>459.10440498856406</v>
      </c>
      <c r="DQ19" s="92">
        <v>23455.021200393574</v>
      </c>
      <c r="DR19" s="72">
        <v>17680.126651938233</v>
      </c>
      <c r="DS19" s="72">
        <v>23282.432731259363</v>
      </c>
      <c r="DT19" s="72">
        <v>27816.28</v>
      </c>
      <c r="DU19" s="72">
        <v>871.35</v>
      </c>
      <c r="DV19" s="72">
        <v>8598</v>
      </c>
      <c r="DW19" s="93">
        <v>1.3939999999999999</v>
      </c>
      <c r="DX19" s="67">
        <v>8.56</v>
      </c>
      <c r="DY19" s="67">
        <v>7.95</v>
      </c>
      <c r="EB19" s="72">
        <v>12980</v>
      </c>
      <c r="EC19" s="78">
        <v>9.0608139732485729</v>
      </c>
      <c r="ED19" s="72">
        <f t="shared" si="37"/>
        <v>16990</v>
      </c>
      <c r="EE19" s="72">
        <f t="shared" si="38"/>
        <v>19981.831176833024</v>
      </c>
      <c r="EF19" s="72">
        <f t="shared" si="39"/>
        <v>220530200000</v>
      </c>
      <c r="EG19" s="74">
        <f t="shared" si="81"/>
        <v>0.34332133642281787</v>
      </c>
      <c r="EH19" s="74">
        <f t="shared" si="40"/>
        <v>3.1107707623742424</v>
      </c>
      <c r="EI19" s="75">
        <f t="shared" si="41"/>
        <v>1.1449769432143333</v>
      </c>
      <c r="EJ19" s="75">
        <f t="shared" si="42"/>
        <v>3.110770762374242</v>
      </c>
      <c r="EK19" s="78">
        <f t="shared" si="43"/>
        <v>10.374423086123869</v>
      </c>
      <c r="EL19" s="72">
        <f t="shared" si="44"/>
        <v>4139.7356330767525</v>
      </c>
      <c r="EM19" s="72">
        <f t="shared" si="45"/>
        <v>12030.586840099102</v>
      </c>
      <c r="EN19" s="72">
        <f t="shared" si="46"/>
        <v>301.30760400497445</v>
      </c>
      <c r="EO19" s="72">
        <f t="shared" si="47"/>
        <v>228.80584093120453</v>
      </c>
      <c r="EP19" s="75">
        <f t="shared" si="48"/>
        <v>8.6555038720320387E-2</v>
      </c>
      <c r="EQ19" s="77">
        <f t="shared" si="82"/>
        <v>11.553342414082147</v>
      </c>
      <c r="ER19" s="95">
        <v>7.09</v>
      </c>
      <c r="ES19" s="96">
        <f t="shared" ref="ES19:EU54" si="102">ER19/ER18-1</f>
        <v>9.4135802469135665E-2</v>
      </c>
      <c r="ET19" s="95">
        <f t="shared" si="99"/>
        <v>23.645155911288978</v>
      </c>
      <c r="EU19" s="74">
        <f t="shared" si="102"/>
        <v>7.5933028242514133E-4</v>
      </c>
      <c r="EV19" s="77">
        <f t="shared" si="100"/>
        <v>20.651207040823994</v>
      </c>
      <c r="EW19" s="74">
        <f t="shared" si="101"/>
        <v>-6.4280503525373622E-2</v>
      </c>
      <c r="EX19" s="78"/>
      <c r="EY19" s="132">
        <f t="shared" si="49"/>
        <v>1.3708330202368411</v>
      </c>
      <c r="EZ19" s="78">
        <v>0.94175380398410236</v>
      </c>
      <c r="FA19" s="72">
        <f t="shared" si="83"/>
        <v>15.026833962469112</v>
      </c>
      <c r="FB19" s="78">
        <f t="shared" si="84"/>
        <v>2.2692557856804392</v>
      </c>
      <c r="FC19" s="78">
        <f t="shared" si="85"/>
        <v>2.2692557856804392</v>
      </c>
      <c r="FD19" s="78">
        <f t="shared" si="86"/>
        <v>44.067310803402826</v>
      </c>
      <c r="FE19" s="72">
        <f t="shared" si="87"/>
        <v>428.75116962415029</v>
      </c>
    </row>
    <row r="20" spans="1:161" s="67" customFormat="1" x14ac:dyDescent="0.2">
      <c r="A20" s="68">
        <v>1978</v>
      </c>
      <c r="B20" s="72">
        <v>53271.565999999999</v>
      </c>
      <c r="C20" s="72">
        <v>53481.072999999997</v>
      </c>
      <c r="D20" s="72">
        <v>53376.32</v>
      </c>
      <c r="E20" s="72">
        <v>53376.319499999998</v>
      </c>
      <c r="F20" s="117">
        <v>73.14</v>
      </c>
      <c r="G20" s="72">
        <f t="shared" si="50"/>
        <v>39039.440082299996</v>
      </c>
      <c r="H20" s="72">
        <v>18605.553554760663</v>
      </c>
      <c r="I20" s="73">
        <v>67.599999999999994</v>
      </c>
      <c r="J20" s="73"/>
      <c r="K20" s="67">
        <f t="shared" si="51"/>
        <v>825</v>
      </c>
      <c r="L20" s="67">
        <v>18743</v>
      </c>
      <c r="M20" s="67">
        <f t="shared" si="52"/>
        <v>280</v>
      </c>
      <c r="N20" s="67">
        <v>1450</v>
      </c>
      <c r="O20" s="67">
        <f t="shared" si="0"/>
        <v>20193</v>
      </c>
      <c r="P20" s="74">
        <f t="shared" si="53"/>
        <v>0.92819293814688253</v>
      </c>
      <c r="Q20" s="74">
        <f t="shared" si="54"/>
        <v>7.1807061853117415E-2</v>
      </c>
      <c r="R20" s="77">
        <f t="shared" si="55"/>
        <v>4.6043085165755171</v>
      </c>
      <c r="S20" s="77">
        <f t="shared" si="56"/>
        <v>23.931623931623935</v>
      </c>
      <c r="T20" s="77">
        <f t="shared" si="57"/>
        <v>5.6276144341126155</v>
      </c>
      <c r="U20" s="67">
        <f t="shared" si="58"/>
        <v>1105</v>
      </c>
      <c r="V20" s="75">
        <f t="shared" si="1"/>
        <v>0.37757282842847978</v>
      </c>
      <c r="W20" s="77">
        <f t="shared" si="88"/>
        <v>5.2351046639721899</v>
      </c>
      <c r="X20" s="74">
        <f t="shared" si="59"/>
        <v>1.0853211080534151</v>
      </c>
      <c r="Y20" s="77">
        <f t="shared" si="88"/>
        <v>4.1398366749483673</v>
      </c>
      <c r="Z20" s="72">
        <f t="shared" si="2"/>
        <v>16055.46132</v>
      </c>
      <c r="AA20" s="77">
        <f t="shared" si="89"/>
        <v>5.8642214210710808</v>
      </c>
      <c r="AB20" s="74">
        <f t="shared" si="3"/>
        <v>0.30020828714487463</v>
      </c>
      <c r="AC20" s="77">
        <f t="shared" si="89"/>
        <v>5.4495084358386459</v>
      </c>
      <c r="AD20" s="74">
        <f t="shared" si="60"/>
        <v>0.86293919031996968</v>
      </c>
      <c r="AE20" s="77">
        <f t="shared" si="61"/>
        <v>4.3008556214394256</v>
      </c>
      <c r="AF20" s="72">
        <v>16488</v>
      </c>
      <c r="AG20" s="72">
        <v>502</v>
      </c>
      <c r="AH20" s="72">
        <f t="shared" si="4"/>
        <v>16990</v>
      </c>
      <c r="AI20" s="72">
        <v>17110</v>
      </c>
      <c r="AJ20" s="72">
        <v>610</v>
      </c>
      <c r="AK20" s="72">
        <v>17720</v>
      </c>
      <c r="AL20" s="72">
        <f t="shared" si="5"/>
        <v>16799</v>
      </c>
      <c r="AM20" s="72">
        <f t="shared" si="6"/>
        <v>556</v>
      </c>
      <c r="AN20" s="72">
        <f t="shared" si="7"/>
        <v>17355</v>
      </c>
      <c r="AO20" s="74">
        <f t="shared" si="8"/>
        <v>0.33133217054190367</v>
      </c>
      <c r="AP20" s="74">
        <f t="shared" si="9"/>
        <v>0.32514418378786697</v>
      </c>
      <c r="AQ20" s="74">
        <f t="shared" si="62"/>
        <v>0.9327860065501421</v>
      </c>
      <c r="AR20" s="67">
        <v>1944986</v>
      </c>
      <c r="AS20" s="72">
        <v>184590.022</v>
      </c>
      <c r="AT20" s="77">
        <f t="shared" si="63"/>
        <v>12.977209227015706</v>
      </c>
      <c r="AU20" s="72">
        <v>566321.94799999997</v>
      </c>
      <c r="AV20" s="72">
        <f t="shared" si="10"/>
        <v>566.32194800000002</v>
      </c>
      <c r="AW20" s="78">
        <f t="shared" si="11"/>
        <v>10.589203174738099</v>
      </c>
      <c r="AX20" s="74">
        <f t="shared" si="64"/>
        <v>3.4644982103596345E-2</v>
      </c>
      <c r="AY20" s="78">
        <f t="shared" si="65"/>
        <v>30.438328337459939</v>
      </c>
      <c r="AZ20" s="74">
        <f t="shared" si="66"/>
        <v>2.3692302213358385E-2</v>
      </c>
      <c r="BA20" s="79">
        <f t="shared" si="67"/>
        <v>0.21650362609498053</v>
      </c>
      <c r="BB20" s="80">
        <v>235597.8</v>
      </c>
      <c r="BC20" s="81">
        <f t="shared" si="12"/>
        <v>722803.49746893696</v>
      </c>
      <c r="BD20" s="82">
        <f t="shared" si="68"/>
        <v>6.0059332454212022</v>
      </c>
      <c r="BE20" s="81">
        <f t="shared" si="13"/>
        <v>13515.127070635568</v>
      </c>
      <c r="BF20" s="81">
        <f t="shared" si="14"/>
        <v>38848.803683349201</v>
      </c>
      <c r="BG20" s="72">
        <v>349.62970700000005</v>
      </c>
      <c r="BH20" s="77">
        <f t="shared" ref="BH20:BH56" si="103">100*(BG20/BG19-1)</f>
        <v>13.629239943052273</v>
      </c>
      <c r="BI20" s="130">
        <f t="shared" si="15"/>
        <v>1070.8851505547327</v>
      </c>
      <c r="BJ20" s="77">
        <f t="shared" si="91"/>
        <v>3.9787947244151356</v>
      </c>
      <c r="BK20" s="83">
        <f t="shared" si="16"/>
        <v>20.023628743475896</v>
      </c>
      <c r="BL20" s="83">
        <f t="shared" si="17"/>
        <v>57.557285108602521</v>
      </c>
      <c r="BM20" s="81">
        <v>7450.6379999999999</v>
      </c>
      <c r="BN20" s="81">
        <f t="shared" si="18"/>
        <v>3830.6897838853338</v>
      </c>
      <c r="BO20" s="82">
        <v>42.878</v>
      </c>
      <c r="BP20" s="82">
        <f t="shared" si="19"/>
        <v>131.54778340236234</v>
      </c>
      <c r="BQ20" s="81">
        <f t="shared" si="20"/>
        <v>8933.928317284699</v>
      </c>
      <c r="BR20" s="82">
        <v>28.263000000000002</v>
      </c>
      <c r="BS20" s="82">
        <f t="shared" si="21"/>
        <v>86.709618039576625</v>
      </c>
      <c r="BT20" s="82">
        <v>27.061</v>
      </c>
      <c r="BU20" s="82">
        <f t="shared" si="22"/>
        <v>83.021935879736162</v>
      </c>
      <c r="BV20" s="82">
        <v>23.882000000000001</v>
      </c>
      <c r="BW20" s="82">
        <f t="shared" si="23"/>
        <v>73.268906273968412</v>
      </c>
      <c r="BX20" s="82">
        <f t="shared" si="24"/>
        <v>101.40546049000044</v>
      </c>
      <c r="BY20" s="84">
        <v>32.594999999999999</v>
      </c>
      <c r="BZ20" s="77">
        <v>32.64866515507169</v>
      </c>
      <c r="CA20" s="78">
        <v>0.38284251354384624</v>
      </c>
      <c r="CB20" s="78">
        <v>0.2337551597640293</v>
      </c>
      <c r="CC20" s="86">
        <f t="shared" si="25"/>
        <v>0.37213698870946132</v>
      </c>
      <c r="CD20" s="86">
        <f t="shared" si="92"/>
        <v>8.3932017120996738E-2</v>
      </c>
      <c r="CE20" s="86">
        <f t="shared" si="69"/>
        <v>1.5846986634979743E-3</v>
      </c>
      <c r="CF20" s="86">
        <f t="shared" si="26"/>
        <v>1.1745436832147456</v>
      </c>
      <c r="CG20" s="86">
        <f t="shared" si="70"/>
        <v>7.0522567024133842E-4</v>
      </c>
      <c r="CH20" s="86">
        <f t="shared" si="27"/>
        <v>0.71715035976078945</v>
      </c>
      <c r="CI20" s="86">
        <f t="shared" si="93"/>
        <v>-3.2773306680489167E-3</v>
      </c>
      <c r="CJ20" s="86">
        <f t="shared" si="28"/>
        <v>1.1416996125462844</v>
      </c>
      <c r="CK20" s="86">
        <f t="shared" si="94"/>
        <v>-2.86235516572797E-3</v>
      </c>
      <c r="CL20" s="87">
        <v>471</v>
      </c>
      <c r="CM20" s="77">
        <f t="shared" si="71"/>
        <v>30.986842105263158</v>
      </c>
      <c r="CN20" s="77">
        <f t="shared" si="29"/>
        <v>95.06624361179064</v>
      </c>
      <c r="CO20" s="77">
        <f t="shared" si="72"/>
        <v>131.57336038921133</v>
      </c>
      <c r="CP20" s="74">
        <v>0.30425992510590855</v>
      </c>
      <c r="CQ20" s="74">
        <f t="shared" si="73"/>
        <v>0.11032616625054548</v>
      </c>
      <c r="CR20" s="139">
        <f t="shared" si="30"/>
        <v>0.118702587184407</v>
      </c>
      <c r="CS20" s="74">
        <v>0.1166422220754344</v>
      </c>
      <c r="CT20" s="77">
        <f t="shared" si="74"/>
        <v>11.8702587184407</v>
      </c>
      <c r="CU20" s="77">
        <f t="shared" si="31"/>
        <v>36.417422053814086</v>
      </c>
      <c r="CV20" s="78">
        <f t="shared" si="32"/>
        <v>198.4034262320923</v>
      </c>
      <c r="CW20" s="74">
        <f t="shared" si="75"/>
        <v>-6.7240107653057102E-2</v>
      </c>
      <c r="CX20" s="88">
        <f t="shared" si="76"/>
        <v>50.402355392300542</v>
      </c>
      <c r="CY20" s="77">
        <f t="shared" si="33"/>
        <v>72.253413100168743</v>
      </c>
      <c r="CZ20" s="89">
        <v>23.550999999999998</v>
      </c>
      <c r="DA20" s="74">
        <f t="shared" si="77"/>
        <v>9.7976037380139491E-2</v>
      </c>
      <c r="DB20" s="125">
        <v>18.082000000000001</v>
      </c>
      <c r="DC20" s="125">
        <v>23.542000000000002</v>
      </c>
      <c r="DD20" s="74">
        <f t="shared" si="78"/>
        <v>1.1398229818643999</v>
      </c>
      <c r="DE20" s="74">
        <f t="shared" si="79"/>
        <v>1.1377651110394127</v>
      </c>
      <c r="DF20" s="75">
        <f t="shared" si="34"/>
        <v>1.1416996125462844</v>
      </c>
      <c r="DG20" s="75">
        <f t="shared" si="35"/>
        <v>1.1396383535956052</v>
      </c>
      <c r="DH20" s="74">
        <f t="shared" si="80"/>
        <v>-3.2773306680489167E-3</v>
      </c>
      <c r="DI20" s="75">
        <f t="shared" si="95"/>
        <v>-9.3375121952883333E-3</v>
      </c>
      <c r="DJ20" s="77">
        <f t="shared" si="96"/>
        <v>-0.28664595382609792</v>
      </c>
      <c r="DK20" s="75">
        <f t="shared" si="36"/>
        <v>1.1396383535956052</v>
      </c>
      <c r="DL20" s="77">
        <f t="shared" si="97"/>
        <v>8.9688478327431707</v>
      </c>
      <c r="DM20" s="72">
        <v>17969.855541551915</v>
      </c>
      <c r="DN20" s="72">
        <v>23606.13282582799</v>
      </c>
      <c r="DO20" s="92">
        <v>18050.702724298189</v>
      </c>
      <c r="DP20" s="92">
        <f t="shared" si="98"/>
        <v>214.54314956556846</v>
      </c>
      <c r="DQ20" s="92">
        <v>23758.659670661829</v>
      </c>
      <c r="DR20" s="72">
        <v>17969.855541551915</v>
      </c>
      <c r="DS20" s="72">
        <v>23606.13282582799</v>
      </c>
      <c r="DT20" s="72">
        <v>28083.599999999999</v>
      </c>
      <c r="DU20" s="72">
        <v>922.37</v>
      </c>
      <c r="DV20" s="72">
        <v>9017</v>
      </c>
      <c r="DW20" s="93">
        <v>1.4419999999999999</v>
      </c>
      <c r="DX20" s="67">
        <v>8.35</v>
      </c>
      <c r="DY20" s="67">
        <v>7.98</v>
      </c>
      <c r="EB20" s="72">
        <v>12930</v>
      </c>
      <c r="EC20" s="78">
        <v>9.1919772651853346</v>
      </c>
      <c r="ED20" s="72">
        <f t="shared" si="37"/>
        <v>17720</v>
      </c>
      <c r="EE20" s="72">
        <f t="shared" si="38"/>
        <v>21060.621542083576</v>
      </c>
      <c r="EF20" s="72">
        <f t="shared" si="39"/>
        <v>229119600000</v>
      </c>
      <c r="EG20" s="74">
        <f t="shared" si="81"/>
        <v>0.37213698870946132</v>
      </c>
      <c r="EH20" s="74">
        <f t="shared" si="40"/>
        <v>3.4206747397519002</v>
      </c>
      <c r="EI20" s="75">
        <f t="shared" si="41"/>
        <v>1.1416996125462844</v>
      </c>
      <c r="EJ20" s="75">
        <f t="shared" si="42"/>
        <v>3.4206747397519006</v>
      </c>
      <c r="EK20" s="78">
        <f t="shared" si="43"/>
        <v>10.494476882196352</v>
      </c>
      <c r="EL20" s="72">
        <f t="shared" si="44"/>
        <v>4284.1249651068147</v>
      </c>
      <c r="EM20" s="72">
        <f t="shared" si="45"/>
        <v>12314.581198868678</v>
      </c>
      <c r="EN20" s="72">
        <f t="shared" si="46"/>
        <v>297.61548653707905</v>
      </c>
      <c r="EO20" s="72">
        <f t="shared" si="47"/>
        <v>226.55584205425285</v>
      </c>
      <c r="EP20" s="75">
        <f t="shared" si="48"/>
        <v>8.8133010008746529E-2</v>
      </c>
      <c r="EQ20" s="77">
        <f t="shared" si="82"/>
        <v>11.346486406180359</v>
      </c>
      <c r="ER20" s="95">
        <v>8.0050000000000008</v>
      </c>
      <c r="ES20" s="96">
        <f t="shared" si="102"/>
        <v>0.12905500705218631</v>
      </c>
      <c r="ET20" s="95">
        <f t="shared" si="99"/>
        <v>24.558981438870997</v>
      </c>
      <c r="EU20" s="74">
        <f t="shared" si="102"/>
        <v>3.8647473123479381E-2</v>
      </c>
      <c r="EV20" s="77">
        <f t="shared" si="100"/>
        <v>21.510895833710709</v>
      </c>
      <c r="EW20" s="74">
        <f t="shared" si="101"/>
        <v>4.1628985230125037E-2</v>
      </c>
      <c r="EX20" s="78"/>
      <c r="EY20" s="132">
        <f t="shared" si="49"/>
        <v>1.4976900891539431</v>
      </c>
      <c r="EZ20" s="78">
        <v>1.0289038255048224</v>
      </c>
      <c r="FA20" s="72">
        <f t="shared" si="83"/>
        <v>14.908437656271778</v>
      </c>
      <c r="FB20" s="78">
        <f t="shared" si="84"/>
        <v>2.2839669999313852</v>
      </c>
      <c r="FC20" s="78">
        <f t="shared" si="85"/>
        <v>2.2839669999313852</v>
      </c>
      <c r="FD20" s="78">
        <f t="shared" si="86"/>
        <v>43.783469727454118</v>
      </c>
      <c r="FE20" s="72">
        <f t="shared" si="87"/>
        <v>429.86840255250627</v>
      </c>
    </row>
    <row r="21" spans="1:161" s="67" customFormat="1" x14ac:dyDescent="0.2">
      <c r="A21" s="68">
        <v>1979</v>
      </c>
      <c r="B21" s="72">
        <v>53481.072999999997</v>
      </c>
      <c r="C21" s="72">
        <v>53731.387000000002</v>
      </c>
      <c r="D21" s="72">
        <v>53606.23</v>
      </c>
      <c r="E21" s="72">
        <v>53606.23</v>
      </c>
      <c r="F21" s="117">
        <v>73.210999999999999</v>
      </c>
      <c r="G21" s="72">
        <f t="shared" si="50"/>
        <v>39245.657045300002</v>
      </c>
      <c r="H21" s="72">
        <v>18879.318354651467</v>
      </c>
      <c r="I21" s="73">
        <v>68.599999999999994</v>
      </c>
      <c r="J21" s="73"/>
      <c r="K21" s="67">
        <f t="shared" si="51"/>
        <v>33</v>
      </c>
      <c r="L21" s="67">
        <v>18776</v>
      </c>
      <c r="M21" s="67">
        <f t="shared" si="52"/>
        <v>260</v>
      </c>
      <c r="N21" s="67">
        <v>1710</v>
      </c>
      <c r="O21" s="67">
        <f t="shared" si="0"/>
        <v>20486</v>
      </c>
      <c r="P21" s="74">
        <f t="shared" si="53"/>
        <v>0.91652836083178757</v>
      </c>
      <c r="Q21" s="74">
        <f t="shared" si="54"/>
        <v>8.3471639168212444E-2</v>
      </c>
      <c r="R21" s="77">
        <f t="shared" si="55"/>
        <v>0.17606573120632074</v>
      </c>
      <c r="S21" s="77">
        <f t="shared" si="56"/>
        <v>17.931034482758612</v>
      </c>
      <c r="T21" s="77">
        <f t="shared" si="57"/>
        <v>1.4405716317657635</v>
      </c>
      <c r="U21" s="67">
        <f t="shared" si="58"/>
        <v>293</v>
      </c>
      <c r="V21" s="75">
        <f t="shared" si="1"/>
        <v>0.3812669120192263</v>
      </c>
      <c r="W21" s="77">
        <f t="shared" si="88"/>
        <v>0.9736213261281379</v>
      </c>
      <c r="X21" s="74">
        <f t="shared" si="59"/>
        <v>1.0851027359763061</v>
      </c>
      <c r="Y21" s="77">
        <f t="shared" si="88"/>
        <v>-2.0122528458807465E-2</v>
      </c>
      <c r="Z21" s="72">
        <f t="shared" si="2"/>
        <v>16301.27224</v>
      </c>
      <c r="AA21" s="77">
        <f t="shared" si="89"/>
        <v>1.5310112559257183</v>
      </c>
      <c r="AB21" s="74">
        <f t="shared" si="3"/>
        <v>0.30338454207407672</v>
      </c>
      <c r="AC21" s="77">
        <f t="shared" si="89"/>
        <v>1.0580170718835991</v>
      </c>
      <c r="AD21" s="74">
        <f t="shared" si="60"/>
        <v>0.86344601715896752</v>
      </c>
      <c r="AE21" s="77">
        <f t="shared" si="61"/>
        <v>5.8732625042789977E-2</v>
      </c>
      <c r="AF21" s="72">
        <v>17110</v>
      </c>
      <c r="AG21" s="72">
        <v>610</v>
      </c>
      <c r="AH21" s="72">
        <f t="shared" si="4"/>
        <v>17720</v>
      </c>
      <c r="AI21" s="72">
        <v>17710</v>
      </c>
      <c r="AJ21" s="72">
        <v>730</v>
      </c>
      <c r="AK21" s="72">
        <v>18440</v>
      </c>
      <c r="AL21" s="72">
        <f t="shared" si="5"/>
        <v>17410</v>
      </c>
      <c r="AM21" s="72">
        <f t="shared" si="6"/>
        <v>670</v>
      </c>
      <c r="AN21" s="72">
        <f t="shared" si="7"/>
        <v>18080</v>
      </c>
      <c r="AO21" s="74">
        <f t="shared" si="8"/>
        <v>0.34318860966682285</v>
      </c>
      <c r="AP21" s="74">
        <f t="shared" si="9"/>
        <v>0.33727423099889692</v>
      </c>
      <c r="AQ21" s="74">
        <f t="shared" si="62"/>
        <v>0.95766169415462332</v>
      </c>
      <c r="AR21" s="67">
        <v>1976391</v>
      </c>
      <c r="AS21" s="72">
        <v>211776.00099999999</v>
      </c>
      <c r="AT21" s="77">
        <f t="shared" si="63"/>
        <v>14.727761937208061</v>
      </c>
      <c r="AU21" s="72">
        <v>585695.73899999994</v>
      </c>
      <c r="AV21" s="72">
        <f t="shared" si="10"/>
        <v>585.69573899999989</v>
      </c>
      <c r="AW21" s="78">
        <f t="shared" si="11"/>
        <v>10.900439607114551</v>
      </c>
      <c r="AX21" s="74">
        <f t="shared" si="64"/>
        <v>2.8968205746012998E-2</v>
      </c>
      <c r="AY21" s="78">
        <f t="shared" si="65"/>
        <v>31.023140136608632</v>
      </c>
      <c r="AZ21" s="74">
        <f t="shared" si="66"/>
        <v>1.9030767200143295E-2</v>
      </c>
      <c r="BA21" s="79">
        <f t="shared" si="67"/>
        <v>0.1965911536103625</v>
      </c>
      <c r="BB21" s="80">
        <v>263596.79999999999</v>
      </c>
      <c r="BC21" s="81">
        <f t="shared" si="12"/>
        <v>729013.77288566844</v>
      </c>
      <c r="BD21" s="82">
        <f t="shared" si="68"/>
        <v>0.85919277348245338</v>
      </c>
      <c r="BE21" s="81">
        <f t="shared" si="13"/>
        <v>13567.745289837174</v>
      </c>
      <c r="BF21" s="81">
        <f t="shared" si="14"/>
        <v>38614.411770118531</v>
      </c>
      <c r="BG21" s="72">
        <v>399.43013099999996</v>
      </c>
      <c r="BH21" s="77">
        <f t="shared" si="103"/>
        <v>14.243762186947095</v>
      </c>
      <c r="BI21" s="130">
        <f t="shared" si="15"/>
        <v>1108.9988772289971</v>
      </c>
      <c r="BJ21" s="77">
        <f t="shared" si="91"/>
        <v>3.5590862992657124</v>
      </c>
      <c r="BK21" s="83">
        <f t="shared" si="16"/>
        <v>20.639684533529667</v>
      </c>
      <c r="BL21" s="83">
        <f t="shared" si="17"/>
        <v>58.741468118511982</v>
      </c>
      <c r="BM21" s="81">
        <v>8730.6059999999998</v>
      </c>
      <c r="BN21" s="81">
        <f t="shared" si="18"/>
        <v>4417.4487740533123</v>
      </c>
      <c r="BO21" s="82">
        <v>47.338999999999999</v>
      </c>
      <c r="BP21" s="82">
        <f t="shared" si="19"/>
        <v>130.92261740140492</v>
      </c>
      <c r="BQ21" s="81">
        <f t="shared" si="20"/>
        <v>9331.5211011075717</v>
      </c>
      <c r="BR21" s="82">
        <v>31.917000000000002</v>
      </c>
      <c r="BS21" s="82">
        <f t="shared" si="21"/>
        <v>88.270922064273478</v>
      </c>
      <c r="BT21" s="82">
        <v>31.678000000000001</v>
      </c>
      <c r="BU21" s="82">
        <f t="shared" si="22"/>
        <v>87.609934177775315</v>
      </c>
      <c r="BV21" s="82">
        <v>26.364999999999998</v>
      </c>
      <c r="BW21" s="82">
        <f t="shared" si="23"/>
        <v>72.916090491730728</v>
      </c>
      <c r="BX21" s="82">
        <f t="shared" si="24"/>
        <v>97.144436256448046</v>
      </c>
      <c r="BY21" s="84">
        <v>36.158000000000001</v>
      </c>
      <c r="BZ21" s="77">
        <v>36.017180828716171</v>
      </c>
      <c r="CA21" s="78">
        <v>0.43838001312521563</v>
      </c>
      <c r="CB21" s="78">
        <v>0.28876384681719491</v>
      </c>
      <c r="CC21" s="86">
        <f t="shared" si="25"/>
        <v>0.42589130647742135</v>
      </c>
      <c r="CD21" s="86">
        <f t="shared" si="92"/>
        <v>0.14444766147642385</v>
      </c>
      <c r="CE21" s="86">
        <f t="shared" si="69"/>
        <v>3.7857481465866316E-2</v>
      </c>
      <c r="CF21" s="86">
        <f t="shared" si="26"/>
        <v>1.2124011646806119</v>
      </c>
      <c r="CG21" s="86">
        <f t="shared" si="70"/>
        <v>8.1466396744534153E-2</v>
      </c>
      <c r="CH21" s="86">
        <f t="shared" si="27"/>
        <v>0.7986167565053236</v>
      </c>
      <c r="CI21" s="86">
        <f t="shared" si="93"/>
        <v>3.6162289321687524E-2</v>
      </c>
      <c r="CJ21" s="86">
        <f t="shared" si="28"/>
        <v>1.1778619018679719</v>
      </c>
      <c r="CK21" s="86">
        <f t="shared" si="94"/>
        <v>3.1674083904641437E-2</v>
      </c>
      <c r="CL21" s="87">
        <v>521.25</v>
      </c>
      <c r="CM21" s="77">
        <f t="shared" si="71"/>
        <v>34.292763157894733</v>
      </c>
      <c r="CN21" s="77">
        <f t="shared" si="29"/>
        <v>94.841426953633302</v>
      </c>
      <c r="CO21" s="77">
        <f t="shared" si="72"/>
        <v>126.35505953535274</v>
      </c>
      <c r="CP21" s="74">
        <v>0.3442051129929703</v>
      </c>
      <c r="CQ21" s="74">
        <f t="shared" si="73"/>
        <v>0.12335538549897063</v>
      </c>
      <c r="CR21" s="139">
        <f t="shared" si="30"/>
        <v>0.13437656875937262</v>
      </c>
      <c r="CS21" s="74">
        <v>0.13128639229486905</v>
      </c>
      <c r="CT21" s="77">
        <f t="shared" si="74"/>
        <v>13.437656875937263</v>
      </c>
      <c r="CU21" s="77">
        <f t="shared" si="31"/>
        <v>37.163717229761772</v>
      </c>
      <c r="CV21" s="78">
        <f t="shared" si="32"/>
        <v>201.96973512993509</v>
      </c>
      <c r="CW21" s="74">
        <f t="shared" si="75"/>
        <v>1.7815396070083978E-2</v>
      </c>
      <c r="CX21" s="88">
        <f t="shared" si="76"/>
        <v>49.512368739636187</v>
      </c>
      <c r="CY21" s="77">
        <f t="shared" si="33"/>
        <v>75.059461253387909</v>
      </c>
      <c r="CZ21" s="89">
        <v>27.14</v>
      </c>
      <c r="DA21" s="74">
        <f t="shared" si="77"/>
        <v>0.14184037200080679</v>
      </c>
      <c r="DB21" s="125">
        <v>22.359000000000002</v>
      </c>
      <c r="DC21" s="125">
        <v>27.053000000000001</v>
      </c>
      <c r="DD21" s="74">
        <f t="shared" si="78"/>
        <v>1.1824670800937924</v>
      </c>
      <c r="DE21" s="74">
        <f t="shared" si="79"/>
        <v>1.1803199983248613</v>
      </c>
      <c r="DF21" s="75">
        <f t="shared" si="34"/>
        <v>1.1778619018679719</v>
      </c>
      <c r="DG21" s="75">
        <f t="shared" si="35"/>
        <v>1.1757231820182672</v>
      </c>
      <c r="DH21" s="74">
        <f t="shared" si="80"/>
        <v>3.6162289321687524E-2</v>
      </c>
      <c r="DI21" s="75">
        <f t="shared" si="95"/>
        <v>4.2644098229392524E-2</v>
      </c>
      <c r="DJ21" s="77">
        <f t="shared" si="96"/>
        <v>3.1182807010916385</v>
      </c>
      <c r="DK21" s="75">
        <f t="shared" si="36"/>
        <v>1.1757231820182672</v>
      </c>
      <c r="DL21" s="77">
        <f t="shared" si="97"/>
        <v>9.3166340296359174</v>
      </c>
      <c r="DM21" s="72">
        <v>18265.708772185702</v>
      </c>
      <c r="DN21" s="72">
        <v>23946.419993186046</v>
      </c>
      <c r="DO21" s="92">
        <v>18321.351492149093</v>
      </c>
      <c r="DP21" s="92">
        <f t="shared" si="98"/>
        <v>270.64876785090382</v>
      </c>
      <c r="DQ21" s="92">
        <v>24061.007165330913</v>
      </c>
      <c r="DR21" s="72">
        <v>18265.708772185702</v>
      </c>
      <c r="DS21" s="72">
        <v>23946.419993186046</v>
      </c>
      <c r="DT21" s="72">
        <v>28350.3</v>
      </c>
      <c r="DU21" s="72">
        <v>962.31</v>
      </c>
      <c r="DV21" s="72">
        <v>9294</v>
      </c>
      <c r="DW21" s="93">
        <v>1.4790000000000001</v>
      </c>
      <c r="DX21" s="78">
        <v>8</v>
      </c>
      <c r="DY21" s="67">
        <v>7.81</v>
      </c>
      <c r="EB21" s="72">
        <v>12720</v>
      </c>
      <c r="EC21" s="78">
        <v>9.0887956613711545</v>
      </c>
      <c r="ED21" s="72">
        <f t="shared" si="37"/>
        <v>18440</v>
      </c>
      <c r="EE21" s="72">
        <f t="shared" si="38"/>
        <v>21318.388261851018</v>
      </c>
      <c r="EF21" s="72">
        <f t="shared" si="39"/>
        <v>234556800000</v>
      </c>
      <c r="EG21" s="74">
        <f t="shared" si="81"/>
        <v>0.42589130647742135</v>
      </c>
      <c r="EH21" s="74">
        <f t="shared" si="40"/>
        <v>3.8708390585276797</v>
      </c>
      <c r="EI21" s="75">
        <f t="shared" si="41"/>
        <v>1.1778619018679719</v>
      </c>
      <c r="EJ21" s="75">
        <f t="shared" si="42"/>
        <v>3.8708390585276793</v>
      </c>
      <c r="EK21" s="78">
        <f t="shared" si="43"/>
        <v>10.705346143391999</v>
      </c>
      <c r="EL21" s="72">
        <f t="shared" si="44"/>
        <v>4365.359114961987</v>
      </c>
      <c r="EM21" s="72">
        <f t="shared" si="45"/>
        <v>12424.007879617653</v>
      </c>
      <c r="EN21" s="72">
        <f t="shared" si="46"/>
        <v>294.16535471002379</v>
      </c>
      <c r="EO21" s="72">
        <f t="shared" si="47"/>
        <v>224.38171140107485</v>
      </c>
      <c r="EP21" s="75">
        <f t="shared" si="48"/>
        <v>8.733918607347986E-2</v>
      </c>
      <c r="EQ21" s="77">
        <f t="shared" si="82"/>
        <v>11.449614370789806</v>
      </c>
      <c r="ER21" s="95">
        <v>9.68</v>
      </c>
      <c r="ES21" s="96">
        <f t="shared" si="102"/>
        <v>0.20924422236102425</v>
      </c>
      <c r="ET21" s="95">
        <f t="shared" si="99"/>
        <v>26.771392223021184</v>
      </c>
      <c r="EU21" s="74">
        <f t="shared" si="102"/>
        <v>9.008560838148072E-2</v>
      </c>
      <c r="EV21" s="77">
        <f t="shared" si="100"/>
        <v>22.728803929021232</v>
      </c>
      <c r="EW21" s="74">
        <f t="shared" si="101"/>
        <v>5.6618195017330786E-2</v>
      </c>
      <c r="EX21" s="78"/>
      <c r="EY21" s="132">
        <f>EY22*EZ21/EZ22</f>
        <v>1.6491418959223196</v>
      </c>
      <c r="EZ21" s="78">
        <v>1.1329502797693551</v>
      </c>
      <c r="FA21" s="72">
        <f t="shared" si="83"/>
        <v>15.495014984355803</v>
      </c>
      <c r="FB21" s="78">
        <f t="shared" si="84"/>
        <v>2.3471837493782339</v>
      </c>
      <c r="FC21" s="78">
        <f t="shared" si="85"/>
        <v>2.3471837493782339</v>
      </c>
      <c r="FD21" s="78">
        <f t="shared" si="86"/>
        <v>42.604248613467043</v>
      </c>
      <c r="FE21" s="72">
        <f t="shared" si="87"/>
        <v>434.59164716827399</v>
      </c>
    </row>
    <row r="22" spans="1:161" s="67" customFormat="1" x14ac:dyDescent="0.2">
      <c r="A22" s="68">
        <v>1980</v>
      </c>
      <c r="B22" s="72">
        <v>53731.387000000002</v>
      </c>
      <c r="C22" s="72">
        <v>54028.63</v>
      </c>
      <c r="D22" s="72">
        <v>53880.008999999998</v>
      </c>
      <c r="E22" s="72">
        <v>53880.008500000004</v>
      </c>
      <c r="F22" s="117">
        <v>73.281999999999996</v>
      </c>
      <c r="G22" s="72">
        <f t="shared" si="50"/>
        <v>39484.34782897</v>
      </c>
      <c r="H22" s="72">
        <v>19146.484843267499</v>
      </c>
      <c r="I22" s="73">
        <v>69.3</v>
      </c>
      <c r="J22" s="73">
        <v>16.5</v>
      </c>
      <c r="K22" s="67">
        <f t="shared" si="51"/>
        <v>30</v>
      </c>
      <c r="L22" s="67">
        <v>18806</v>
      </c>
      <c r="M22" s="67">
        <f t="shared" si="52"/>
        <v>280</v>
      </c>
      <c r="N22" s="67">
        <v>1990</v>
      </c>
      <c r="O22" s="67">
        <f t="shared" si="0"/>
        <v>20796</v>
      </c>
      <c r="P22" s="74">
        <f t="shared" si="53"/>
        <v>0.90430852086939795</v>
      </c>
      <c r="Q22" s="74">
        <f t="shared" si="54"/>
        <v>9.5691479130602039E-2</v>
      </c>
      <c r="R22" s="77">
        <f t="shared" si="55"/>
        <v>0.15977844056243029</v>
      </c>
      <c r="S22" s="77">
        <f t="shared" si="56"/>
        <v>16.374269005847953</v>
      </c>
      <c r="T22" s="77">
        <f t="shared" si="57"/>
        <v>1.5018934507125437</v>
      </c>
      <c r="U22" s="67">
        <f t="shared" si="58"/>
        <v>310</v>
      </c>
      <c r="V22" s="75">
        <f t="shared" si="1"/>
        <v>0.38490703910130614</v>
      </c>
      <c r="W22" s="77">
        <f t="shared" si="88"/>
        <v>0.95021619201898222</v>
      </c>
      <c r="X22" s="74">
        <f t="shared" si="59"/>
        <v>1.0861523757616804</v>
      </c>
      <c r="Y22" s="77">
        <f t="shared" si="88"/>
        <v>9.6685079654330874E-2</v>
      </c>
      <c r="Z22" s="72">
        <f t="shared" si="2"/>
        <v>16561.60944</v>
      </c>
      <c r="AA22" s="77">
        <f t="shared" si="89"/>
        <v>1.5970360850804388</v>
      </c>
      <c r="AB22" s="74">
        <f t="shared" si="3"/>
        <v>0.30653395135134837</v>
      </c>
      <c r="AC22" s="77">
        <f t="shared" si="89"/>
        <v>1.0380915440651117</v>
      </c>
      <c r="AD22" s="74">
        <f t="shared" si="60"/>
        <v>0.86499477975058059</v>
      </c>
      <c r="AE22" s="77">
        <f t="shared" si="61"/>
        <v>0.17936993869158702</v>
      </c>
      <c r="AF22" s="72">
        <v>17710</v>
      </c>
      <c r="AG22" s="72">
        <v>730</v>
      </c>
      <c r="AH22" s="72">
        <f t="shared" si="4"/>
        <v>18440</v>
      </c>
      <c r="AI22" s="72">
        <v>18240</v>
      </c>
      <c r="AJ22" s="72">
        <v>890</v>
      </c>
      <c r="AK22" s="72">
        <v>19130</v>
      </c>
      <c r="AL22" s="72">
        <f t="shared" si="5"/>
        <v>17975</v>
      </c>
      <c r="AM22" s="72">
        <f t="shared" si="6"/>
        <v>810</v>
      </c>
      <c r="AN22" s="72">
        <f t="shared" si="7"/>
        <v>18785</v>
      </c>
      <c r="AO22" s="74">
        <f t="shared" si="8"/>
        <v>0.35407153577649481</v>
      </c>
      <c r="AP22" s="74">
        <f t="shared" si="9"/>
        <v>0.34864507910531345</v>
      </c>
      <c r="AQ22" s="74">
        <f t="shared" si="62"/>
        <v>0.98112004129078512</v>
      </c>
      <c r="AR22" s="67">
        <v>1873202</v>
      </c>
      <c r="AS22" s="72">
        <v>242302.97500000001</v>
      </c>
      <c r="AT22" s="77">
        <f t="shared" si="63"/>
        <v>14.414746645442623</v>
      </c>
      <c r="AU22" s="72">
        <v>592690.98899999994</v>
      </c>
      <c r="AV22" s="72">
        <f t="shared" si="10"/>
        <v>592.69098899999995</v>
      </c>
      <c r="AW22" s="78">
        <f t="shared" si="11"/>
        <v>10.969942954318849</v>
      </c>
      <c r="AX22" s="74">
        <f t="shared" si="64"/>
        <v>6.3559547705995811E-3</v>
      </c>
      <c r="AY22" s="78">
        <f t="shared" si="65"/>
        <v>30.955603279231099</v>
      </c>
      <c r="AZ22" s="74">
        <f t="shared" si="66"/>
        <v>-2.1793563530465576E-3</v>
      </c>
      <c r="BA22" s="79">
        <f t="shared" si="67"/>
        <v>0.19164871279227724</v>
      </c>
      <c r="BB22" s="80">
        <v>299749.59999999998</v>
      </c>
      <c r="BC22" s="81">
        <f t="shared" si="12"/>
        <v>733206.79027444834</v>
      </c>
      <c r="BD22" s="82">
        <f t="shared" si="68"/>
        <v>0.57516298658975007</v>
      </c>
      <c r="BE22" s="81">
        <f t="shared" si="13"/>
        <v>13570.708534983183</v>
      </c>
      <c r="BF22" s="81">
        <f t="shared" si="14"/>
        <v>38294.590170282187</v>
      </c>
      <c r="BG22" s="72">
        <v>453.21067799999992</v>
      </c>
      <c r="BH22" s="77">
        <f t="shared" si="103"/>
        <v>13.464318995003399</v>
      </c>
      <c r="BI22" s="130">
        <f t="shared" si="15"/>
        <v>1126.6115994189095</v>
      </c>
      <c r="BJ22" s="77">
        <f t="shared" si="91"/>
        <v>1.5881641137383662</v>
      </c>
      <c r="BK22" s="83">
        <f t="shared" si="16"/>
        <v>20.852122280703945</v>
      </c>
      <c r="BL22" s="83">
        <f t="shared" si="17"/>
        <v>58.841693848312907</v>
      </c>
      <c r="BM22" s="81">
        <v>9318.107</v>
      </c>
      <c r="BN22" s="81">
        <f t="shared" si="18"/>
        <v>4974.427210733279</v>
      </c>
      <c r="BO22" s="82">
        <v>53.212000000000003</v>
      </c>
      <c r="BP22" s="82">
        <f t="shared" si="19"/>
        <v>130.15997260408005</v>
      </c>
      <c r="BQ22" s="81">
        <f t="shared" si="20"/>
        <v>9348.3184445863317</v>
      </c>
      <c r="BR22" s="82">
        <v>36.655000000000001</v>
      </c>
      <c r="BS22" s="82">
        <f t="shared" si="21"/>
        <v>89.66048627757938</v>
      </c>
      <c r="BT22" s="82">
        <v>37.569000000000003</v>
      </c>
      <c r="BU22" s="82">
        <f t="shared" si="22"/>
        <v>91.896189031847769</v>
      </c>
      <c r="BV22" s="82">
        <v>29.635000000000002</v>
      </c>
      <c r="BW22" s="82">
        <f t="shared" si="23"/>
        <v>72.489115013942566</v>
      </c>
      <c r="BX22" s="82">
        <f t="shared" si="24"/>
        <v>93.48875358844127</v>
      </c>
      <c r="BY22" s="84">
        <v>40.881999999999998</v>
      </c>
      <c r="BZ22" s="77">
        <v>40.227766005050867</v>
      </c>
      <c r="CA22" s="78">
        <v>0.51695997744563826</v>
      </c>
      <c r="CB22" s="78">
        <v>0.36625876391287848</v>
      </c>
      <c r="CC22" s="86">
        <f t="shared" si="25"/>
        <v>0.50253915541591176</v>
      </c>
      <c r="CD22" s="86">
        <f t="shared" si="92"/>
        <v>0.17997044732481271</v>
      </c>
      <c r="CE22" s="86">
        <f t="shared" si="69"/>
        <v>5.2116171667018651E-2</v>
      </c>
      <c r="CF22" s="86">
        <f t="shared" si="26"/>
        <v>1.2645173363476305</v>
      </c>
      <c r="CG22" s="86">
        <f t="shared" si="70"/>
        <v>9.7275724079966985E-2</v>
      </c>
      <c r="CH22" s="86">
        <f t="shared" si="27"/>
        <v>0.89589248058529058</v>
      </c>
      <c r="CI22" s="86">
        <f t="shared" si="93"/>
        <v>5.1381176787455463E-2</v>
      </c>
      <c r="CJ22" s="86">
        <f t="shared" si="28"/>
        <v>1.2292430786554274</v>
      </c>
      <c r="CK22" s="86">
        <f t="shared" si="94"/>
        <v>4.3622411681683682E-2</v>
      </c>
      <c r="CL22" s="87">
        <v>592.5</v>
      </c>
      <c r="CM22" s="77">
        <f t="shared" si="71"/>
        <v>38.980263157894733</v>
      </c>
      <c r="CN22" s="77">
        <f t="shared" si="29"/>
        <v>95.348229435680096</v>
      </c>
      <c r="CO22" s="77">
        <f t="shared" si="72"/>
        <v>122.9700090157252</v>
      </c>
      <c r="CP22" s="74">
        <v>0.4124432192050313</v>
      </c>
      <c r="CQ22" s="74">
        <f t="shared" si="73"/>
        <v>0.18086080750569844</v>
      </c>
      <c r="CR22" s="139">
        <f t="shared" si="30"/>
        <v>0.15468454455819264</v>
      </c>
      <c r="CS22" s="74">
        <v>0.19824838050402405</v>
      </c>
      <c r="CT22" s="77">
        <f t="shared" si="74"/>
        <v>15.468454455819264</v>
      </c>
      <c r="CU22" s="77">
        <f t="shared" si="31"/>
        <v>37.836833950930156</v>
      </c>
      <c r="CV22" s="78">
        <f t="shared" si="32"/>
        <v>204.92674358991806</v>
      </c>
      <c r="CW22" s="74">
        <f t="shared" si="75"/>
        <v>1.4534706845686252E-2</v>
      </c>
      <c r="CX22" s="88">
        <f t="shared" si="76"/>
        <v>48.797925662699974</v>
      </c>
      <c r="CY22" s="77">
        <f t="shared" si="33"/>
        <v>77.537791693165701</v>
      </c>
      <c r="CZ22" s="89">
        <v>31.699000000000002</v>
      </c>
      <c r="DA22" s="74">
        <f t="shared" si="77"/>
        <v>0.15527648023760987</v>
      </c>
      <c r="DB22" s="125">
        <v>27.838000000000001</v>
      </c>
      <c r="DC22" s="125">
        <v>31.438999999999997</v>
      </c>
      <c r="DD22" s="74">
        <f t="shared" si="78"/>
        <v>1.2492345594155405</v>
      </c>
      <c r="DE22" s="74">
        <f t="shared" si="79"/>
        <v>1.2470462070393435</v>
      </c>
      <c r="DF22" s="75">
        <f t="shared" si="34"/>
        <v>1.2292430786554274</v>
      </c>
      <c r="DG22" s="75">
        <f t="shared" si="35"/>
        <v>1.2270897464474568</v>
      </c>
      <c r="DH22" s="74">
        <f t="shared" si="80"/>
        <v>5.1381176787455463E-2</v>
      </c>
      <c r="DI22" s="75">
        <f t="shared" si="95"/>
        <v>6.6767479321748091E-2</v>
      </c>
      <c r="DJ22" s="77">
        <f t="shared" si="96"/>
        <v>4.2697749405999383</v>
      </c>
      <c r="DK22" s="75">
        <f t="shared" si="36"/>
        <v>1.2270897464474568</v>
      </c>
      <c r="DL22" s="77">
        <f t="shared" si="97"/>
        <v>9.4368933539356856</v>
      </c>
      <c r="DM22" s="72">
        <v>18574.125312139782</v>
      </c>
      <c r="DN22" s="72">
        <v>24297.217234795731</v>
      </c>
      <c r="DO22" s="92">
        <v>18596.058671074548</v>
      </c>
      <c r="DP22" s="92">
        <f t="shared" si="98"/>
        <v>274.70717892545508</v>
      </c>
      <c r="DQ22" s="92">
        <v>24367.589107665459</v>
      </c>
      <c r="DR22" s="72">
        <v>18574.125312139782</v>
      </c>
      <c r="DS22" s="72">
        <v>24297.217234795731</v>
      </c>
      <c r="DT22" s="72">
        <v>28627.93</v>
      </c>
      <c r="DU22" s="72">
        <v>989.35</v>
      </c>
      <c r="DV22" s="72">
        <v>9477</v>
      </c>
      <c r="DW22" s="93">
        <v>1.5089999999999999</v>
      </c>
      <c r="DX22" s="67">
        <v>7.66</v>
      </c>
      <c r="DY22" s="67">
        <v>7.46</v>
      </c>
      <c r="EB22" s="72">
        <v>13020</v>
      </c>
      <c r="EC22" s="78">
        <v>8.6617951357997534</v>
      </c>
      <c r="ED22" s="72">
        <f t="shared" si="37"/>
        <v>19130</v>
      </c>
      <c r="EE22" s="72">
        <f t="shared" si="38"/>
        <v>21574.15835140998</v>
      </c>
      <c r="EF22" s="72">
        <f t="shared" si="39"/>
        <v>249072600000</v>
      </c>
      <c r="EG22" s="74">
        <f t="shared" si="81"/>
        <v>0.50253915541591176</v>
      </c>
      <c r="EH22" s="74">
        <f t="shared" si="40"/>
        <v>4.3528912119304604</v>
      </c>
      <c r="EI22" s="75">
        <f t="shared" si="41"/>
        <v>1.2292430786554274</v>
      </c>
      <c r="EJ22" s="75">
        <f t="shared" si="42"/>
        <v>4.3528912119304604</v>
      </c>
      <c r="EK22" s="78">
        <f t="shared" si="43"/>
        <v>10.647451719413095</v>
      </c>
      <c r="EL22" s="72">
        <f t="shared" si="44"/>
        <v>4610.0113958099619</v>
      </c>
      <c r="EM22" s="72">
        <f t="shared" si="45"/>
        <v>13008.789970529848</v>
      </c>
      <c r="EN22" s="72">
        <f t="shared" si="46"/>
        <v>290.88115371272778</v>
      </c>
      <c r="EO22" s="72">
        <f t="shared" si="47"/>
        <v>222.36550580214714</v>
      </c>
      <c r="EP22" s="75">
        <f t="shared" si="48"/>
        <v>8.3493728334630146E-2</v>
      </c>
      <c r="EQ22" s="77">
        <f t="shared" si="82"/>
        <v>11.976947489901903</v>
      </c>
      <c r="ER22" s="95">
        <v>11.815</v>
      </c>
      <c r="ES22" s="96">
        <f t="shared" si="102"/>
        <v>0.22055785123966931</v>
      </c>
      <c r="ET22" s="95">
        <f t="shared" si="99"/>
        <v>28.900249498556825</v>
      </c>
      <c r="EU22" s="74">
        <f t="shared" si="102"/>
        <v>7.9519856785968734E-2</v>
      </c>
      <c r="EV22" s="77">
        <f t="shared" si="100"/>
        <v>23.510605835721719</v>
      </c>
      <c r="EW22" s="74">
        <f t="shared" si="101"/>
        <v>3.4396966472232338E-2</v>
      </c>
      <c r="EX22" s="78">
        <v>2.129</v>
      </c>
      <c r="EY22" s="132">
        <v>1.8721588421526756</v>
      </c>
      <c r="EZ22" s="78">
        <v>1.2861615420929524</v>
      </c>
      <c r="FA22" s="72">
        <f t="shared" si="83"/>
        <v>16.105657621596066</v>
      </c>
      <c r="FB22" s="78">
        <f t="shared" si="84"/>
        <v>2.3250651140932836</v>
      </c>
      <c r="FC22" s="78">
        <f t="shared" si="85"/>
        <v>2.3250651140932836</v>
      </c>
      <c r="FD22" s="78">
        <f t="shared" si="86"/>
        <v>43.009548160115706</v>
      </c>
      <c r="FE22" s="72">
        <f t="shared" si="87"/>
        <v>440.64949638525775</v>
      </c>
    </row>
    <row r="23" spans="1:161" s="67" customFormat="1" x14ac:dyDescent="0.2">
      <c r="A23" s="68">
        <v>1981</v>
      </c>
      <c r="B23" s="72">
        <v>54028.63</v>
      </c>
      <c r="C23" s="72">
        <v>54335</v>
      </c>
      <c r="D23" s="72">
        <v>54181.815000000002</v>
      </c>
      <c r="E23" s="72">
        <v>54181.815000000002</v>
      </c>
      <c r="F23" s="117">
        <v>73.352000000000004</v>
      </c>
      <c r="G23" s="72">
        <f t="shared" si="50"/>
        <v>39743.444938800007</v>
      </c>
      <c r="H23" s="72">
        <v>19407.883089276125</v>
      </c>
      <c r="I23" s="73">
        <v>70</v>
      </c>
      <c r="J23" s="73"/>
      <c r="K23" s="67">
        <f t="shared" si="51"/>
        <v>387</v>
      </c>
      <c r="L23" s="67">
        <v>19193</v>
      </c>
      <c r="M23" s="67">
        <f t="shared" si="52"/>
        <v>400</v>
      </c>
      <c r="N23" s="67">
        <v>2390</v>
      </c>
      <c r="O23" s="67">
        <f t="shared" si="0"/>
        <v>21583</v>
      </c>
      <c r="P23" s="74">
        <f t="shared" si="53"/>
        <v>0.88926469906871153</v>
      </c>
      <c r="Q23" s="74">
        <f t="shared" si="54"/>
        <v>0.11073530093128851</v>
      </c>
      <c r="R23" s="77">
        <f t="shared" si="55"/>
        <v>2.0578538764224108</v>
      </c>
      <c r="S23" s="77">
        <f t="shared" si="56"/>
        <v>20.100502512562812</v>
      </c>
      <c r="T23" s="77">
        <f t="shared" si="57"/>
        <v>3.7145307255364912</v>
      </c>
      <c r="U23" s="67">
        <f t="shared" si="58"/>
        <v>787</v>
      </c>
      <c r="V23" s="75">
        <f t="shared" si="1"/>
        <v>0.39722094414281772</v>
      </c>
      <c r="W23" s="77">
        <f t="shared" si="88"/>
        <v>3.1490811991501277</v>
      </c>
      <c r="X23" s="74">
        <f t="shared" si="59"/>
        <v>1.1120738877454255</v>
      </c>
      <c r="Y23" s="77">
        <f t="shared" si="88"/>
        <v>2.3585118593046408</v>
      </c>
      <c r="Z23" s="72">
        <f t="shared" si="2"/>
        <v>17205.819320000002</v>
      </c>
      <c r="AA23" s="77">
        <f t="shared" si="89"/>
        <v>3.8897782388473079</v>
      </c>
      <c r="AB23" s="74">
        <f t="shared" si="3"/>
        <v>0.31666180767461127</v>
      </c>
      <c r="AC23" s="77">
        <f t="shared" si="89"/>
        <v>3.3039917042188893</v>
      </c>
      <c r="AD23" s="74">
        <f t="shared" si="60"/>
        <v>0.88653766311623761</v>
      </c>
      <c r="AE23" s="77">
        <f t="shared" si="61"/>
        <v>2.4905217777000832</v>
      </c>
      <c r="AF23" s="72">
        <v>18240</v>
      </c>
      <c r="AG23" s="72">
        <v>890</v>
      </c>
      <c r="AH23" s="72">
        <f t="shared" si="4"/>
        <v>19130</v>
      </c>
      <c r="AI23" s="72">
        <v>18673</v>
      </c>
      <c r="AJ23" s="72">
        <v>1077</v>
      </c>
      <c r="AK23" s="72">
        <v>19750</v>
      </c>
      <c r="AL23" s="72">
        <f t="shared" si="5"/>
        <v>18456.5</v>
      </c>
      <c r="AM23" s="72">
        <f t="shared" si="6"/>
        <v>983.5</v>
      </c>
      <c r="AN23" s="72">
        <f t="shared" si="7"/>
        <v>19440</v>
      </c>
      <c r="AO23" s="74">
        <f t="shared" si="8"/>
        <v>0.36348578264470416</v>
      </c>
      <c r="AP23" s="74">
        <f t="shared" si="9"/>
        <v>0.35879196737872288</v>
      </c>
      <c r="AQ23" s="74">
        <f t="shared" si="62"/>
        <v>1.0016548384270525</v>
      </c>
      <c r="AR23" s="67">
        <v>1834826</v>
      </c>
      <c r="AS23" s="72">
        <v>281002.864</v>
      </c>
      <c r="AT23" s="77">
        <f t="shared" si="63"/>
        <v>15.971693702894063</v>
      </c>
      <c r="AU23" s="72">
        <v>604864.81999999995</v>
      </c>
      <c r="AV23" s="72">
        <f t="shared" si="10"/>
        <v>604.8648199999999</v>
      </c>
      <c r="AW23" s="78">
        <f t="shared" si="11"/>
        <v>11.132139873010029</v>
      </c>
      <c r="AX23" s="74">
        <f t="shared" si="64"/>
        <v>1.4677334413137011E-2</v>
      </c>
      <c r="AY23" s="78">
        <f t="shared" si="65"/>
        <v>31.165934853256587</v>
      </c>
      <c r="AZ23" s="74">
        <f t="shared" si="66"/>
        <v>6.7716410146818617E-3</v>
      </c>
      <c r="BA23" s="79">
        <f t="shared" si="67"/>
        <v>0.18905558260279332</v>
      </c>
      <c r="BB23" s="80">
        <v>346513.1</v>
      </c>
      <c r="BC23" s="81">
        <f t="shared" si="12"/>
        <v>745879.20012054162</v>
      </c>
      <c r="BD23" s="82">
        <f t="shared" si="68"/>
        <v>1.7283541306743588</v>
      </c>
      <c r="BE23" s="81">
        <f t="shared" si="13"/>
        <v>13727.416952618783</v>
      </c>
      <c r="BF23" s="81">
        <f t="shared" si="14"/>
        <v>38431.764901380666</v>
      </c>
      <c r="BG23" s="72">
        <v>511.67290600000001</v>
      </c>
      <c r="BH23" s="77">
        <f t="shared" si="103"/>
        <v>12.899569855236305</v>
      </c>
      <c r="BI23" s="130">
        <f t="shared" si="15"/>
        <v>1138.7538595667556</v>
      </c>
      <c r="BJ23" s="77">
        <f t="shared" si="91"/>
        <v>1.0777680750055252</v>
      </c>
      <c r="BK23" s="83">
        <f t="shared" si="16"/>
        <v>20.958017108065807</v>
      </c>
      <c r="BL23" s="83">
        <f t="shared" si="17"/>
        <v>58.674810350438321</v>
      </c>
      <c r="BM23" s="81">
        <v>10646.096</v>
      </c>
      <c r="BN23" s="81">
        <f t="shared" si="18"/>
        <v>5802.2373783672128</v>
      </c>
      <c r="BO23" s="82">
        <v>58.646999999999998</v>
      </c>
      <c r="BP23" s="82">
        <f t="shared" si="19"/>
        <v>126.23931807908387</v>
      </c>
      <c r="BQ23" s="81">
        <f t="shared" si="20"/>
        <v>9893.4939184736013</v>
      </c>
      <c r="BR23" s="82">
        <v>41.500999999999998</v>
      </c>
      <c r="BS23" s="82">
        <f t="shared" si="21"/>
        <v>89.332070516822</v>
      </c>
      <c r="BT23" s="82">
        <v>43.781999999999996</v>
      </c>
      <c r="BU23" s="82">
        <f t="shared" si="22"/>
        <v>94.241987213982824</v>
      </c>
      <c r="BV23" s="82">
        <v>33.488</v>
      </c>
      <c r="BW23" s="82">
        <f t="shared" si="23"/>
        <v>72.083862496502149</v>
      </c>
      <c r="BX23" s="82">
        <f t="shared" si="24"/>
        <v>92.418931971850427</v>
      </c>
      <c r="BY23" s="84">
        <v>46.457000000000001</v>
      </c>
      <c r="BZ23" s="77">
        <v>44.932704438399746</v>
      </c>
      <c r="CA23" s="78">
        <v>0.56094434269401094</v>
      </c>
      <c r="CB23" s="78">
        <v>0.41072306060712321</v>
      </c>
      <c r="CC23" s="86">
        <f t="shared" si="25"/>
        <v>0.54430954381583541</v>
      </c>
      <c r="CD23" s="86">
        <f t="shared" si="92"/>
        <v>8.3118674335641796E-2</v>
      </c>
      <c r="CE23" s="86">
        <f t="shared" si="69"/>
        <v>-5.7068851309830082E-2</v>
      </c>
      <c r="CF23" s="86">
        <f t="shared" si="26"/>
        <v>1.2074484850378004</v>
      </c>
      <c r="CG23" s="86">
        <f t="shared" si="70"/>
        <v>-1.1799533113169614E-2</v>
      </c>
      <c r="CH23" s="86">
        <f t="shared" si="27"/>
        <v>0.88409294747212097</v>
      </c>
      <c r="CI23" s="86">
        <f t="shared" si="93"/>
        <v>-5.760146637776109E-2</v>
      </c>
      <c r="CJ23" s="86">
        <f t="shared" si="28"/>
        <v>1.1716416122776663</v>
      </c>
      <c r="CK23" s="86">
        <f t="shared" si="94"/>
        <v>-4.6859296894123492E-2</v>
      </c>
      <c r="CL23" s="87">
        <v>647.75</v>
      </c>
      <c r="CM23" s="77">
        <f t="shared" si="71"/>
        <v>42.61513157894737</v>
      </c>
      <c r="CN23" s="77">
        <f t="shared" si="29"/>
        <v>91.730270096965725</v>
      </c>
      <c r="CO23" s="77">
        <f t="shared" si="72"/>
        <v>117.60764890008933</v>
      </c>
      <c r="CP23" s="74">
        <v>0.45784242226506311</v>
      </c>
      <c r="CQ23" s="74">
        <f t="shared" si="73"/>
        <v>0.10442652283545328</v>
      </c>
      <c r="CR23" s="139">
        <f t="shared" si="30"/>
        <v>0.19293324864804842</v>
      </c>
      <c r="CS23" s="74">
        <v>0.11007382579240121</v>
      </c>
      <c r="CT23" s="77">
        <f t="shared" si="74"/>
        <v>19.293324864804841</v>
      </c>
      <c r="CU23" s="77">
        <f t="shared" si="31"/>
        <v>41.52942476872127</v>
      </c>
      <c r="CV23" s="78">
        <f t="shared" si="32"/>
        <v>187.81107068849707</v>
      </c>
      <c r="CW23" s="74">
        <f t="shared" si="75"/>
        <v>-8.721605254267395E-2</v>
      </c>
      <c r="CX23" s="88">
        <f t="shared" si="76"/>
        <v>53.24499755707145</v>
      </c>
      <c r="CY23" s="77">
        <f t="shared" si="33"/>
        <v>77.996857308909313</v>
      </c>
      <c r="CZ23" s="89">
        <v>36.234999999999999</v>
      </c>
      <c r="DA23" s="74">
        <f t="shared" si="77"/>
        <v>0.13374036791691202</v>
      </c>
      <c r="DB23" s="125">
        <v>33.122</v>
      </c>
      <c r="DC23" s="125">
        <v>35.813000000000002</v>
      </c>
      <c r="DD23" s="74">
        <f t="shared" si="78"/>
        <v>1.2113883431211085</v>
      </c>
      <c r="DE23" s="74">
        <f t="shared" si="79"/>
        <v>1.2091681959680012</v>
      </c>
      <c r="DF23" s="75">
        <f t="shared" si="34"/>
        <v>1.1716416122776663</v>
      </c>
      <c r="DG23" s="75">
        <f t="shared" si="35"/>
        <v>1.1694943101307278</v>
      </c>
      <c r="DH23" s="74">
        <f t="shared" si="80"/>
        <v>-5.760146637776109E-2</v>
      </c>
      <c r="DI23" s="75">
        <f t="shared" si="95"/>
        <v>-3.7846216294431967E-2</v>
      </c>
      <c r="DJ23" s="77">
        <f t="shared" si="96"/>
        <v>-4.799274393230629</v>
      </c>
      <c r="DK23" s="75">
        <f t="shared" si="36"/>
        <v>1.1694943101307278</v>
      </c>
      <c r="DL23" s="77">
        <f t="shared" si="97"/>
        <v>8.5306338718624826</v>
      </c>
      <c r="DM23" s="72">
        <v>18870.76585</v>
      </c>
      <c r="DN23" s="72">
        <v>24674.171050000001</v>
      </c>
      <c r="DO23" s="97">
        <v>18870.76585</v>
      </c>
      <c r="DP23" s="92">
        <f t="shared" si="98"/>
        <v>274.70717892545144</v>
      </c>
      <c r="DQ23" s="97">
        <v>24674.171050000001</v>
      </c>
      <c r="DR23" s="72">
        <v>18750.893707933163</v>
      </c>
      <c r="DS23" s="72">
        <v>24527.524119859245</v>
      </c>
      <c r="DT23" s="72">
        <v>28997.86</v>
      </c>
      <c r="DU23" s="72">
        <v>1016.54</v>
      </c>
      <c r="DV23" s="72">
        <v>9608</v>
      </c>
      <c r="DW23" s="93">
        <v>1.5269999999999999</v>
      </c>
      <c r="DX23" s="67">
        <v>7.38</v>
      </c>
      <c r="DY23" s="67">
        <v>7.41</v>
      </c>
      <c r="EB23" s="72">
        <v>13270</v>
      </c>
      <c r="EC23" s="78">
        <v>8.5020943049794937</v>
      </c>
      <c r="ED23" s="72">
        <f t="shared" si="37"/>
        <v>19750</v>
      </c>
      <c r="EE23" s="72">
        <f t="shared" si="38"/>
        <v>22282.501306847884</v>
      </c>
      <c r="EF23" s="72">
        <f t="shared" si="39"/>
        <v>262082500000</v>
      </c>
      <c r="EG23" s="74">
        <f t="shared" si="81"/>
        <v>0.54430954381583541</v>
      </c>
      <c r="EH23" s="74">
        <f>EG23*EC23</f>
        <v>4.6277710726226005</v>
      </c>
      <c r="EI23" s="75">
        <f t="shared" si="41"/>
        <v>1.1716416122776663</v>
      </c>
      <c r="EJ23" s="75">
        <f t="shared" si="42"/>
        <v>4.6277710726226005</v>
      </c>
      <c r="EK23" s="78">
        <f t="shared" si="43"/>
        <v>9.9614074792229381</v>
      </c>
      <c r="EL23" s="72">
        <f t="shared" si="44"/>
        <v>4823.456335695224</v>
      </c>
      <c r="EM23" s="72">
        <f t="shared" si="45"/>
        <v>13503.919968727263</v>
      </c>
      <c r="EN23" s="72">
        <f t="shared" si="46"/>
        <v>289.77285481071146</v>
      </c>
      <c r="EO23" s="72">
        <f t="shared" si="47"/>
        <v>221.52663976388257</v>
      </c>
      <c r="EP23" s="75">
        <f t="shared" si="48"/>
        <v>8.2351931166712772E-2</v>
      </c>
      <c r="EQ23" s="77">
        <f t="shared" si="82"/>
        <v>12.143006069591808</v>
      </c>
      <c r="ER23" s="95">
        <v>14.1</v>
      </c>
      <c r="ES23" s="96">
        <f t="shared" si="102"/>
        <v>0.1933982225983919</v>
      </c>
      <c r="ET23" s="95">
        <f t="shared" si="99"/>
        <v>30.350646834707362</v>
      </c>
      <c r="EU23" s="74">
        <f t="shared" si="102"/>
        <v>5.0186325769366213E-2</v>
      </c>
      <c r="EV23" s="77">
        <f t="shared" si="100"/>
        <v>25.904377683979522</v>
      </c>
      <c r="EW23" s="74">
        <f t="shared" si="101"/>
        <v>0.10181668073481687</v>
      </c>
      <c r="EX23" s="78">
        <v>2.4474999999999998</v>
      </c>
      <c r="EY23" s="78">
        <v>2.1623574324227537</v>
      </c>
      <c r="EZ23" s="78">
        <v>1.4528391342725211</v>
      </c>
      <c r="FA23" s="72">
        <f t="shared" si="83"/>
        <v>15.103225830874191</v>
      </c>
      <c r="FB23" s="78">
        <f t="shared" si="84"/>
        <v>2.1401508387249106</v>
      </c>
      <c r="FC23" s="78">
        <f t="shared" si="85"/>
        <v>2.1401508387249106</v>
      </c>
      <c r="FD23" s="78">
        <f t="shared" si="86"/>
        <v>46.725678485157346</v>
      </c>
      <c r="FE23" s="72">
        <f t="shared" si="87"/>
        <v>422.69319902682781</v>
      </c>
    </row>
    <row r="24" spans="1:161" s="67" customFormat="1" x14ac:dyDescent="0.2">
      <c r="A24" s="68">
        <v>1982</v>
      </c>
      <c r="B24" s="72">
        <v>54335</v>
      </c>
      <c r="C24" s="72">
        <v>54649.983999999997</v>
      </c>
      <c r="D24" s="72">
        <v>54492.491999999998</v>
      </c>
      <c r="E24" s="72">
        <v>54492.491999999998</v>
      </c>
      <c r="F24" s="117">
        <v>73.424999999999997</v>
      </c>
      <c r="G24" s="72">
        <f t="shared" si="50"/>
        <v>40011.112250999999</v>
      </c>
      <c r="H24" s="72">
        <v>19670.814897616769</v>
      </c>
      <c r="I24" s="73">
        <v>72.099999999999994</v>
      </c>
      <c r="J24" s="73"/>
      <c r="K24" s="67">
        <f t="shared" si="51"/>
        <v>3</v>
      </c>
      <c r="L24" s="67">
        <v>19196</v>
      </c>
      <c r="M24" s="67">
        <f t="shared" si="52"/>
        <v>410</v>
      </c>
      <c r="N24" s="67">
        <v>2800</v>
      </c>
      <c r="O24" s="67">
        <f t="shared" si="0"/>
        <v>21996</v>
      </c>
      <c r="P24" s="74">
        <f t="shared" si="53"/>
        <v>0.87270412802327701</v>
      </c>
      <c r="Q24" s="74">
        <f t="shared" si="54"/>
        <v>0.12729587197672304</v>
      </c>
      <c r="R24" s="77">
        <f t="shared" si="55"/>
        <v>1.563069869223721E-2</v>
      </c>
      <c r="S24" s="77">
        <f t="shared" si="56"/>
        <v>17.154811715481166</v>
      </c>
      <c r="T24" s="77">
        <f t="shared" si="57"/>
        <v>1.8954650868733935</v>
      </c>
      <c r="U24" s="67">
        <f t="shared" si="58"/>
        <v>413</v>
      </c>
      <c r="V24" s="75">
        <f t="shared" si="1"/>
        <v>0.40248868142395067</v>
      </c>
      <c r="W24" s="77">
        <f t="shared" si="88"/>
        <v>1.3174315533231784</v>
      </c>
      <c r="X24" s="74">
        <f t="shared" si="59"/>
        <v>1.1182048183812121</v>
      </c>
      <c r="Y24" s="77">
        <f t="shared" si="88"/>
        <v>0.54979192172704283</v>
      </c>
      <c r="Z24" s="72">
        <f t="shared" si="2"/>
        <v>17554.643040000003</v>
      </c>
      <c r="AA24" s="77">
        <f t="shared" si="89"/>
        <v>2.0273589621769839</v>
      </c>
      <c r="AB24" s="74">
        <f t="shared" si="3"/>
        <v>0.32121954582822942</v>
      </c>
      <c r="AC24" s="77">
        <f t="shared" si="89"/>
        <v>1.4393078177275864</v>
      </c>
      <c r="AD24" s="74">
        <f t="shared" si="60"/>
        <v>0.89242073251001142</v>
      </c>
      <c r="AE24" s="77">
        <f t="shared" si="61"/>
        <v>0.66360061602961373</v>
      </c>
      <c r="AF24" s="72">
        <v>18673</v>
      </c>
      <c r="AG24" s="72">
        <v>1077</v>
      </c>
      <c r="AH24" s="72">
        <f t="shared" si="4"/>
        <v>19750</v>
      </c>
      <c r="AI24" s="72">
        <v>19012</v>
      </c>
      <c r="AJ24" s="72">
        <v>1288</v>
      </c>
      <c r="AK24" s="72">
        <v>20300</v>
      </c>
      <c r="AL24" s="72">
        <f t="shared" si="5"/>
        <v>18842.5</v>
      </c>
      <c r="AM24" s="72">
        <f t="shared" si="6"/>
        <v>1182.5</v>
      </c>
      <c r="AN24" s="72">
        <f t="shared" si="7"/>
        <v>20025</v>
      </c>
      <c r="AO24" s="74">
        <f t="shared" si="8"/>
        <v>0.37145482055401885</v>
      </c>
      <c r="AP24" s="74">
        <f t="shared" si="9"/>
        <v>0.36748181749515146</v>
      </c>
      <c r="AQ24" s="74">
        <f t="shared" si="62"/>
        <v>1.0180056141154652</v>
      </c>
      <c r="AR24" s="67">
        <v>2056490</v>
      </c>
      <c r="AS24" s="72">
        <v>324504.06699999998</v>
      </c>
      <c r="AT24" s="77">
        <f t="shared" si="63"/>
        <v>15.480697378230278</v>
      </c>
      <c r="AU24" s="72">
        <v>624807.65700000001</v>
      </c>
      <c r="AV24" s="72">
        <f t="shared" si="10"/>
        <v>624.80765700000006</v>
      </c>
      <c r="AW24" s="78">
        <f t="shared" si="11"/>
        <v>11.43289734540453</v>
      </c>
      <c r="AX24" s="74">
        <f t="shared" si="64"/>
        <v>2.6658523188198835E-2</v>
      </c>
      <c r="AY24" s="78">
        <f t="shared" si="65"/>
        <v>31.763181151976525</v>
      </c>
      <c r="AZ24" s="74">
        <f t="shared" si="66"/>
        <v>1.8982126872237437E-2</v>
      </c>
      <c r="BA24" s="79">
        <f t="shared" si="67"/>
        <v>0.18031697465228325</v>
      </c>
      <c r="BB24" s="80">
        <v>395889.7</v>
      </c>
      <c r="BC24" s="81">
        <f t="shared" si="12"/>
        <v>762249.84115370549</v>
      </c>
      <c r="BD24" s="82">
        <f t="shared" si="68"/>
        <v>2.1948113086567078</v>
      </c>
      <c r="BE24" s="81">
        <f t="shared" si="13"/>
        <v>13947.85113118616</v>
      </c>
      <c r="BF24" s="81">
        <f t="shared" si="14"/>
        <v>38750.293016384203</v>
      </c>
      <c r="BG24" s="72">
        <v>587.95169500000009</v>
      </c>
      <c r="BH24" s="77">
        <f t="shared" si="103"/>
        <v>14.907724858114735</v>
      </c>
      <c r="BI24" s="130">
        <f t="shared" si="15"/>
        <v>1167.3197541872246</v>
      </c>
      <c r="BJ24" s="77">
        <f t="shared" si="91"/>
        <v>2.5085223097585763</v>
      </c>
      <c r="BK24" s="83">
        <f t="shared" si="16"/>
        <v>21.359928562599848</v>
      </c>
      <c r="BL24" s="83">
        <f t="shared" si="17"/>
        <v>59.342724755579503</v>
      </c>
      <c r="BM24" s="81">
        <v>13759.947</v>
      </c>
      <c r="BN24" s="81">
        <f t="shared" si="18"/>
        <v>6690.9865839367076</v>
      </c>
      <c r="BO24" s="82">
        <v>63.756</v>
      </c>
      <c r="BP24" s="82">
        <f t="shared" si="19"/>
        <v>122.75641642759498</v>
      </c>
      <c r="BQ24" s="81">
        <f t="shared" si="20"/>
        <v>10494.677495352136</v>
      </c>
      <c r="BR24" s="82">
        <v>46.542000000000002</v>
      </c>
      <c r="BS24" s="82">
        <f t="shared" si="21"/>
        <v>89.612415041300039</v>
      </c>
      <c r="BT24" s="82">
        <v>49.811999999999998</v>
      </c>
      <c r="BU24" s="82">
        <f t="shared" si="22"/>
        <v>95.908504534339684</v>
      </c>
      <c r="BV24" s="82">
        <v>36.735999999999997</v>
      </c>
      <c r="BW24" s="82">
        <f t="shared" si="23"/>
        <v>70.731848200704704</v>
      </c>
      <c r="BX24" s="82">
        <f t="shared" si="24"/>
        <v>89.184530601344946</v>
      </c>
      <c r="BY24" s="84">
        <v>51.936999999999998</v>
      </c>
      <c r="BZ24" s="77">
        <v>50.36766429172409</v>
      </c>
      <c r="CA24" s="78">
        <v>0.65305856712064581</v>
      </c>
      <c r="CB24" s="78">
        <v>0.48021440429784251</v>
      </c>
      <c r="CC24" s="86">
        <f t="shared" si="25"/>
        <v>0.6310562186980303</v>
      </c>
      <c r="CD24" s="86">
        <f t="shared" si="92"/>
        <v>0.15937011553033731</v>
      </c>
      <c r="CE24" s="86">
        <f t="shared" si="69"/>
        <v>4.9956769637374832E-2</v>
      </c>
      <c r="CF24" s="86">
        <f t="shared" si="26"/>
        <v>1.2574052546751753</v>
      </c>
      <c r="CG24" s="86">
        <f t="shared" si="70"/>
        <v>4.0516491459358539E-2</v>
      </c>
      <c r="CH24" s="86">
        <f t="shared" si="27"/>
        <v>0.92460943893147951</v>
      </c>
      <c r="CI24" s="86">
        <f t="shared" si="93"/>
        <v>4.3400108842210461E-2</v>
      </c>
      <c r="CJ24" s="86">
        <f t="shared" si="28"/>
        <v>1.2150417211198767</v>
      </c>
      <c r="CK24" s="86">
        <f t="shared" si="94"/>
        <v>3.7042136765560008E-2</v>
      </c>
      <c r="CL24" s="87">
        <v>718.25</v>
      </c>
      <c r="CM24" s="77">
        <f t="shared" si="71"/>
        <v>47.253289473684212</v>
      </c>
      <c r="CN24" s="77">
        <f t="shared" si="29"/>
        <v>90.981938644288675</v>
      </c>
      <c r="CO24" s="77">
        <f t="shared" si="72"/>
        <v>114.71750982905053</v>
      </c>
      <c r="CP24" s="74">
        <v>0.48352730690855622</v>
      </c>
      <c r="CQ24" s="74">
        <f t="shared" si="73"/>
        <v>5.4582722152253238E-2</v>
      </c>
      <c r="CR24" s="139">
        <f t="shared" si="30"/>
        <v>0.21679691444050239</v>
      </c>
      <c r="CS24" s="74">
        <v>5.6099835651802321E-2</v>
      </c>
      <c r="CT24" s="77">
        <f t="shared" si="74"/>
        <v>21.679691444050238</v>
      </c>
      <c r="CU24" s="77">
        <f t="shared" si="31"/>
        <v>41.742286701292407</v>
      </c>
      <c r="CV24" s="78">
        <f t="shared" si="32"/>
        <v>189.99809156095918</v>
      </c>
      <c r="CW24" s="74">
        <f t="shared" si="75"/>
        <v>1.1577513304299458E-2</v>
      </c>
      <c r="CX24" s="88">
        <f t="shared" si="76"/>
        <v>52.63210760615241</v>
      </c>
      <c r="CY24" s="77">
        <f t="shared" si="33"/>
        <v>79.309548106359642</v>
      </c>
      <c r="CZ24" s="89">
        <v>41.191000000000003</v>
      </c>
      <c r="DA24" s="74">
        <f t="shared" si="77"/>
        <v>0.12819428332936011</v>
      </c>
      <c r="DB24" s="125">
        <v>38.484000000000002</v>
      </c>
      <c r="DC24" s="125">
        <v>40.682000000000002</v>
      </c>
      <c r="DD24" s="74">
        <f t="shared" si="78"/>
        <v>1.252899509183155</v>
      </c>
      <c r="DE24" s="74">
        <f t="shared" si="79"/>
        <v>1.2503315079703783</v>
      </c>
      <c r="DF24" s="75">
        <f t="shared" si="34"/>
        <v>1.2150417211198767</v>
      </c>
      <c r="DG24" s="75">
        <f t="shared" si="35"/>
        <v>1.2125513149934952</v>
      </c>
      <c r="DH24" s="74">
        <f t="shared" si="80"/>
        <v>4.3400108842210461E-2</v>
      </c>
      <c r="DI24" s="75">
        <f t="shared" si="95"/>
        <v>4.1511166062046412E-2</v>
      </c>
      <c r="DJ24" s="77">
        <f t="shared" si="96"/>
        <v>3.6372561754144881</v>
      </c>
      <c r="DK24" s="75">
        <f t="shared" si="36"/>
        <v>1.2125513149934952</v>
      </c>
      <c r="DL24" s="77">
        <f t="shared" si="97"/>
        <v>9.368167715651003</v>
      </c>
      <c r="DM24" s="72">
        <v>19149.531439999999</v>
      </c>
      <c r="DN24" s="72">
        <v>24984.987440000001</v>
      </c>
      <c r="DO24" s="97">
        <v>19149.531439999999</v>
      </c>
      <c r="DP24" s="92">
        <f t="shared" si="98"/>
        <v>278.76558999999907</v>
      </c>
      <c r="DQ24" s="97">
        <v>24984.987440000001</v>
      </c>
      <c r="DR24" s="72">
        <v>19031.333094151312</v>
      </c>
      <c r="DS24" s="72">
        <v>24827.437173910184</v>
      </c>
      <c r="DT24" s="72">
        <v>29315.57</v>
      </c>
      <c r="DU24" s="72">
        <v>1048.68</v>
      </c>
      <c r="DV24" s="72">
        <v>9806</v>
      </c>
      <c r="DW24" s="93">
        <v>1.5589999999999999</v>
      </c>
      <c r="DX24" s="67">
        <v>7.16</v>
      </c>
      <c r="DY24" s="67">
        <v>7.15</v>
      </c>
      <c r="EB24" s="72">
        <v>12630</v>
      </c>
      <c r="EC24" s="78">
        <v>8.818064283351875</v>
      </c>
      <c r="ED24" s="72">
        <f t="shared" si="37"/>
        <v>20300</v>
      </c>
      <c r="EE24" s="72">
        <f t="shared" si="38"/>
        <v>22608.546835443038</v>
      </c>
      <c r="EF24" s="72">
        <f t="shared" si="39"/>
        <v>256389000000</v>
      </c>
      <c r="EG24" s="74">
        <f t="shared" si="81"/>
        <v>0.6310562186980303</v>
      </c>
      <c r="EH24" s="74">
        <f t="shared" ref="EH24:EH60" si="104">EG24*EC24</f>
        <v>5.5646943028881903</v>
      </c>
      <c r="EI24" s="75">
        <f t="shared" si="41"/>
        <v>1.2150417211198767</v>
      </c>
      <c r="EJ24" s="75">
        <f t="shared" si="42"/>
        <v>5.5646943028881912</v>
      </c>
      <c r="EK24" s="78">
        <f t="shared" si="43"/>
        <v>10.714316003789575</v>
      </c>
      <c r="EL24" s="72">
        <f t="shared" si="44"/>
        <v>4691.4743835972577</v>
      </c>
      <c r="EM24" s="72">
        <f t="shared" si="45"/>
        <v>13033.979595378276</v>
      </c>
      <c r="EN24" s="72">
        <f t="shared" si="46"/>
        <v>287.15793964425416</v>
      </c>
      <c r="EO24" s="72">
        <f t="shared" si="47"/>
        <v>220.1193124251613</v>
      </c>
      <c r="EP24" s="75">
        <f t="shared" si="48"/>
        <v>8.579151211635444E-2</v>
      </c>
      <c r="EQ24" s="77">
        <f t="shared" si="82"/>
        <v>11.656164757228588</v>
      </c>
      <c r="ER24" s="95">
        <v>16.004999999999999</v>
      </c>
      <c r="ES24" s="96">
        <f t="shared" si="102"/>
        <v>0.13510638297872335</v>
      </c>
      <c r="ET24" s="95">
        <f t="shared" si="99"/>
        <v>30.816181142538078</v>
      </c>
      <c r="EU24" s="74">
        <f t="shared" si="102"/>
        <v>1.5338530027582564E-2</v>
      </c>
      <c r="EV24" s="77">
        <f t="shared" si="100"/>
        <v>25.362241153444092</v>
      </c>
      <c r="EW24" s="74">
        <f t="shared" si="101"/>
        <v>-2.0928375008626876E-2</v>
      </c>
      <c r="EX24" s="78">
        <v>2.9216666666666669</v>
      </c>
      <c r="EY24" s="78">
        <v>2.5630687672764987</v>
      </c>
      <c r="EZ24" s="173">
        <f>EZ23*(EY24/EY23)</f>
        <v>1.7220680323690887</v>
      </c>
      <c r="FA24" s="72">
        <f t="shared" si="83"/>
        <v>14.772671574518546</v>
      </c>
      <c r="FB24" s="78">
        <f t="shared" si="84"/>
        <v>2.1711061263491578</v>
      </c>
      <c r="FC24" s="78">
        <f t="shared" si="85"/>
        <v>2.1711061263491578</v>
      </c>
      <c r="FD24" s="78">
        <f t="shared" si="86"/>
        <v>46.059471154528893</v>
      </c>
      <c r="FE24" s="72">
        <f t="shared" si="87"/>
        <v>408.12608865858311</v>
      </c>
    </row>
    <row r="25" spans="1:161" s="67" customFormat="1" x14ac:dyDescent="0.2">
      <c r="A25" s="68">
        <v>1983</v>
      </c>
      <c r="B25" s="72">
        <v>54649.983999999997</v>
      </c>
      <c r="C25" s="72">
        <v>54894.853999999999</v>
      </c>
      <c r="D25" s="72">
        <v>54772.419000000002</v>
      </c>
      <c r="E25" s="72">
        <v>54772.419000000002</v>
      </c>
      <c r="F25" s="117">
        <v>73.5</v>
      </c>
      <c r="G25" s="72">
        <f t="shared" si="50"/>
        <v>40257.727964999998</v>
      </c>
      <c r="H25" s="72">
        <v>19938.578837446108</v>
      </c>
      <c r="I25" s="73">
        <v>72.8</v>
      </c>
      <c r="J25" s="73"/>
      <c r="K25" s="67">
        <f t="shared" si="51"/>
        <v>244</v>
      </c>
      <c r="L25" s="67">
        <v>19440</v>
      </c>
      <c r="M25" s="67">
        <f t="shared" si="52"/>
        <v>300</v>
      </c>
      <c r="N25" s="67">
        <v>3100</v>
      </c>
      <c r="O25" s="67">
        <f t="shared" si="0"/>
        <v>22540</v>
      </c>
      <c r="P25" s="74">
        <f t="shared" si="53"/>
        <v>0.86246672582076311</v>
      </c>
      <c r="Q25" s="74">
        <f t="shared" si="54"/>
        <v>0.13753327417923691</v>
      </c>
      <c r="R25" s="77">
        <f t="shared" si="55"/>
        <v>1.2710981454469694</v>
      </c>
      <c r="S25" s="77">
        <f t="shared" si="56"/>
        <v>10.714285714285721</v>
      </c>
      <c r="T25" s="77">
        <f t="shared" si="57"/>
        <v>2.4430889966062352</v>
      </c>
      <c r="U25" s="67">
        <f t="shared" si="58"/>
        <v>544</v>
      </c>
      <c r="V25" s="75">
        <f t="shared" si="1"/>
        <v>0.41060315052481972</v>
      </c>
      <c r="W25" s="77">
        <f t="shared" si="88"/>
        <v>1.9960201756137663</v>
      </c>
      <c r="X25" s="74">
        <f t="shared" si="59"/>
        <v>1.1304717444388881</v>
      </c>
      <c r="Y25" s="77">
        <f t="shared" si="88"/>
        <v>1.0910459908961487</v>
      </c>
      <c r="Z25" s="72">
        <f t="shared" si="2"/>
        <v>18001.205600000001</v>
      </c>
      <c r="AA25" s="77">
        <f t="shared" si="89"/>
        <v>2.5438430105497511</v>
      </c>
      <c r="AB25" s="74">
        <f t="shared" si="3"/>
        <v>0.32792154980501453</v>
      </c>
      <c r="AC25" s="77">
        <f t="shared" si="89"/>
        <v>2.0864247097743371</v>
      </c>
      <c r="AD25" s="74">
        <f t="shared" si="60"/>
        <v>0.90283293241504359</v>
      </c>
      <c r="AE25" s="77">
        <f t="shared" si="61"/>
        <v>1.1667366664316337</v>
      </c>
      <c r="AF25" s="72">
        <v>19012</v>
      </c>
      <c r="AG25" s="72">
        <v>1288</v>
      </c>
      <c r="AH25" s="72">
        <f t="shared" si="4"/>
        <v>20300</v>
      </c>
      <c r="AI25" s="72">
        <v>19147</v>
      </c>
      <c r="AJ25" s="72">
        <v>1453</v>
      </c>
      <c r="AK25" s="72">
        <v>20600</v>
      </c>
      <c r="AL25" s="72">
        <f t="shared" si="5"/>
        <v>19079.5</v>
      </c>
      <c r="AM25" s="72">
        <f t="shared" si="6"/>
        <v>1370.5</v>
      </c>
      <c r="AN25" s="72">
        <f t="shared" si="7"/>
        <v>20450</v>
      </c>
      <c r="AO25" s="74">
        <f t="shared" si="8"/>
        <v>0.37526286161540751</v>
      </c>
      <c r="AP25" s="74">
        <f t="shared" si="9"/>
        <v>0.37336309721869321</v>
      </c>
      <c r="AQ25" s="74">
        <f t="shared" si="62"/>
        <v>1.0256498302473498</v>
      </c>
      <c r="AR25" s="67">
        <v>2017617</v>
      </c>
      <c r="AS25" s="72">
        <v>358620.98599999998</v>
      </c>
      <c r="AT25" s="77">
        <f t="shared" si="63"/>
        <v>10.513556676009239</v>
      </c>
      <c r="AU25" s="72">
        <v>630250.103</v>
      </c>
      <c r="AV25" s="72">
        <f t="shared" si="10"/>
        <v>630.25010299999997</v>
      </c>
      <c r="AW25" s="78">
        <f t="shared" si="11"/>
        <v>11.481041610931328</v>
      </c>
      <c r="AX25" s="74">
        <f t="shared" si="64"/>
        <v>4.2021877132811802E-3</v>
      </c>
      <c r="AY25" s="78">
        <f t="shared" si="65"/>
        <v>31.609580007595337</v>
      </c>
      <c r="AZ25" s="74">
        <f t="shared" si="66"/>
        <v>-4.8475541338950379E-3</v>
      </c>
      <c r="BA25" s="79">
        <f t="shared" si="67"/>
        <v>0.17241705616480918</v>
      </c>
      <c r="BB25" s="80">
        <v>433335.4</v>
      </c>
      <c r="BC25" s="81">
        <f t="shared" si="12"/>
        <v>761560.25377409882</v>
      </c>
      <c r="BD25" s="82">
        <f t="shared" si="68"/>
        <v>-9.0467369407776221E-2</v>
      </c>
      <c r="BE25" s="81">
        <f t="shared" si="13"/>
        <v>13873.071850671082</v>
      </c>
      <c r="BF25" s="81">
        <f t="shared" si="14"/>
        <v>38195.312714255895</v>
      </c>
      <c r="BG25" s="72">
        <v>652.81555400000002</v>
      </c>
      <c r="BH25" s="77">
        <f t="shared" si="103"/>
        <v>11.032174845588273</v>
      </c>
      <c r="BI25" s="130">
        <f t="shared" si="15"/>
        <v>1181.9850937535332</v>
      </c>
      <c r="BJ25" s="77">
        <f t="shared" si="91"/>
        <v>1.25632582792361</v>
      </c>
      <c r="BK25" s="83">
        <f t="shared" si="16"/>
        <v>21.531801391684787</v>
      </c>
      <c r="BL25" s="83">
        <f t="shared" si="17"/>
        <v>59.281311039765725</v>
      </c>
      <c r="BM25" s="81">
        <v>14792.942999999999</v>
      </c>
      <c r="BN25" s="81">
        <f t="shared" si="18"/>
        <v>7331.8885596225646</v>
      </c>
      <c r="BO25" s="82">
        <v>68.472999999999999</v>
      </c>
      <c r="BP25" s="82">
        <f t="shared" si="19"/>
        <v>120.33707667703555</v>
      </c>
      <c r="BQ25" s="81">
        <f t="shared" si="20"/>
        <v>10707.707504596798</v>
      </c>
      <c r="BR25" s="82">
        <v>50.588000000000001</v>
      </c>
      <c r="BS25" s="82">
        <f t="shared" si="21"/>
        <v>88.905291646895478</v>
      </c>
      <c r="BT25" s="82">
        <v>55.018000000000001</v>
      </c>
      <c r="BU25" s="82">
        <f t="shared" si="22"/>
        <v>96.690743572169197</v>
      </c>
      <c r="BV25" s="82">
        <v>40.299999999999997</v>
      </c>
      <c r="BW25" s="82">
        <f t="shared" si="23"/>
        <v>70.824765821338801</v>
      </c>
      <c r="BX25" s="82">
        <f t="shared" si="24"/>
        <v>91.112568108340284</v>
      </c>
      <c r="BY25" s="84">
        <v>56.901000000000003</v>
      </c>
      <c r="BZ25" s="77">
        <v>55.230438814326092</v>
      </c>
      <c r="CA25" s="78">
        <v>0.70243899507782992</v>
      </c>
      <c r="CB25" s="78">
        <v>0.559487893261296</v>
      </c>
      <c r="CC25" s="86">
        <f t="shared" si="25"/>
        <v>0.6827784619974725</v>
      </c>
      <c r="CD25" s="86">
        <f t="shared" si="92"/>
        <v>8.1961387538741715E-2</v>
      </c>
      <c r="CE25" s="86">
        <f t="shared" si="69"/>
        <v>-2.2912020676071787E-2</v>
      </c>
      <c r="CF25" s="86">
        <f t="shared" si="26"/>
        <v>1.2344932339991035</v>
      </c>
      <c r="CG25" s="86">
        <f t="shared" si="70"/>
        <v>5.8656045438383875E-2</v>
      </c>
      <c r="CH25" s="86">
        <f t="shared" si="27"/>
        <v>0.98326548436986339</v>
      </c>
      <c r="CI25" s="86">
        <f t="shared" si="93"/>
        <v>-1.5100662091964256E-2</v>
      </c>
      <c r="CJ25" s="86">
        <f t="shared" si="28"/>
        <v>1.1999410590279125</v>
      </c>
      <c r="CK25" s="86">
        <f t="shared" si="94"/>
        <v>-1.2428101709994199E-2</v>
      </c>
      <c r="CL25" s="87">
        <v>766</v>
      </c>
      <c r="CM25" s="77">
        <f t="shared" si="71"/>
        <v>50.39473684210526</v>
      </c>
      <c r="CN25" s="77">
        <f t="shared" si="29"/>
        <v>88.565643560052123</v>
      </c>
      <c r="CO25" s="77">
        <f t="shared" si="72"/>
        <v>113.93533232824322</v>
      </c>
      <c r="CP25" s="74">
        <v>0.50823549500931586</v>
      </c>
      <c r="CQ25" s="74">
        <f t="shared" si="73"/>
        <v>4.9837122139057111E-2</v>
      </c>
      <c r="CR25" s="139">
        <f t="shared" si="30"/>
        <v>0.22968203908536203</v>
      </c>
      <c r="CS25" s="74">
        <v>5.1099881532507663E-2</v>
      </c>
      <c r="CT25" s="77">
        <f t="shared" si="74"/>
        <v>22.968203908536204</v>
      </c>
      <c r="CU25" s="77">
        <f t="shared" si="31"/>
        <v>40.365202559772591</v>
      </c>
      <c r="CV25" s="78">
        <f t="shared" si="32"/>
        <v>192.57491868383065</v>
      </c>
      <c r="CW25" s="74">
        <f t="shared" si="75"/>
        <v>1.3471238287761089E-2</v>
      </c>
      <c r="CX25" s="88">
        <f t="shared" si="76"/>
        <v>51.927842256643984</v>
      </c>
      <c r="CY25" s="77">
        <f t="shared" si="33"/>
        <v>77.733256006045593</v>
      </c>
      <c r="CZ25" s="89">
        <v>44.231000000000002</v>
      </c>
      <c r="DA25" s="74">
        <f t="shared" si="77"/>
        <v>7.12061148229024E-2</v>
      </c>
      <c r="DB25" s="125">
        <v>41.918999999999997</v>
      </c>
      <c r="DC25" s="125">
        <v>43.542000000000002</v>
      </c>
      <c r="DD25" s="74">
        <f t="shared" si="78"/>
        <v>1.2362358088315029</v>
      </c>
      <c r="DE25" s="74">
        <f t="shared" si="79"/>
        <v>1.2341691407891289</v>
      </c>
      <c r="DF25" s="75">
        <f t="shared" si="34"/>
        <v>1.1999410590279125</v>
      </c>
      <c r="DG25" s="75">
        <f t="shared" si="35"/>
        <v>1.1979350664642694</v>
      </c>
      <c r="DH25" s="74">
        <f t="shared" si="80"/>
        <v>-1.5100662091964256E-2</v>
      </c>
      <c r="DI25" s="75">
        <f t="shared" si="95"/>
        <v>-1.66637003516521E-2</v>
      </c>
      <c r="DJ25" s="77">
        <f t="shared" si="96"/>
        <v>-1.2505976462320101</v>
      </c>
      <c r="DK25" s="75">
        <f t="shared" si="36"/>
        <v>1.1979350664642694</v>
      </c>
      <c r="DL25" s="77">
        <f t="shared" si="97"/>
        <v>8.8794587218825942</v>
      </c>
      <c r="DM25" s="72">
        <v>19488.25216</v>
      </c>
      <c r="DN25" s="72">
        <v>25481.751759999999</v>
      </c>
      <c r="DO25" s="97">
        <v>19488.25216</v>
      </c>
      <c r="DP25" s="92">
        <f t="shared" si="98"/>
        <v>338.72072000000117</v>
      </c>
      <c r="DQ25" s="72">
        <v>25481.751759999999</v>
      </c>
      <c r="DR25" s="72">
        <v>19362.467852717895</v>
      </c>
      <c r="DS25" s="72">
        <v>25302.612347975301</v>
      </c>
      <c r="DT25" s="72">
        <v>29469.99</v>
      </c>
      <c r="DU25" s="72">
        <v>1060.3399999999999</v>
      </c>
      <c r="DV25" s="72">
        <v>9873</v>
      </c>
      <c r="DW25" s="93">
        <v>1.577</v>
      </c>
      <c r="DX25" s="67">
        <v>6.99</v>
      </c>
      <c r="DY25" s="67">
        <v>6.55</v>
      </c>
      <c r="EB25" s="72">
        <v>12620</v>
      </c>
      <c r="EC25" s="78">
        <v>8.7982949887972026</v>
      </c>
      <c r="ED25" s="72">
        <f t="shared" si="37"/>
        <v>20600</v>
      </c>
      <c r="EE25" s="72">
        <f t="shared" si="38"/>
        <v>22873.103448275862</v>
      </c>
      <c r="EF25" s="72">
        <f t="shared" si="39"/>
        <v>259972000000</v>
      </c>
      <c r="EG25" s="74">
        <f t="shared" si="81"/>
        <v>0.6827784619974725</v>
      </c>
      <c r="EH25" s="74">
        <f t="shared" si="104"/>
        <v>6.0072863206510236</v>
      </c>
      <c r="EI25" s="75">
        <f t="shared" si="41"/>
        <v>1.1999410590279125</v>
      </c>
      <c r="EJ25" s="75">
        <f t="shared" si="42"/>
        <v>6.0072863206510245</v>
      </c>
      <c r="EK25" s="78">
        <f t="shared" si="43"/>
        <v>10.557435406497291</v>
      </c>
      <c r="EL25" s="72">
        <f t="shared" si="44"/>
        <v>4735.8173135864427</v>
      </c>
      <c r="EM25" s="72">
        <f t="shared" si="45"/>
        <v>13038.642428805086</v>
      </c>
      <c r="EN25" s="72">
        <f t="shared" si="46"/>
        <v>283.51165986465128</v>
      </c>
      <c r="EO25" s="72">
        <f t="shared" si="47"/>
        <v>216.95330602649278</v>
      </c>
      <c r="EP25" s="75">
        <f t="shared" si="48"/>
        <v>8.6701644792516117E-2</v>
      </c>
      <c r="EQ25" s="77">
        <f t="shared" si="82"/>
        <v>11.533806566104703</v>
      </c>
      <c r="ER25" s="95">
        <v>17.684999999999999</v>
      </c>
      <c r="ES25" s="96">
        <f t="shared" si="102"/>
        <v>0.10496719775070296</v>
      </c>
      <c r="ET25" s="95">
        <f t="shared" si="99"/>
        <v>31.080297358570142</v>
      </c>
      <c r="EU25" s="74">
        <f t="shared" si="102"/>
        <v>8.5706991015666034E-3</v>
      </c>
      <c r="EV25" s="77">
        <f t="shared" si="100"/>
        <v>25.901520016115366</v>
      </c>
      <c r="EW25" s="74">
        <f t="shared" si="101"/>
        <v>2.1263060287479485E-2</v>
      </c>
      <c r="EX25" s="78">
        <v>3.2749999999999999</v>
      </c>
      <c r="EY25" s="78">
        <v>2.8489387228716536</v>
      </c>
      <c r="EZ25" s="173">
        <f t="shared" ref="EZ25:EZ56" si="105">EZ24*(EY25/EY24)</f>
        <v>1.9141376007826933</v>
      </c>
      <c r="FA25" s="72">
        <f t="shared" si="83"/>
        <v>14.379638070472437</v>
      </c>
      <c r="FB25" s="78">
        <f t="shared" si="84"/>
        <v>2.1086049596025851</v>
      </c>
      <c r="FC25" s="78">
        <f t="shared" si="85"/>
        <v>2.1086049596025851</v>
      </c>
      <c r="FD25" s="78">
        <f t="shared" si="86"/>
        <v>47.424720094961401</v>
      </c>
      <c r="FE25" s="72">
        <f t="shared" si="87"/>
        <v>396.06323670574318</v>
      </c>
    </row>
    <row r="26" spans="1:161" s="67" customFormat="1" x14ac:dyDescent="0.2">
      <c r="A26" s="68">
        <v>1984</v>
      </c>
      <c r="B26" s="72">
        <v>54894.853999999999</v>
      </c>
      <c r="C26" s="72">
        <v>55157.303</v>
      </c>
      <c r="D26" s="72">
        <v>55026.078999999998</v>
      </c>
      <c r="E26" s="72">
        <v>55026.078500000003</v>
      </c>
      <c r="F26" s="117">
        <v>73.575000000000003</v>
      </c>
      <c r="G26" s="72">
        <f t="shared" si="50"/>
        <v>40485.437256375</v>
      </c>
      <c r="H26" s="72">
        <v>20203.681209342627</v>
      </c>
      <c r="I26" s="73">
        <v>72.900000000000006</v>
      </c>
      <c r="J26" s="73"/>
      <c r="K26" s="67">
        <f t="shared" si="51"/>
        <v>-40</v>
      </c>
      <c r="L26" s="67">
        <v>19400</v>
      </c>
      <c r="M26" s="67">
        <f t="shared" si="52"/>
        <v>325</v>
      </c>
      <c r="N26" s="67">
        <v>3425</v>
      </c>
      <c r="O26" s="67">
        <f t="shared" si="0"/>
        <v>22825</v>
      </c>
      <c r="P26" s="74">
        <f t="shared" si="53"/>
        <v>0.84994523548740419</v>
      </c>
      <c r="Q26" s="74">
        <f t="shared" si="54"/>
        <v>0.15005476451259583</v>
      </c>
      <c r="R26" s="77">
        <f t="shared" si="55"/>
        <v>-0.2057613168724326</v>
      </c>
      <c r="S26" s="77">
        <f t="shared" si="56"/>
        <v>10.483870967741925</v>
      </c>
      <c r="T26" s="77">
        <f t="shared" si="57"/>
        <v>1.2564917869402947</v>
      </c>
      <c r="U26" s="67">
        <f t="shared" si="58"/>
        <v>285</v>
      </c>
      <c r="V26" s="75">
        <f t="shared" si="1"/>
        <v>0.41381646234588376</v>
      </c>
      <c r="W26" s="77">
        <f t="shared" si="88"/>
        <v>0.77953703260783547</v>
      </c>
      <c r="X26" s="74">
        <f t="shared" si="59"/>
        <v>1.1297446125533408</v>
      </c>
      <c r="Y26" s="77">
        <f t="shared" si="88"/>
        <v>-6.4341797048152183E-2</v>
      </c>
      <c r="Z26" s="72">
        <f t="shared" si="2"/>
        <v>18244.181</v>
      </c>
      <c r="AA26" s="77">
        <f t="shared" si="89"/>
        <v>1.3497729285420812</v>
      </c>
      <c r="AB26" s="74">
        <f t="shared" si="3"/>
        <v>0.33076637195259528</v>
      </c>
      <c r="AC26" s="77">
        <f t="shared" si="89"/>
        <v>0.86753131938792638</v>
      </c>
      <c r="AD26" s="74">
        <f t="shared" si="60"/>
        <v>0.90301271391886195</v>
      </c>
      <c r="AE26" s="77">
        <f t="shared" si="61"/>
        <v>1.9913042309771534E-2</v>
      </c>
      <c r="AF26" s="72">
        <v>19147</v>
      </c>
      <c r="AG26" s="72">
        <v>1453</v>
      </c>
      <c r="AH26" s="72">
        <f t="shared" si="4"/>
        <v>20600</v>
      </c>
      <c r="AI26" s="72">
        <v>19140</v>
      </c>
      <c r="AJ26" s="72">
        <v>1660</v>
      </c>
      <c r="AK26" s="72">
        <v>20800</v>
      </c>
      <c r="AL26" s="72">
        <f t="shared" si="5"/>
        <v>19143.5</v>
      </c>
      <c r="AM26" s="72">
        <f t="shared" si="6"/>
        <v>1556.5</v>
      </c>
      <c r="AN26" s="72">
        <f t="shared" si="7"/>
        <v>20700</v>
      </c>
      <c r="AO26" s="74">
        <f t="shared" si="8"/>
        <v>0.37710328222538364</v>
      </c>
      <c r="AP26" s="74">
        <f t="shared" si="9"/>
        <v>0.37618526299138999</v>
      </c>
      <c r="AQ26" s="74">
        <f t="shared" si="62"/>
        <v>1.0245657603441032</v>
      </c>
      <c r="AR26" s="67">
        <v>1757491</v>
      </c>
      <c r="AS26" s="72">
        <v>389721.72899999999</v>
      </c>
      <c r="AT26" s="77">
        <f t="shared" si="63"/>
        <v>8.6723154009732184</v>
      </c>
      <c r="AU26" s="72">
        <v>634726.28599999996</v>
      </c>
      <c r="AV26" s="72">
        <f t="shared" si="10"/>
        <v>634.72628599999996</v>
      </c>
      <c r="AW26" s="78">
        <f t="shared" si="11"/>
        <v>11.507565661794594</v>
      </c>
      <c r="AX26" s="74">
        <f t="shared" si="64"/>
        <v>2.3075832579597666E-3</v>
      </c>
      <c r="AY26" s="78">
        <f t="shared" si="65"/>
        <v>31.416368107535202</v>
      </c>
      <c r="AZ26" s="74">
        <f t="shared" si="66"/>
        <v>-6.131205038599763E-3</v>
      </c>
      <c r="BA26" s="79">
        <f t="shared" si="67"/>
        <v>0.15674836541203652</v>
      </c>
      <c r="BB26" s="80">
        <v>462165.4</v>
      </c>
      <c r="BC26" s="81">
        <f t="shared" si="12"/>
        <v>752712.37785016291</v>
      </c>
      <c r="BD26" s="82">
        <f t="shared" si="68"/>
        <v>-1.1618090466365749</v>
      </c>
      <c r="BE26" s="81">
        <f t="shared" si="13"/>
        <v>13646.649435527384</v>
      </c>
      <c r="BF26" s="81">
        <f t="shared" si="14"/>
        <v>37256.199503984062</v>
      </c>
      <c r="BG26" s="72">
        <v>709.64771199999996</v>
      </c>
      <c r="BH26" s="77">
        <f t="shared" si="103"/>
        <v>8.7056991292214114</v>
      </c>
      <c r="BI26" s="130">
        <f t="shared" si="15"/>
        <v>1200.0043150627407</v>
      </c>
      <c r="BJ26" s="77">
        <f t="shared" si="91"/>
        <v>1.5244880332615063</v>
      </c>
      <c r="BK26" s="83">
        <f t="shared" si="16"/>
        <v>21.756036821864566</v>
      </c>
      <c r="BL26" s="83">
        <f t="shared" si="17"/>
        <v>59.395330119732456</v>
      </c>
      <c r="BM26" s="81">
        <v>13929.064</v>
      </c>
      <c r="BN26" s="81">
        <f t="shared" si="18"/>
        <v>7925.5393057489346</v>
      </c>
      <c r="BO26" s="82">
        <v>73.605000000000004</v>
      </c>
      <c r="BP26" s="82">
        <f t="shared" si="19"/>
        <v>119.87785016286645</v>
      </c>
      <c r="BQ26" s="81">
        <f t="shared" si="20"/>
        <v>10767.664296921315</v>
      </c>
      <c r="BR26" s="82">
        <v>54.468000000000004</v>
      </c>
      <c r="BS26" s="82">
        <f t="shared" si="21"/>
        <v>88.710097719869708</v>
      </c>
      <c r="BT26" s="82">
        <v>58.893000000000001</v>
      </c>
      <c r="BU26" s="82">
        <f t="shared" si="22"/>
        <v>95.916938110749186</v>
      </c>
      <c r="BV26" s="82">
        <v>43.402999999999999</v>
      </c>
      <c r="BW26" s="82">
        <f t="shared" si="23"/>
        <v>70.688925081433226</v>
      </c>
      <c r="BX26" s="82">
        <f t="shared" si="24"/>
        <v>90.624934750381058</v>
      </c>
      <c r="BY26" s="84">
        <v>61.4</v>
      </c>
      <c r="BZ26" s="77">
        <v>59.137096683097916</v>
      </c>
      <c r="CA26" s="78">
        <v>0.76122096223675761</v>
      </c>
      <c r="CB26" s="78">
        <v>0.57930626550215958</v>
      </c>
      <c r="CC26" s="86">
        <f t="shared" si="25"/>
        <v>0.73392379525686724</v>
      </c>
      <c r="CD26" s="86">
        <f t="shared" si="92"/>
        <v>7.4907654687537795E-2</v>
      </c>
      <c r="CE26" s="86">
        <f t="shared" si="69"/>
        <v>5.2803201324236326E-3</v>
      </c>
      <c r="CF26" s="86">
        <f t="shared" si="26"/>
        <v>1.2397735541315271</v>
      </c>
      <c r="CG26" s="86">
        <f t="shared" si="70"/>
        <v>-3.9769937949408085E-2</v>
      </c>
      <c r="CH26" s="86">
        <f t="shared" si="27"/>
        <v>0.9434955464204553</v>
      </c>
      <c r="CI26" s="86">
        <f t="shared" si="93"/>
        <v>-4.6254315737312979E-3</v>
      </c>
      <c r="CJ26" s="86">
        <f t="shared" si="28"/>
        <v>1.1953156274541812</v>
      </c>
      <c r="CK26" s="86">
        <f t="shared" si="94"/>
        <v>-3.854715645348783E-3</v>
      </c>
      <c r="CL26" s="87">
        <v>811.25</v>
      </c>
      <c r="CM26" s="77">
        <f t="shared" si="71"/>
        <v>53.371710526315788</v>
      </c>
      <c r="CN26" s="77">
        <f t="shared" si="29"/>
        <v>86.924609977713018</v>
      </c>
      <c r="CO26" s="77">
        <f t="shared" si="72"/>
        <v>111.43948077237967</v>
      </c>
      <c r="CP26" s="74">
        <v>0.52806304186738895</v>
      </c>
      <c r="CQ26" s="74">
        <f t="shared" si="73"/>
        <v>3.8270761040299028E-2</v>
      </c>
      <c r="CR26" s="139">
        <f t="shared" si="30"/>
        <v>0.24205080662894926</v>
      </c>
      <c r="CS26" s="74">
        <v>3.9012518906633264E-2</v>
      </c>
      <c r="CT26" s="77">
        <f t="shared" si="74"/>
        <v>24.205080662894925</v>
      </c>
      <c r="CU26" s="77">
        <f t="shared" si="31"/>
        <v>39.421955477027566</v>
      </c>
      <c r="CV26" s="78">
        <f t="shared" si="32"/>
        <v>197.86341829224875</v>
      </c>
      <c r="CW26" s="74">
        <f t="shared" si="75"/>
        <v>2.7091720081889648E-2</v>
      </c>
      <c r="CX26" s="88">
        <f t="shared" si="76"/>
        <v>50.539913271031097</v>
      </c>
      <c r="CY26" s="77">
        <f t="shared" si="33"/>
        <v>78.001628664495115</v>
      </c>
      <c r="CZ26" s="89">
        <v>47.893000000000001</v>
      </c>
      <c r="DA26" s="74">
        <f t="shared" si="77"/>
        <v>7.9543455237138794E-2</v>
      </c>
      <c r="DB26" s="125">
        <v>45.247999999999998</v>
      </c>
      <c r="DC26" s="125">
        <v>47.173999999999999</v>
      </c>
      <c r="DD26" s="74">
        <f t="shared" si="78"/>
        <v>1.2410548309292151</v>
      </c>
      <c r="DE26" s="74">
        <f t="shared" si="79"/>
        <v>1.2384161055447671</v>
      </c>
      <c r="DF26" s="75">
        <f t="shared" si="34"/>
        <v>1.1953156274541812</v>
      </c>
      <c r="DG26" s="75">
        <f t="shared" si="35"/>
        <v>1.1927741525652522</v>
      </c>
      <c r="DH26" s="74">
        <f t="shared" si="80"/>
        <v>-4.6254315737312979E-3</v>
      </c>
      <c r="DI26" s="75">
        <f t="shared" si="95"/>
        <v>4.8190220977122333E-3</v>
      </c>
      <c r="DJ26" s="77">
        <f t="shared" si="96"/>
        <v>-0.38621642092606656</v>
      </c>
      <c r="DK26" s="75">
        <f t="shared" si="36"/>
        <v>1.1927741525652522</v>
      </c>
      <c r="DL26" s="77">
        <f t="shared" si="97"/>
        <v>8.9569182500496485</v>
      </c>
      <c r="DM26" s="72">
        <v>20003.034829999997</v>
      </c>
      <c r="DN26" s="72">
        <v>26104.844029999993</v>
      </c>
      <c r="DO26" s="97">
        <v>20003.034829999997</v>
      </c>
      <c r="DP26" s="92">
        <f t="shared" si="98"/>
        <v>514.78266999999687</v>
      </c>
      <c r="DQ26" s="72">
        <v>26104.844029999993</v>
      </c>
      <c r="DR26" s="72">
        <v>19885.919028448479</v>
      </c>
      <c r="DS26" s="72">
        <v>25978.236869838809</v>
      </c>
      <c r="DT26" s="72">
        <v>29637.81</v>
      </c>
      <c r="DU26" s="72">
        <v>1070.98</v>
      </c>
      <c r="DV26" s="72">
        <v>9879</v>
      </c>
      <c r="DW26" s="93">
        <v>1.585</v>
      </c>
      <c r="DX26" s="67">
        <v>6.98</v>
      </c>
      <c r="DY26" s="67">
        <v>6.16</v>
      </c>
      <c r="EB26" s="72">
        <v>12840</v>
      </c>
      <c r="EC26" s="78">
        <v>8.629359102319814</v>
      </c>
      <c r="ED26" s="72">
        <f t="shared" si="37"/>
        <v>20800</v>
      </c>
      <c r="EE26" s="72">
        <f t="shared" si="38"/>
        <v>23046.601941747576</v>
      </c>
      <c r="EF26" s="72">
        <f t="shared" si="39"/>
        <v>267072000000</v>
      </c>
      <c r="EG26" s="74">
        <f t="shared" si="81"/>
        <v>0.73392379525686724</v>
      </c>
      <c r="EH26" s="74">
        <f t="shared" si="104"/>
        <v>6.3332919830089507</v>
      </c>
      <c r="EI26" s="75">
        <f t="shared" si="41"/>
        <v>1.1953156274541812</v>
      </c>
      <c r="EJ26" s="75">
        <f t="shared" si="42"/>
        <v>6.3332919830089507</v>
      </c>
      <c r="EK26" s="78">
        <f t="shared" si="43"/>
        <v>10.314807789916857</v>
      </c>
      <c r="EL26" s="72">
        <f t="shared" si="44"/>
        <v>4842.0061437739259</v>
      </c>
      <c r="EM26" s="72">
        <f t="shared" si="45"/>
        <v>13218.97713751789</v>
      </c>
      <c r="EN26" s="72">
        <f t="shared" si="46"/>
        <v>277.36863919184646</v>
      </c>
      <c r="EO26" s="72">
        <f t="shared" si="47"/>
        <v>212.32119514638271</v>
      </c>
      <c r="EP26" s="75">
        <f t="shared" si="48"/>
        <v>8.546384495566739E-2</v>
      </c>
      <c r="EQ26" s="77">
        <f t="shared" si="82"/>
        <v>11.700854326396495</v>
      </c>
      <c r="ER26" s="95">
        <v>19.21</v>
      </c>
      <c r="ES26" s="96">
        <f t="shared" si="102"/>
        <v>8.6231269437376357E-2</v>
      </c>
      <c r="ET26" s="95">
        <f t="shared" si="99"/>
        <v>31.286644951140065</v>
      </c>
      <c r="EU26" s="74">
        <f t="shared" si="102"/>
        <v>6.6391769097093878E-3</v>
      </c>
      <c r="EV26" s="77">
        <f t="shared" si="100"/>
        <v>26.174379580207862</v>
      </c>
      <c r="EW26" s="74">
        <f t="shared" si="101"/>
        <v>1.0534500057244767E-2</v>
      </c>
      <c r="EX26" s="78">
        <v>3.5833333333333335</v>
      </c>
      <c r="EY26" s="78">
        <v>3.0761043238711223</v>
      </c>
      <c r="EZ26" s="173">
        <f t="shared" si="105"/>
        <v>2.066765038848188</v>
      </c>
      <c r="FA26" s="72">
        <f t="shared" si="83"/>
        <v>14.315323239751397</v>
      </c>
      <c r="FB26" s="78">
        <f t="shared" si="84"/>
        <v>2.0588677483599849</v>
      </c>
      <c r="FC26" s="78">
        <f t="shared" si="85"/>
        <v>2.0588677483599849</v>
      </c>
      <c r="FD26" s="78">
        <f t="shared" si="86"/>
        <v>48.57038538762685</v>
      </c>
      <c r="FE26" s="72">
        <f t="shared" si="87"/>
        <v>393.46257331290269</v>
      </c>
    </row>
    <row r="27" spans="1:161" s="67" customFormat="1" x14ac:dyDescent="0.2">
      <c r="A27" s="68">
        <v>1985</v>
      </c>
      <c r="B27" s="72">
        <v>55157.303</v>
      </c>
      <c r="C27" s="72">
        <v>55411.237999999998</v>
      </c>
      <c r="D27" s="72">
        <v>55284.271000000001</v>
      </c>
      <c r="E27" s="72">
        <v>55284.270499999999</v>
      </c>
      <c r="F27" s="117">
        <v>73.650000000000006</v>
      </c>
      <c r="G27" s="72">
        <f t="shared" si="50"/>
        <v>40716.865223250003</v>
      </c>
      <c r="H27" s="72">
        <v>20452.00164571917</v>
      </c>
      <c r="I27" s="73">
        <v>73.400000000000006</v>
      </c>
      <c r="J27" s="73"/>
      <c r="K27" s="67">
        <f t="shared" si="51"/>
        <v>-300</v>
      </c>
      <c r="L27" s="98">
        <v>19100</v>
      </c>
      <c r="M27" s="67">
        <f t="shared" si="52"/>
        <v>166</v>
      </c>
      <c r="N27" s="98">
        <v>3591</v>
      </c>
      <c r="O27" s="67">
        <f t="shared" si="0"/>
        <v>22691</v>
      </c>
      <c r="P27" s="74">
        <f t="shared" si="53"/>
        <v>0.84174342250231371</v>
      </c>
      <c r="Q27" s="74">
        <f t="shared" si="54"/>
        <v>0.15825657749768632</v>
      </c>
      <c r="R27" s="77">
        <f t="shared" si="55"/>
        <v>-1.5463917525773141</v>
      </c>
      <c r="S27" s="77">
        <f t="shared" si="56"/>
        <v>4.8467153284671438</v>
      </c>
      <c r="T27" s="77">
        <f t="shared" si="57"/>
        <v>-0.58880563819005971</v>
      </c>
      <c r="U27" s="94">
        <f t="shared" si="58"/>
        <v>-134</v>
      </c>
      <c r="V27" s="75">
        <f t="shared" si="1"/>
        <v>0.40950176929813409</v>
      </c>
      <c r="W27" s="77">
        <f t="shared" si="88"/>
        <v>-1.0481323945448984</v>
      </c>
      <c r="X27" s="74">
        <f t="shared" si="59"/>
        <v>1.1094757566064188</v>
      </c>
      <c r="Y27" s="77">
        <f t="shared" si="88"/>
        <v>-1.8103988176959378</v>
      </c>
      <c r="Z27" s="72">
        <f t="shared" si="2"/>
        <v>18147.079000000002</v>
      </c>
      <c r="AA27" s="77">
        <f t="shared" si="89"/>
        <v>-0.53223545633536151</v>
      </c>
      <c r="AB27" s="74">
        <f t="shared" si="3"/>
        <v>0.32749816923419039</v>
      </c>
      <c r="AC27" s="77">
        <f t="shared" si="89"/>
        <v>-0.98806982678193434</v>
      </c>
      <c r="AD27" s="74">
        <f t="shared" si="60"/>
        <v>0.88730087716369732</v>
      </c>
      <c r="AE27" s="77">
        <f t="shared" si="61"/>
        <v>-1.7399352758809994</v>
      </c>
      <c r="AF27" s="72">
        <v>19140</v>
      </c>
      <c r="AG27" s="72">
        <v>1660</v>
      </c>
      <c r="AH27" s="72">
        <f t="shared" si="4"/>
        <v>20800</v>
      </c>
      <c r="AI27" s="72">
        <v>19205</v>
      </c>
      <c r="AJ27" s="72">
        <v>1885</v>
      </c>
      <c r="AK27" s="72">
        <v>21090</v>
      </c>
      <c r="AL27" s="72">
        <f t="shared" si="5"/>
        <v>19172.5</v>
      </c>
      <c r="AM27" s="72">
        <f t="shared" si="6"/>
        <v>1772.5</v>
      </c>
      <c r="AN27" s="72">
        <f t="shared" si="7"/>
        <v>20945</v>
      </c>
      <c r="AO27" s="74">
        <f t="shared" si="8"/>
        <v>0.38060871334439417</v>
      </c>
      <c r="AP27" s="74">
        <f t="shared" si="9"/>
        <v>0.37886001969710337</v>
      </c>
      <c r="AQ27" s="74">
        <f t="shared" si="62"/>
        <v>1.0241051395761069</v>
      </c>
      <c r="AR27" s="67">
        <v>1766328</v>
      </c>
      <c r="AS27" s="72">
        <v>421869.56599999999</v>
      </c>
      <c r="AT27" s="77">
        <f t="shared" si="63"/>
        <v>8.2489208601453257</v>
      </c>
      <c r="AU27" s="72">
        <v>646989.91399999999</v>
      </c>
      <c r="AV27" s="72">
        <f t="shared" si="10"/>
        <v>646.989914</v>
      </c>
      <c r="AW27" s="78">
        <f t="shared" si="11"/>
        <v>11.676149773083937</v>
      </c>
      <c r="AX27" s="74">
        <f t="shared" si="64"/>
        <v>1.4543577647616601E-2</v>
      </c>
      <c r="AY27" s="78">
        <f t="shared" si="65"/>
        <v>31.634552216820406</v>
      </c>
      <c r="AZ27" s="74">
        <f t="shared" si="66"/>
        <v>6.9209134161063446E-3</v>
      </c>
      <c r="BA27" s="79">
        <f t="shared" si="67"/>
        <v>0.14679800466979265</v>
      </c>
      <c r="BB27" s="80">
        <v>494454.5</v>
      </c>
      <c r="BC27" s="81">
        <f t="shared" si="12"/>
        <v>758307.64511923934</v>
      </c>
      <c r="BD27" s="82">
        <f t="shared" si="68"/>
        <v>0.74334731747831562</v>
      </c>
      <c r="BE27" s="81">
        <f t="shared" si="13"/>
        <v>13685.087583122388</v>
      </c>
      <c r="BF27" s="81">
        <f t="shared" si="14"/>
        <v>37077.42930276761</v>
      </c>
      <c r="BG27" s="72">
        <v>760.50871700000005</v>
      </c>
      <c r="BH27" s="77">
        <f t="shared" si="103"/>
        <v>7.1670779937637707</v>
      </c>
      <c r="BI27" s="130">
        <f t="shared" si="15"/>
        <v>1219.4828059696042</v>
      </c>
      <c r="BJ27" s="77">
        <f t="shared" si="91"/>
        <v>1.6232017387241671</v>
      </c>
      <c r="BK27" s="83">
        <f t="shared" si="16"/>
        <v>22.007860679265175</v>
      </c>
      <c r="BL27" s="83">
        <f t="shared" si="17"/>
        <v>59.626574801535646</v>
      </c>
      <c r="BM27" s="81">
        <v>16161.019</v>
      </c>
      <c r="BN27" s="81">
        <f t="shared" si="18"/>
        <v>9149.5005457649986</v>
      </c>
      <c r="BO27" s="82">
        <v>78.266999999999996</v>
      </c>
      <c r="BP27" s="82">
        <f t="shared" si="19"/>
        <v>120.03220611916264</v>
      </c>
      <c r="BQ27" s="81">
        <f t="shared" si="20"/>
        <v>11690.112749645445</v>
      </c>
      <c r="BR27" s="82">
        <v>58.545999999999999</v>
      </c>
      <c r="BS27" s="82">
        <f t="shared" si="21"/>
        <v>89.787592975998777</v>
      </c>
      <c r="BT27" s="82">
        <v>61.715000000000003</v>
      </c>
      <c r="BU27" s="82">
        <f t="shared" si="22"/>
        <v>94.647649720113492</v>
      </c>
      <c r="BV27" s="82">
        <v>46.154000000000003</v>
      </c>
      <c r="BW27" s="82">
        <f t="shared" si="23"/>
        <v>70.782915420596595</v>
      </c>
      <c r="BX27" s="82">
        <f t="shared" si="24"/>
        <v>86.891202439896844</v>
      </c>
      <c r="BY27" s="84">
        <v>65.204999999999998</v>
      </c>
      <c r="BZ27" s="77">
        <v>62.363217691726589</v>
      </c>
      <c r="CA27" s="78">
        <v>0.83405693605812525</v>
      </c>
      <c r="CB27" s="78">
        <v>0.65781750937942596</v>
      </c>
      <c r="CC27" s="86">
        <f t="shared" si="25"/>
        <v>0.80616588757179997</v>
      </c>
      <c r="CD27" s="86">
        <f t="shared" si="92"/>
        <v>9.8432688491382869E-2</v>
      </c>
      <c r="CE27" s="86">
        <f t="shared" si="69"/>
        <v>3.9356782588241712E-2</v>
      </c>
      <c r="CF27" s="86">
        <f t="shared" si="26"/>
        <v>1.2791303367197688</v>
      </c>
      <c r="CG27" s="86">
        <f t="shared" si="70"/>
        <v>6.5349648548375328E-2</v>
      </c>
      <c r="CH27" s="86">
        <f t="shared" si="27"/>
        <v>1.0088451949688306</v>
      </c>
      <c r="CI27" s="86">
        <f t="shared" si="93"/>
        <v>4.1040307783607233E-2</v>
      </c>
      <c r="CJ27" s="86">
        <f t="shared" si="28"/>
        <v>1.2363559352377884</v>
      </c>
      <c r="CK27" s="86">
        <f t="shared" si="94"/>
        <v>3.433428530589544E-2</v>
      </c>
      <c r="CL27" s="87">
        <v>837</v>
      </c>
      <c r="CM27" s="77">
        <f t="shared" si="71"/>
        <v>55.065789473684212</v>
      </c>
      <c r="CN27" s="77">
        <f t="shared" si="29"/>
        <v>84.450256074970028</v>
      </c>
      <c r="CO27" s="77">
        <f t="shared" si="72"/>
        <v>103.66886208499014</v>
      </c>
      <c r="CP27" s="74">
        <v>0.54548498352310615</v>
      </c>
      <c r="CQ27" s="74">
        <f t="shared" si="73"/>
        <v>3.2459602925514086E-2</v>
      </c>
      <c r="CR27" s="139">
        <f t="shared" si="30"/>
        <v>0.25187716946484584</v>
      </c>
      <c r="CS27" s="74">
        <v>3.2992162439749562E-2</v>
      </c>
      <c r="CT27" s="77">
        <f t="shared" si="74"/>
        <v>25.187716946484585</v>
      </c>
      <c r="CU27" s="77">
        <f t="shared" si="31"/>
        <v>38.628505400635817</v>
      </c>
      <c r="CV27" s="78">
        <f t="shared" si="32"/>
        <v>210.88453595399588</v>
      </c>
      <c r="CW27" s="74">
        <f t="shared" si="75"/>
        <v>6.3733774664402887E-2</v>
      </c>
      <c r="CX27" s="88">
        <f t="shared" si="76"/>
        <v>47.419313866529706</v>
      </c>
      <c r="CY27" s="77">
        <f t="shared" si="33"/>
        <v>81.46154436009509</v>
      </c>
      <c r="CZ27" s="89">
        <v>53.116999999999997</v>
      </c>
      <c r="DA27" s="74">
        <f t="shared" si="77"/>
        <v>0.10352767171909383</v>
      </c>
      <c r="DB27" s="125">
        <v>52.149000000000001</v>
      </c>
      <c r="DC27" s="125">
        <v>52.235999999999997</v>
      </c>
      <c r="DD27" s="74">
        <f t="shared" si="78"/>
        <v>1.2926945039251074</v>
      </c>
      <c r="DE27" s="74">
        <f t="shared" si="79"/>
        <v>1.2901639113867336</v>
      </c>
      <c r="DF27" s="75">
        <f t="shared" si="34"/>
        <v>1.2363559352377884</v>
      </c>
      <c r="DG27" s="75">
        <f t="shared" si="35"/>
        <v>1.233935631681931</v>
      </c>
      <c r="DH27" s="74">
        <f t="shared" si="80"/>
        <v>4.1040307783607233E-2</v>
      </c>
      <c r="DI27" s="75">
        <f t="shared" si="95"/>
        <v>5.1639672995892338E-2</v>
      </c>
      <c r="DJ27" s="77">
        <f t="shared" si="96"/>
        <v>3.375801717079602</v>
      </c>
      <c r="DK27" s="75">
        <f t="shared" si="36"/>
        <v>1.233935631681931</v>
      </c>
      <c r="DL27" s="77">
        <f t="shared" si="97"/>
        <v>9.3450903008600097</v>
      </c>
      <c r="DM27" s="72">
        <v>20417.804309999996</v>
      </c>
      <c r="DN27" s="72">
        <v>26568.242309999994</v>
      </c>
      <c r="DO27" s="97">
        <v>20417.804309999996</v>
      </c>
      <c r="DP27" s="92">
        <f t="shared" si="98"/>
        <v>414.76947999999902</v>
      </c>
      <c r="DQ27" s="72">
        <v>26568.242309999994</v>
      </c>
      <c r="DR27" s="72">
        <v>20318.582789432479</v>
      </c>
      <c r="DS27" s="72">
        <v>26465.087083991471</v>
      </c>
      <c r="DT27" s="72">
        <v>29738.5</v>
      </c>
      <c r="DU27" s="72">
        <v>1102.19</v>
      </c>
      <c r="DV27" s="72">
        <v>10154</v>
      </c>
      <c r="DW27" s="93">
        <v>1.6180000000000001</v>
      </c>
      <c r="DX27" s="67">
        <v>6.87</v>
      </c>
      <c r="DY27" s="78">
        <v>6</v>
      </c>
      <c r="EB27" s="72">
        <v>12760</v>
      </c>
      <c r="EC27" s="78">
        <v>8.5494785387026759</v>
      </c>
      <c r="ED27" s="72">
        <f t="shared" si="37"/>
        <v>21090</v>
      </c>
      <c r="EE27" s="72">
        <f t="shared" si="38"/>
        <v>23007.364903846155</v>
      </c>
      <c r="EF27" s="72">
        <f t="shared" si="39"/>
        <v>269108400000</v>
      </c>
      <c r="EG27" s="74">
        <f t="shared" si="81"/>
        <v>0.80616588757179997</v>
      </c>
      <c r="EH27" s="74">
        <f t="shared" si="104"/>
        <v>6.8922979544292984</v>
      </c>
      <c r="EI27" s="75">
        <f t="shared" si="41"/>
        <v>1.2363559352377884</v>
      </c>
      <c r="EJ27" s="75">
        <f t="shared" si="42"/>
        <v>6.8922979544292984</v>
      </c>
      <c r="EK27" s="78">
        <f t="shared" si="43"/>
        <v>10.570198534513148</v>
      </c>
      <c r="EL27" s="72">
        <f t="shared" si="44"/>
        <v>4856.5671822744689</v>
      </c>
      <c r="EM27" s="72">
        <f t="shared" si="45"/>
        <v>13158.047053860244</v>
      </c>
      <c r="EN27" s="72">
        <f t="shared" si="46"/>
        <v>272.71212059543302</v>
      </c>
      <c r="EO27" s="72">
        <f t="shared" si="47"/>
        <v>209.37485610435732</v>
      </c>
      <c r="EP27" s="75">
        <f t="shared" si="48"/>
        <v>8.4319181415370162E-2</v>
      </c>
      <c r="EQ27" s="77">
        <f t="shared" si="82"/>
        <v>11.85969767749328</v>
      </c>
      <c r="ER27" s="95">
        <v>20.43</v>
      </c>
      <c r="ES27" s="96">
        <f t="shared" si="102"/>
        <v>6.3508589276418448E-2</v>
      </c>
      <c r="ET27" s="95">
        <f t="shared" si="99"/>
        <v>31.331953071083507</v>
      </c>
      <c r="EU27" s="74">
        <f t="shared" si="102"/>
        <v>1.4481616681558673E-3</v>
      </c>
      <c r="EV27" s="77">
        <f t="shared" si="100"/>
        <v>25.342178718992784</v>
      </c>
      <c r="EW27" s="74">
        <f t="shared" si="101"/>
        <v>-3.1794482794326062E-2</v>
      </c>
      <c r="EX27" s="78">
        <v>3.8774999999999999</v>
      </c>
      <c r="EY27" s="78">
        <v>3.3211911633490092</v>
      </c>
      <c r="EZ27" s="173">
        <f t="shared" si="105"/>
        <v>2.2314333523978545</v>
      </c>
      <c r="FA27" s="72">
        <f t="shared" si="83"/>
        <v>14.564037682652662</v>
      </c>
      <c r="FB27" s="78">
        <f t="shared" si="84"/>
        <v>2.0752487934115997</v>
      </c>
      <c r="FC27" s="78">
        <f t="shared" si="85"/>
        <v>2.0752487934115997</v>
      </c>
      <c r="FD27" s="78">
        <f t="shared" si="86"/>
        <v>48.186993442653822</v>
      </c>
      <c r="FE27" s="72">
        <f t="shared" si="87"/>
        <v>394.12210902025419</v>
      </c>
    </row>
    <row r="28" spans="1:161" s="67" customFormat="1" x14ac:dyDescent="0.2">
      <c r="A28" s="68">
        <v>1986</v>
      </c>
      <c r="B28" s="72">
        <v>55411.237999999998</v>
      </c>
      <c r="C28" s="72">
        <v>55681.78</v>
      </c>
      <c r="D28" s="72">
        <v>55546.508999999998</v>
      </c>
      <c r="E28" s="72">
        <v>55546.508999999998</v>
      </c>
      <c r="F28" s="117">
        <v>73.724999999999994</v>
      </c>
      <c r="G28" s="72">
        <f t="shared" si="50"/>
        <v>40951.663760249998</v>
      </c>
      <c r="H28" s="72">
        <v>20691.116412298714</v>
      </c>
      <c r="I28" s="73">
        <v>73.400000000000006</v>
      </c>
      <c r="J28" s="73"/>
      <c r="K28" s="67">
        <f t="shared" si="51"/>
        <v>500</v>
      </c>
      <c r="L28" s="67">
        <v>19600</v>
      </c>
      <c r="M28" s="67">
        <f t="shared" si="52"/>
        <v>749</v>
      </c>
      <c r="N28" s="67">
        <v>4340</v>
      </c>
      <c r="O28" s="67">
        <f t="shared" si="0"/>
        <v>23940</v>
      </c>
      <c r="P28" s="74">
        <f t="shared" si="53"/>
        <v>0.81871345029239762</v>
      </c>
      <c r="Q28" s="74">
        <f t="shared" si="54"/>
        <v>0.18128654970760233</v>
      </c>
      <c r="R28" s="77">
        <f t="shared" si="55"/>
        <v>2.6178010471204161</v>
      </c>
      <c r="S28" s="77">
        <f t="shared" si="56"/>
        <v>20.857699805068219</v>
      </c>
      <c r="T28" s="77">
        <f t="shared" si="57"/>
        <v>5.3582330030694791</v>
      </c>
      <c r="U28" s="67">
        <f t="shared" si="58"/>
        <v>1249</v>
      </c>
      <c r="V28" s="75">
        <f t="shared" si="1"/>
        <v>0.42994315196101851</v>
      </c>
      <c r="W28" s="77">
        <f t="shared" si="88"/>
        <v>4.8711771291819144</v>
      </c>
      <c r="X28" s="74">
        <f t="shared" si="59"/>
        <v>1.1570182837389171</v>
      </c>
      <c r="Y28" s="77">
        <f t="shared" si="88"/>
        <v>4.1958638385669484</v>
      </c>
      <c r="Z28" s="72">
        <f t="shared" si="2"/>
        <v>19175.603999999999</v>
      </c>
      <c r="AA28" s="77">
        <f t="shared" si="89"/>
        <v>5.6677165509666727</v>
      </c>
      <c r="AB28" s="74">
        <f t="shared" si="3"/>
        <v>0.3443784304309237</v>
      </c>
      <c r="AC28" s="77">
        <f t="shared" si="89"/>
        <v>5.1543070412288117</v>
      </c>
      <c r="AD28" s="74">
        <f t="shared" si="60"/>
        <v>0.92675540642176757</v>
      </c>
      <c r="AE28" s="77">
        <f t="shared" si="61"/>
        <v>4.4465784125209851</v>
      </c>
      <c r="AF28" s="72">
        <v>19205</v>
      </c>
      <c r="AG28" s="72">
        <v>1885</v>
      </c>
      <c r="AH28" s="72">
        <f t="shared" si="4"/>
        <v>21090</v>
      </c>
      <c r="AI28" s="72">
        <v>19375</v>
      </c>
      <c r="AJ28" s="72">
        <v>2125</v>
      </c>
      <c r="AK28" s="72">
        <v>21500</v>
      </c>
      <c r="AL28" s="72">
        <f t="shared" si="5"/>
        <v>19290</v>
      </c>
      <c r="AM28" s="72">
        <f t="shared" si="6"/>
        <v>2005</v>
      </c>
      <c r="AN28" s="72">
        <f t="shared" si="7"/>
        <v>21295</v>
      </c>
      <c r="AO28" s="74">
        <f t="shared" si="8"/>
        <v>0.38612271374945273</v>
      </c>
      <c r="AP28" s="74">
        <f t="shared" si="9"/>
        <v>0.38337242759936546</v>
      </c>
      <c r="AQ28" s="74">
        <f t="shared" si="62"/>
        <v>1.0291856454561505</v>
      </c>
      <c r="AR28" s="67">
        <v>1911521</v>
      </c>
      <c r="AS28" s="72">
        <v>449572.87599999999</v>
      </c>
      <c r="AT28" s="77">
        <f t="shared" si="63"/>
        <v>6.5667951027308824</v>
      </c>
      <c r="AU28" s="72">
        <v>671351.18099999998</v>
      </c>
      <c r="AV28" s="72">
        <f t="shared" si="10"/>
        <v>671.351181</v>
      </c>
      <c r="AW28" s="78">
        <f t="shared" si="11"/>
        <v>12.056927436586976</v>
      </c>
      <c r="AX28" s="74">
        <f t="shared" si="64"/>
        <v>3.2091105412644705E-2</v>
      </c>
      <c r="AY28" s="78">
        <f t="shared" si="65"/>
        <v>32.446348839879498</v>
      </c>
      <c r="AZ28" s="74">
        <f t="shared" si="66"/>
        <v>2.5337972506494832E-2</v>
      </c>
      <c r="BA28" s="79">
        <f t="shared" si="67"/>
        <v>0.13684985330746036</v>
      </c>
      <c r="BB28" s="80">
        <v>520851.3</v>
      </c>
      <c r="BC28" s="81">
        <f t="shared" si="12"/>
        <v>777796.31150601059</v>
      </c>
      <c r="BD28" s="82">
        <f t="shared" si="68"/>
        <v>2.5700210873789597</v>
      </c>
      <c r="BE28" s="81">
        <f t="shared" si="13"/>
        <v>13968.596397349556</v>
      </c>
      <c r="BF28" s="81">
        <f t="shared" si="14"/>
        <v>37590.83347690662</v>
      </c>
      <c r="BG28" s="72">
        <v>817.85378200000014</v>
      </c>
      <c r="BH28" s="77">
        <f t="shared" si="103"/>
        <v>7.5403560430195693</v>
      </c>
      <c r="BI28" s="130">
        <f t="shared" si="15"/>
        <v>1248.1558181422458</v>
      </c>
      <c r="BJ28" s="77">
        <f t="shared" si="91"/>
        <v>2.3512436610243048</v>
      </c>
      <c r="BK28" s="83">
        <f t="shared" si="16"/>
        <v>22.415874962011735</v>
      </c>
      <c r="BL28" s="83">
        <f t="shared" si="17"/>
        <v>60.323270783027787</v>
      </c>
      <c r="BM28" s="81">
        <v>19242.039000000001</v>
      </c>
      <c r="BN28" s="81">
        <f t="shared" si="18"/>
        <v>10066.34978114287</v>
      </c>
      <c r="BO28" s="82">
        <v>83.602000000000004</v>
      </c>
      <c r="BP28" s="82">
        <f t="shared" si="19"/>
        <v>124.84432166056895</v>
      </c>
      <c r="BQ28" s="81">
        <f t="shared" si="20"/>
        <v>12040.800197534592</v>
      </c>
      <c r="BR28" s="82">
        <v>58.567999999999998</v>
      </c>
      <c r="BS28" s="82">
        <f t="shared" si="21"/>
        <v>87.460613753453288</v>
      </c>
      <c r="BT28" s="82">
        <v>62.575000000000003</v>
      </c>
      <c r="BU28" s="82">
        <f t="shared" si="22"/>
        <v>93.444336593742989</v>
      </c>
      <c r="BV28" s="82">
        <v>48.509</v>
      </c>
      <c r="BW28" s="82">
        <f t="shared" si="23"/>
        <v>72.439333980437539</v>
      </c>
      <c r="BX28" s="82">
        <f t="shared" si="24"/>
        <v>104.27558039552879</v>
      </c>
      <c r="BY28" s="84">
        <v>66.965000000000003</v>
      </c>
      <c r="BZ28" s="77">
        <v>65.524974535414415</v>
      </c>
      <c r="CA28" s="78">
        <v>0.79243574580450471</v>
      </c>
      <c r="CB28" s="78">
        <v>0.6250409706733826</v>
      </c>
      <c r="CC28" s="86">
        <f t="shared" si="25"/>
        <v>0.76208932458190359</v>
      </c>
      <c r="CD28" s="86">
        <f t="shared" si="92"/>
        <v>-5.4674309183010084E-2</v>
      </c>
      <c r="CE28" s="86">
        <f t="shared" si="69"/>
        <v>-9.5772245471348549E-2</v>
      </c>
      <c r="CF28" s="86">
        <f t="shared" si="26"/>
        <v>1.1833580912484203</v>
      </c>
      <c r="CG28" s="86">
        <f t="shared" si="70"/>
        <v>-7.5460634865220477E-2</v>
      </c>
      <c r="CH28" s="86">
        <f t="shared" si="27"/>
        <v>0.93338456010361015</v>
      </c>
      <c r="CI28" s="86">
        <f t="shared" si="93"/>
        <v>-9.8314682968836609E-2</v>
      </c>
      <c r="CJ28" s="86">
        <f t="shared" si="28"/>
        <v>1.1380412522689518</v>
      </c>
      <c r="CK28" s="86">
        <f t="shared" si="94"/>
        <v>-7.9519724188429342E-2</v>
      </c>
      <c r="CL28" s="87">
        <v>864</v>
      </c>
      <c r="CM28" s="77">
        <f t="shared" si="71"/>
        <v>56.84210526315789</v>
      </c>
      <c r="CN28" s="77">
        <f t="shared" si="29"/>
        <v>84.883305104394665</v>
      </c>
      <c r="CO28" s="77">
        <f t="shared" si="72"/>
        <v>122.18853237996106</v>
      </c>
      <c r="CP28" s="74">
        <v>0.5708189286020946</v>
      </c>
      <c r="CQ28" s="74">
        <f t="shared" si="73"/>
        <v>4.5396769603620379E-2</v>
      </c>
      <c r="CR28" s="139">
        <f t="shared" si="30"/>
        <v>0.260470659783202</v>
      </c>
      <c r="CS28" s="74">
        <v>4.6442974315012098E-2</v>
      </c>
      <c r="CT28" s="77">
        <f t="shared" si="74"/>
        <v>26.047065978320198</v>
      </c>
      <c r="CU28" s="77">
        <f t="shared" si="31"/>
        <v>38.896536964563872</v>
      </c>
      <c r="CV28" s="78">
        <f t="shared" si="32"/>
        <v>178.59977027247552</v>
      </c>
      <c r="CW28" s="74">
        <f t="shared" si="75"/>
        <v>-0.16616337855485241</v>
      </c>
      <c r="CX28" s="88">
        <f t="shared" si="76"/>
        <v>55.991113452966886</v>
      </c>
      <c r="CY28" s="77">
        <f t="shared" si="33"/>
        <v>69.469125662659593</v>
      </c>
      <c r="CZ28" s="89">
        <v>46.52</v>
      </c>
      <c r="DA28" s="74">
        <f t="shared" si="77"/>
        <v>-0.13261470001927611</v>
      </c>
      <c r="DB28" s="125">
        <v>42.749000000000002</v>
      </c>
      <c r="DC28" s="125">
        <v>45.603999999999999</v>
      </c>
      <c r="DD28" s="74">
        <f t="shared" si="78"/>
        <v>1.1630516913364317</v>
      </c>
      <c r="DE28" s="74">
        <f t="shared" si="79"/>
        <v>1.1605068137316146</v>
      </c>
      <c r="DF28" s="75">
        <f t="shared" si="34"/>
        <v>1.1380412522689518</v>
      </c>
      <c r="DG28" s="75">
        <f t="shared" si="35"/>
        <v>1.1355511000961542</v>
      </c>
      <c r="DH28" s="74">
        <f t="shared" si="80"/>
        <v>-9.8314682968836609E-2</v>
      </c>
      <c r="DI28" s="75">
        <f t="shared" si="95"/>
        <v>-0.12964281258867572</v>
      </c>
      <c r="DJ28" s="77">
        <f t="shared" si="96"/>
        <v>-8.2859706228346486</v>
      </c>
      <c r="DK28" s="75">
        <f t="shared" si="36"/>
        <v>1.1355511000961542</v>
      </c>
      <c r="DL28" s="77">
        <f t="shared" si="97"/>
        <v>8.2026769544561038</v>
      </c>
      <c r="DM28" s="72">
        <v>20674.2353</v>
      </c>
      <c r="DN28" s="72">
        <v>26778.2549</v>
      </c>
      <c r="DO28" s="97">
        <v>20674.2353</v>
      </c>
      <c r="DP28" s="92">
        <f t="shared" si="98"/>
        <v>256.43099000000439</v>
      </c>
      <c r="DQ28" s="72">
        <v>26778.2549</v>
      </c>
      <c r="DR28" s="72">
        <v>20602.653536643738</v>
      </c>
      <c r="DS28" s="72">
        <v>26696.174283667126</v>
      </c>
      <c r="DT28" s="72">
        <v>29910</v>
      </c>
      <c r="DU28" s="72">
        <v>1175.8800000000001</v>
      </c>
      <c r="DV28" s="72">
        <v>10771</v>
      </c>
      <c r="DW28" s="93">
        <v>1.7190000000000001</v>
      </c>
      <c r="DX28" s="67">
        <v>6.84</v>
      </c>
      <c r="DY28" s="67">
        <v>6.01</v>
      </c>
      <c r="EB28" s="72">
        <v>13130</v>
      </c>
      <c r="EC28" s="78">
        <v>8.6453551800086448</v>
      </c>
      <c r="ED28" s="72">
        <f t="shared" si="37"/>
        <v>21500</v>
      </c>
      <c r="EE28" s="72">
        <f t="shared" si="38"/>
        <v>24405.405405405403</v>
      </c>
      <c r="EF28" s="72">
        <f t="shared" si="39"/>
        <v>282295000000</v>
      </c>
      <c r="EG28" s="74">
        <f t="shared" si="81"/>
        <v>0.76208932458190359</v>
      </c>
      <c r="EH28" s="74">
        <f t="shared" si="104"/>
        <v>6.5885328899034494</v>
      </c>
      <c r="EI28" s="75">
        <f t="shared" si="41"/>
        <v>1.1380412522689518</v>
      </c>
      <c r="EJ28" s="75">
        <f t="shared" si="42"/>
        <v>6.5885328899034494</v>
      </c>
      <c r="EK28" s="78">
        <f t="shared" si="43"/>
        <v>9.8387708353669066</v>
      </c>
      <c r="EL28" s="72">
        <f t="shared" si="44"/>
        <v>5069.7912315303138</v>
      </c>
      <c r="EM28" s="72">
        <f t="shared" si="45"/>
        <v>13643.294753887956</v>
      </c>
      <c r="EN28" s="72">
        <f t="shared" si="46"/>
        <v>270.2650894020266</v>
      </c>
      <c r="EO28" s="72">
        <f t="shared" si="47"/>
        <v>208.575878357471</v>
      </c>
      <c r="EP28" s="75">
        <f t="shared" si="48"/>
        <v>8.4804902672735966E-2</v>
      </c>
      <c r="EQ28" s="77">
        <f t="shared" si="82"/>
        <v>11.791771094402673</v>
      </c>
      <c r="ER28" s="78">
        <v>22.105</v>
      </c>
      <c r="ES28" s="74">
        <f t="shared" si="102"/>
        <v>8.1987273617229572E-2</v>
      </c>
      <c r="ET28" s="95">
        <f t="shared" si="99"/>
        <v>33.009781229000225</v>
      </c>
      <c r="EU28" s="74">
        <f t="shared" si="102"/>
        <v>5.3550066097385995E-2</v>
      </c>
      <c r="EV28" s="77">
        <f t="shared" si="100"/>
        <v>29.005786181465297</v>
      </c>
      <c r="EW28" s="74">
        <f t="shared" si="101"/>
        <v>0.14456560752319247</v>
      </c>
      <c r="EX28" s="78">
        <v>4.041666666666667</v>
      </c>
      <c r="EY28" s="78">
        <v>3.4526285371050629</v>
      </c>
      <c r="EZ28" s="173">
        <f t="shared" si="105"/>
        <v>2.3197431560573012</v>
      </c>
      <c r="FA28" s="72">
        <f t="shared" si="83"/>
        <v>13.243637125601039</v>
      </c>
      <c r="FB28" s="78">
        <f t="shared" si="84"/>
        <v>1.9082657804328289</v>
      </c>
      <c r="FC28" s="78">
        <f t="shared" si="85"/>
        <v>1.9082657804328289</v>
      </c>
      <c r="FD28" s="78">
        <f t="shared" si="86"/>
        <v>52.403601754739952</v>
      </c>
      <c r="FE28" s="72">
        <f t="shared" si="87"/>
        <v>372.91816819695975</v>
      </c>
    </row>
    <row r="29" spans="1:161" s="67" customFormat="1" x14ac:dyDescent="0.2">
      <c r="A29" s="68">
        <v>1987</v>
      </c>
      <c r="B29" s="72">
        <v>55681.78</v>
      </c>
      <c r="C29" s="72">
        <v>55966.142</v>
      </c>
      <c r="D29" s="72">
        <v>55823.961000000003</v>
      </c>
      <c r="E29" s="72">
        <v>55823.961000000003</v>
      </c>
      <c r="F29" s="117">
        <v>73.8</v>
      </c>
      <c r="G29" s="72">
        <f t="shared" si="50"/>
        <v>41198.083218</v>
      </c>
      <c r="H29" s="72">
        <v>20926.519597751914</v>
      </c>
      <c r="I29" s="73">
        <v>74.8</v>
      </c>
      <c r="J29" s="73"/>
      <c r="K29" s="67">
        <f t="shared" si="51"/>
        <v>200</v>
      </c>
      <c r="L29" s="67">
        <v>19800</v>
      </c>
      <c r="M29" s="67">
        <f t="shared" si="52"/>
        <v>510</v>
      </c>
      <c r="N29" s="67">
        <v>4850</v>
      </c>
      <c r="O29" s="67">
        <f t="shared" si="0"/>
        <v>24650</v>
      </c>
      <c r="P29" s="74">
        <f t="shared" si="53"/>
        <v>0.80324543610547672</v>
      </c>
      <c r="Q29" s="74">
        <f t="shared" si="54"/>
        <v>0.19675456389452334</v>
      </c>
      <c r="R29" s="77">
        <f t="shared" si="55"/>
        <v>1.0204081632652962</v>
      </c>
      <c r="S29" s="77">
        <f t="shared" si="56"/>
        <v>11.751152073732719</v>
      </c>
      <c r="T29" s="77">
        <f t="shared" si="57"/>
        <v>2.9226200358872134</v>
      </c>
      <c r="U29" s="67">
        <f t="shared" si="58"/>
        <v>710</v>
      </c>
      <c r="V29" s="75">
        <f t="shared" si="1"/>
        <v>0.44044486754152179</v>
      </c>
      <c r="W29" s="77">
        <f t="shared" si="88"/>
        <v>2.4132283521173914</v>
      </c>
      <c r="X29" s="74">
        <f t="shared" si="59"/>
        <v>1.1779311836760513</v>
      </c>
      <c r="Y29" s="77">
        <f t="shared" si="88"/>
        <v>1.7913414791299043</v>
      </c>
      <c r="Z29" s="72">
        <f t="shared" si="2"/>
        <v>19764.802000000003</v>
      </c>
      <c r="AA29" s="77">
        <f t="shared" si="89"/>
        <v>3.0726437613125768</v>
      </c>
      <c r="AB29" s="74">
        <f t="shared" si="3"/>
        <v>0.35315641374744045</v>
      </c>
      <c r="AC29" s="77">
        <f t="shared" si="89"/>
        <v>2.5489352819027644</v>
      </c>
      <c r="AD29" s="74">
        <f t="shared" si="60"/>
        <v>0.94448586673358181</v>
      </c>
      <c r="AE29" s="77">
        <f t="shared" si="61"/>
        <v>1.9131758162892254</v>
      </c>
      <c r="AF29" s="72">
        <v>19375</v>
      </c>
      <c r="AG29" s="72">
        <v>2125</v>
      </c>
      <c r="AH29" s="72">
        <f t="shared" si="4"/>
        <v>21500</v>
      </c>
      <c r="AI29" s="72">
        <v>19580</v>
      </c>
      <c r="AJ29" s="72">
        <v>2390</v>
      </c>
      <c r="AK29" s="72">
        <v>21970</v>
      </c>
      <c r="AL29" s="72">
        <f t="shared" si="5"/>
        <v>19477.5</v>
      </c>
      <c r="AM29" s="72">
        <f t="shared" si="6"/>
        <v>2257.5</v>
      </c>
      <c r="AN29" s="72">
        <f t="shared" si="7"/>
        <v>21735</v>
      </c>
      <c r="AO29" s="74">
        <f t="shared" si="8"/>
        <v>0.39255877240921844</v>
      </c>
      <c r="AP29" s="74">
        <f t="shared" si="9"/>
        <v>0.38934893924850655</v>
      </c>
      <c r="AQ29" s="74">
        <f t="shared" si="62"/>
        <v>1.0386342505963073</v>
      </c>
      <c r="AR29" s="67">
        <v>2105180</v>
      </c>
      <c r="AS29" s="72">
        <v>478272.73599999998</v>
      </c>
      <c r="AT29" s="77">
        <f t="shared" si="63"/>
        <v>6.3838059482930198</v>
      </c>
      <c r="AU29" s="72">
        <v>693417.21900000004</v>
      </c>
      <c r="AV29" s="72">
        <f t="shared" si="10"/>
        <v>693.41721900000005</v>
      </c>
      <c r="AW29" s="78">
        <f t="shared" si="11"/>
        <v>12.389941386347482</v>
      </c>
      <c r="AX29" s="74">
        <f t="shared" si="64"/>
        <v>2.724557915409509E-2</v>
      </c>
      <c r="AY29" s="78">
        <f t="shared" si="65"/>
        <v>33.135811990183605</v>
      </c>
      <c r="AZ29" s="74">
        <f t="shared" si="66"/>
        <v>2.102671042422033E-2</v>
      </c>
      <c r="BA29" s="79">
        <f t="shared" si="67"/>
        <v>0.1202446753190376</v>
      </c>
      <c r="BB29" s="80">
        <v>543642.9</v>
      </c>
      <c r="BC29" s="81">
        <f t="shared" si="12"/>
        <v>788196.68565960589</v>
      </c>
      <c r="BD29" s="82">
        <f t="shared" si="68"/>
        <v>1.3371590993350946</v>
      </c>
      <c r="BE29" s="81">
        <f t="shared" si="13"/>
        <v>14083.45577330676</v>
      </c>
      <c r="BF29" s="81">
        <f t="shared" si="14"/>
        <v>37664.967744769172</v>
      </c>
      <c r="BG29" s="72">
        <v>859.82671200000004</v>
      </c>
      <c r="BH29" s="77">
        <f t="shared" si="103"/>
        <v>5.1320823995406828</v>
      </c>
      <c r="BI29" s="130">
        <f t="shared" si="15"/>
        <v>1280.3254681870656</v>
      </c>
      <c r="BJ29" s="77">
        <f t="shared" si="91"/>
        <v>2.5773745214520583</v>
      </c>
      <c r="BK29" s="83">
        <f t="shared" si="16"/>
        <v>22.876786257431601</v>
      </c>
      <c r="BL29" s="83">
        <f t="shared" si="17"/>
        <v>61.181959198060241</v>
      </c>
      <c r="BM29" s="81">
        <v>21831.074000000001</v>
      </c>
      <c r="BN29" s="81">
        <f t="shared" si="18"/>
        <v>10370.169771705983</v>
      </c>
      <c r="BO29" s="82">
        <v>85.930999999999997</v>
      </c>
      <c r="BP29" s="82">
        <f t="shared" si="19"/>
        <v>124.58643237208763</v>
      </c>
      <c r="BQ29" s="81">
        <f t="shared" si="20"/>
        <v>12068.019424545253</v>
      </c>
      <c r="BR29" s="82">
        <v>60.584000000000003</v>
      </c>
      <c r="BS29" s="82">
        <f t="shared" si="21"/>
        <v>87.837269656242313</v>
      </c>
      <c r="BT29" s="82">
        <v>64.415999999999997</v>
      </c>
      <c r="BU29" s="82">
        <f t="shared" si="22"/>
        <v>93.39306685224652</v>
      </c>
      <c r="BV29" s="82">
        <v>51.231999999999999</v>
      </c>
      <c r="BW29" s="82">
        <f t="shared" si="23"/>
        <v>74.278340800023201</v>
      </c>
      <c r="BX29" s="82">
        <f t="shared" si="24"/>
        <v>109.09942715986284</v>
      </c>
      <c r="BY29" s="84">
        <v>68.972999999999999</v>
      </c>
      <c r="BZ29" s="77">
        <v>67.156885757924542</v>
      </c>
      <c r="CA29" s="78">
        <v>0.71495512472825051</v>
      </c>
      <c r="CB29" s="78">
        <v>0.48631236498733893</v>
      </c>
      <c r="CC29" s="86">
        <f t="shared" si="25"/>
        <v>0.6699686182477872</v>
      </c>
      <c r="CD29" s="86">
        <f t="shared" si="92"/>
        <v>-0.12087914547898371</v>
      </c>
      <c r="CE29" s="86">
        <f t="shared" si="69"/>
        <v>-0.1467856285046647</v>
      </c>
      <c r="CF29" s="86">
        <f t="shared" si="26"/>
        <v>1.0365724627437556</v>
      </c>
      <c r="CG29" s="86">
        <f t="shared" si="70"/>
        <v>-0.22830813166445429</v>
      </c>
      <c r="CH29" s="86">
        <f t="shared" si="27"/>
        <v>0.70507642843915586</v>
      </c>
      <c r="CI29" s="86">
        <f t="shared" si="93"/>
        <v>-0.16669214718756165</v>
      </c>
      <c r="CJ29" s="86">
        <f t="shared" si="28"/>
        <v>0.97134910508139016</v>
      </c>
      <c r="CK29" s="86">
        <f t="shared" si="94"/>
        <v>-0.14647285136212929</v>
      </c>
      <c r="CL29" s="87">
        <v>889.5</v>
      </c>
      <c r="CM29" s="77">
        <f t="shared" si="71"/>
        <v>58.51973684210526</v>
      </c>
      <c r="CN29" s="77">
        <f t="shared" si="29"/>
        <v>84.844412802263577</v>
      </c>
      <c r="CO29" s="77">
        <f t="shared" si="72"/>
        <v>124.61878839435519</v>
      </c>
      <c r="CP29" s="74">
        <v>0.61139526211241757</v>
      </c>
      <c r="CQ29" s="74">
        <f t="shared" si="73"/>
        <v>6.8671613598834336E-2</v>
      </c>
      <c r="CR29" s="139">
        <f t="shared" si="30"/>
        <v>0.27315687763518165</v>
      </c>
      <c r="CS29" s="74">
        <v>7.1084421831792088E-2</v>
      </c>
      <c r="CT29" s="77">
        <f t="shared" si="74"/>
        <v>27.315687763518167</v>
      </c>
      <c r="CU29" s="77">
        <f t="shared" si="31"/>
        <v>39.603450282745669</v>
      </c>
      <c r="CV29" s="78">
        <f t="shared" si="32"/>
        <v>171.91220080761329</v>
      </c>
      <c r="CW29" s="74">
        <f t="shared" si="75"/>
        <v>-3.8163496109912209E-2</v>
      </c>
      <c r="CX29" s="88">
        <f t="shared" si="76"/>
        <v>58.16922797231237</v>
      </c>
      <c r="CY29" s="77">
        <f t="shared" si="33"/>
        <v>68.083162976817022</v>
      </c>
      <c r="CZ29" s="89">
        <v>46.959000000000003</v>
      </c>
      <c r="DA29" s="74">
        <f t="shared" si="77"/>
        <v>9.3925529237317562E-3</v>
      </c>
      <c r="DB29" s="125">
        <v>41.725999999999999</v>
      </c>
      <c r="DC29" s="125">
        <v>46.11</v>
      </c>
      <c r="DD29" s="74">
        <f t="shared" si="78"/>
        <v>0.99761716268793876</v>
      </c>
      <c r="DE29" s="74">
        <f t="shared" si="79"/>
        <v>0.99400951846285057</v>
      </c>
      <c r="DF29" s="75">
        <f t="shared" si="34"/>
        <v>0.97134910508139016</v>
      </c>
      <c r="DG29" s="75">
        <f t="shared" si="35"/>
        <v>0.9678364530134872</v>
      </c>
      <c r="DH29" s="74">
        <f t="shared" si="80"/>
        <v>-0.16669214718756165</v>
      </c>
      <c r="DI29" s="75">
        <f t="shared" si="95"/>
        <v>-0.16543452864849295</v>
      </c>
      <c r="DJ29" s="77">
        <f t="shared" si="96"/>
        <v>-15.83779286561364</v>
      </c>
      <c r="DK29" s="75">
        <f t="shared" si="36"/>
        <v>0.9678364530134872</v>
      </c>
      <c r="DL29" s="77">
        <f t="shared" si="97"/>
        <v>7.5230550428909311</v>
      </c>
      <c r="DM29" s="72">
        <v>20936.297500000001</v>
      </c>
      <c r="DN29" s="72">
        <v>27134.259099999999</v>
      </c>
      <c r="DO29" s="97">
        <v>20936.297500000001</v>
      </c>
      <c r="DP29" s="92">
        <f t="shared" si="98"/>
        <v>262.0622000000003</v>
      </c>
      <c r="DQ29" s="72">
        <v>27134.259099999999</v>
      </c>
      <c r="DR29" s="72">
        <v>20892.941320706952</v>
      </c>
      <c r="DS29" s="72">
        <v>27086.676931727965</v>
      </c>
      <c r="DT29" s="72">
        <v>30035.9</v>
      </c>
      <c r="DU29" s="72">
        <v>1243.95</v>
      </c>
      <c r="DV29" s="72">
        <v>11347</v>
      </c>
      <c r="DW29" s="99">
        <v>1.81</v>
      </c>
      <c r="DX29" s="78">
        <v>6.77</v>
      </c>
      <c r="DY29" s="78">
        <v>6.01</v>
      </c>
      <c r="DZ29" s="67">
        <v>8.82</v>
      </c>
      <c r="EA29" s="67">
        <v>7.12</v>
      </c>
      <c r="EB29" s="72">
        <v>13270</v>
      </c>
      <c r="EC29" s="78">
        <v>8.6398766232628237</v>
      </c>
      <c r="ED29" s="72">
        <f t="shared" si="37"/>
        <v>21970</v>
      </c>
      <c r="EE29" s="72">
        <f t="shared" si="38"/>
        <v>25188.860465116275</v>
      </c>
      <c r="EF29" s="72">
        <f t="shared" si="39"/>
        <v>291541900000</v>
      </c>
      <c r="EG29" s="74">
        <f t="shared" si="81"/>
        <v>0.6699686182477872</v>
      </c>
      <c r="EH29" s="74">
        <f t="shared" si="104"/>
        <v>5.7884462031187516</v>
      </c>
      <c r="EI29" s="75">
        <f t="shared" si="41"/>
        <v>0.97134910508139016</v>
      </c>
      <c r="EJ29" s="75">
        <f t="shared" si="42"/>
        <v>5.7884462031187516</v>
      </c>
      <c r="EK29" s="78">
        <f t="shared" si="43"/>
        <v>8.3923364260199662</v>
      </c>
      <c r="EL29" s="72">
        <f t="shared" si="44"/>
        <v>5209.2549098703284</v>
      </c>
      <c r="EM29" s="72">
        <f t="shared" si="45"/>
        <v>13931.695552055375</v>
      </c>
      <c r="EN29" s="72">
        <f t="shared" si="46"/>
        <v>267.87105339032411</v>
      </c>
      <c r="EO29" s="72">
        <f t="shared" si="47"/>
        <v>206.61870830837907</v>
      </c>
      <c r="EP29" s="75">
        <f t="shared" si="48"/>
        <v>8.4550453982772292E-2</v>
      </c>
      <c r="EQ29" s="77">
        <f t="shared" si="82"/>
        <v>11.827257606490871</v>
      </c>
      <c r="ER29" s="78">
        <v>23.934999999999999</v>
      </c>
      <c r="ES29" s="74">
        <f t="shared" si="102"/>
        <v>8.2786699841664646E-2</v>
      </c>
      <c r="ET29" s="95">
        <f t="shared" si="99"/>
        <v>34.701984834645444</v>
      </c>
      <c r="EU29" s="74">
        <f t="shared" si="102"/>
        <v>5.1263702534282807E-2</v>
      </c>
      <c r="EV29" s="77">
        <f t="shared" si="100"/>
        <v>35.725553926091003</v>
      </c>
      <c r="EW29" s="74">
        <f t="shared" si="101"/>
        <v>0.23166990553490452</v>
      </c>
      <c r="EX29" s="78">
        <v>4.203333333333334</v>
      </c>
      <c r="EY29" s="78">
        <v>3.5561336937635639</v>
      </c>
      <c r="EZ29" s="173">
        <f t="shared" si="105"/>
        <v>2.3892859337395245</v>
      </c>
      <c r="FA29" s="72">
        <f t="shared" si="83"/>
        <v>11.303882406154518</v>
      </c>
      <c r="FB29" s="78">
        <f t="shared" si="84"/>
        <v>1.6277358225507725</v>
      </c>
      <c r="FC29" s="78">
        <f t="shared" si="85"/>
        <v>1.6277358225507725</v>
      </c>
      <c r="FD29" s="78">
        <f t="shared" si="86"/>
        <v>61.435030558763039</v>
      </c>
      <c r="FE29" s="72">
        <f t="shared" si="87"/>
        <v>321.48802297247278</v>
      </c>
    </row>
    <row r="30" spans="1:161" s="67" customFormat="1" x14ac:dyDescent="0.2">
      <c r="A30" s="68">
        <v>1988</v>
      </c>
      <c r="B30" s="72">
        <v>55966.142</v>
      </c>
      <c r="C30" s="72">
        <v>56269.81</v>
      </c>
      <c r="D30" s="72">
        <v>56117.976000000002</v>
      </c>
      <c r="E30" s="72">
        <v>56117.976000000002</v>
      </c>
      <c r="F30" s="117">
        <v>73.875</v>
      </c>
      <c r="G30" s="72">
        <f t="shared" si="50"/>
        <v>41457.154770000001</v>
      </c>
      <c r="H30" s="72">
        <v>21157.832804284528</v>
      </c>
      <c r="I30" s="73">
        <v>74.599999999999994</v>
      </c>
      <c r="J30" s="73"/>
      <c r="K30" s="67">
        <f t="shared" si="51"/>
        <v>380</v>
      </c>
      <c r="L30" s="67">
        <v>20180</v>
      </c>
      <c r="M30" s="67">
        <f t="shared" si="52"/>
        <v>400</v>
      </c>
      <c r="N30" s="67">
        <v>5250</v>
      </c>
      <c r="O30" s="67">
        <f t="shared" si="0"/>
        <v>25430</v>
      </c>
      <c r="P30" s="74">
        <f t="shared" si="53"/>
        <v>0.7935509241053873</v>
      </c>
      <c r="Q30" s="74">
        <f t="shared" si="54"/>
        <v>0.20644907589461267</v>
      </c>
      <c r="R30" s="77">
        <f t="shared" si="55"/>
        <v>1.9191919191919204</v>
      </c>
      <c r="S30" s="77">
        <f t="shared" si="56"/>
        <v>8.2474226804123631</v>
      </c>
      <c r="T30" s="77">
        <f t="shared" si="57"/>
        <v>3.1152678945328915</v>
      </c>
      <c r="U30" s="67">
        <f t="shared" si="58"/>
        <v>780</v>
      </c>
      <c r="V30" s="75">
        <f t="shared" si="1"/>
        <v>0.45192972928111896</v>
      </c>
      <c r="W30" s="77">
        <f t="shared" si="88"/>
        <v>2.5741422826747962</v>
      </c>
      <c r="X30" s="74">
        <f t="shared" si="59"/>
        <v>1.201918941095439</v>
      </c>
      <c r="Y30" s="77">
        <f t="shared" si="88"/>
        <v>2.0159731555457001</v>
      </c>
      <c r="Z30" s="72">
        <f t="shared" si="2"/>
        <v>20403.4732</v>
      </c>
      <c r="AA30" s="77">
        <f t="shared" si="89"/>
        <v>3.2313564284630614</v>
      </c>
      <c r="AB30" s="74">
        <f t="shared" si="3"/>
        <v>0.36260071253128456</v>
      </c>
      <c r="AC30" s="77">
        <f t="shared" si="89"/>
        <v>2.6742537912954889</v>
      </c>
      <c r="AD30" s="74">
        <f t="shared" si="60"/>
        <v>0.96434608349245643</v>
      </c>
      <c r="AE30" s="77">
        <f t="shared" si="61"/>
        <v>2.102754255874606</v>
      </c>
      <c r="AF30" s="72">
        <v>19580</v>
      </c>
      <c r="AG30" s="72">
        <v>2390</v>
      </c>
      <c r="AH30" s="72">
        <f t="shared" si="4"/>
        <v>21970</v>
      </c>
      <c r="AI30" s="72">
        <v>19720</v>
      </c>
      <c r="AJ30" s="72">
        <v>2800</v>
      </c>
      <c r="AK30" s="72">
        <v>22520</v>
      </c>
      <c r="AL30" s="72">
        <f t="shared" si="5"/>
        <v>19650</v>
      </c>
      <c r="AM30" s="72">
        <f t="shared" si="6"/>
        <v>2595</v>
      </c>
      <c r="AN30" s="72">
        <f t="shared" si="7"/>
        <v>22245</v>
      </c>
      <c r="AO30" s="74">
        <f t="shared" si="8"/>
        <v>0.40021460886397164</v>
      </c>
      <c r="AP30" s="74">
        <f t="shared" si="9"/>
        <v>0.39639704753428739</v>
      </c>
      <c r="AQ30" s="74">
        <f t="shared" si="62"/>
        <v>1.0513836745838787</v>
      </c>
      <c r="AR30" s="67">
        <v>2217149</v>
      </c>
      <c r="AS30" s="72">
        <v>507385.72</v>
      </c>
      <c r="AT30" s="77">
        <f t="shared" si="63"/>
        <v>6.0871092597676313</v>
      </c>
      <c r="AU30" s="72">
        <v>716354.21</v>
      </c>
      <c r="AV30" s="72">
        <f t="shared" si="10"/>
        <v>716.35420999999997</v>
      </c>
      <c r="AW30" s="78">
        <f t="shared" si="11"/>
        <v>12.730702485044823</v>
      </c>
      <c r="AX30" s="74">
        <f t="shared" si="64"/>
        <v>2.7131629567965998E-2</v>
      </c>
      <c r="AY30" s="78">
        <f t="shared" si="65"/>
        <v>33.857636395299238</v>
      </c>
      <c r="AZ30" s="74">
        <f t="shared" si="66"/>
        <v>2.1549938296674398E-2</v>
      </c>
      <c r="BA30" s="79">
        <f t="shared" si="67"/>
        <v>0.12142491781091869</v>
      </c>
      <c r="BB30" s="80">
        <v>577509.80000000005</v>
      </c>
      <c r="BC30" s="81">
        <f t="shared" si="12"/>
        <v>815357.83365570614</v>
      </c>
      <c r="BD30" s="82">
        <f t="shared" si="68"/>
        <v>3.4459860705161827</v>
      </c>
      <c r="BE30" s="81">
        <f t="shared" si="13"/>
        <v>14490.147268236844</v>
      </c>
      <c r="BF30" s="81">
        <f t="shared" si="14"/>
        <v>38536.925837252747</v>
      </c>
      <c r="BG30" s="72">
        <v>929.44353300000012</v>
      </c>
      <c r="BH30" s="77">
        <f t="shared" si="103"/>
        <v>8.0966106342599922</v>
      </c>
      <c r="BI30" s="130">
        <f t="shared" si="15"/>
        <v>1340.9352381914719</v>
      </c>
      <c r="BJ30" s="77">
        <f t="shared" si="91"/>
        <v>4.7339345744820127</v>
      </c>
      <c r="BK30" s="83">
        <f t="shared" si="16"/>
        <v>23.830456121879067</v>
      </c>
      <c r="BL30" s="83">
        <f t="shared" si="17"/>
        <v>63.377721650202673</v>
      </c>
      <c r="BM30" s="81">
        <v>23354.18</v>
      </c>
      <c r="BN30" s="81">
        <f t="shared" si="18"/>
        <v>10533.428290114918</v>
      </c>
      <c r="BO30" s="82">
        <v>86.968000000000004</v>
      </c>
      <c r="BP30" s="82">
        <f t="shared" si="19"/>
        <v>122.78586454700761</v>
      </c>
      <c r="BQ30" s="81">
        <f t="shared" si="20"/>
        <v>12111.843770254482</v>
      </c>
      <c r="BR30" s="82">
        <v>61.753999999999998</v>
      </c>
      <c r="BS30" s="82">
        <f t="shared" si="21"/>
        <v>87.187451467619198</v>
      </c>
      <c r="BT30" s="82">
        <v>66.608000000000004</v>
      </c>
      <c r="BU30" s="82">
        <f t="shared" si="22"/>
        <v>94.040576599980241</v>
      </c>
      <c r="BV30" s="82">
        <v>54.298000000000002</v>
      </c>
      <c r="BW30" s="82">
        <f t="shared" si="23"/>
        <v>76.660689830436695</v>
      </c>
      <c r="BX30" s="82">
        <f t="shared" si="24"/>
        <v>114.53582804227226</v>
      </c>
      <c r="BY30" s="84">
        <v>70.828999999999994</v>
      </c>
      <c r="BZ30" s="77">
        <v>69.313081387401439</v>
      </c>
      <c r="CA30" s="78">
        <v>0.72014815887738004</v>
      </c>
      <c r="CB30" s="78">
        <v>0.48262818040410177</v>
      </c>
      <c r="CC30" s="86">
        <f t="shared" si="25"/>
        <v>0.67111237881506336</v>
      </c>
      <c r="CD30" s="86">
        <f t="shared" si="92"/>
        <v>1.7071852861818559E-3</v>
      </c>
      <c r="CE30" s="86">
        <f t="shared" si="69"/>
        <v>-1.9830508350244358E-2</v>
      </c>
      <c r="CF30" s="86">
        <f t="shared" si="26"/>
        <v>1.0167419543935112</v>
      </c>
      <c r="CG30" s="86">
        <f t="shared" si="70"/>
        <v>-2.3677311687399061E-2</v>
      </c>
      <c r="CH30" s="86">
        <f t="shared" si="27"/>
        <v>0.68139911675175679</v>
      </c>
      <c r="CI30" s="86">
        <f t="shared" si="93"/>
        <v>-2.3838369626896228E-2</v>
      </c>
      <c r="CJ30" s="86">
        <f t="shared" si="28"/>
        <v>0.94751073545449394</v>
      </c>
      <c r="CK30" s="86">
        <f t="shared" si="94"/>
        <v>-2.4541505728672863E-2</v>
      </c>
      <c r="CL30" s="87">
        <v>914.5</v>
      </c>
      <c r="CM30" s="77">
        <f t="shared" si="71"/>
        <v>60.164473684210527</v>
      </c>
      <c r="CN30" s="77">
        <f t="shared" si="29"/>
        <v>84.94327702524464</v>
      </c>
      <c r="CO30" s="77">
        <f t="shared" si="72"/>
        <v>126.9105273149757</v>
      </c>
      <c r="CP30" s="74">
        <v>0.67739226419855991</v>
      </c>
      <c r="CQ30" s="74">
        <f t="shared" si="73"/>
        <v>0.10250686029273731</v>
      </c>
      <c r="CR30" s="139">
        <f t="shared" si="30"/>
        <v>0.29405995986614669</v>
      </c>
      <c r="CS30" s="74">
        <v>0.10794490271010226</v>
      </c>
      <c r="CT30" s="77">
        <f t="shared" si="74"/>
        <v>29.40599598661467</v>
      </c>
      <c r="CU30" s="77">
        <f t="shared" si="31"/>
        <v>41.516887131845252</v>
      </c>
      <c r="CV30" s="78">
        <f t="shared" si="32"/>
        <v>161.2154202210298</v>
      </c>
      <c r="CW30" s="74">
        <f t="shared" si="75"/>
        <v>-6.4242401626430912E-2</v>
      </c>
      <c r="CX30" s="88">
        <f t="shared" si="76"/>
        <v>62.028805844315549</v>
      </c>
      <c r="CY30" s="77">
        <f t="shared" si="33"/>
        <v>66.931624052294964</v>
      </c>
      <c r="CZ30" s="89">
        <v>47.406999999999996</v>
      </c>
      <c r="DA30" s="74">
        <f t="shared" si="77"/>
        <v>9.495016548211499E-3</v>
      </c>
      <c r="DB30" s="125">
        <v>41.261000000000003</v>
      </c>
      <c r="DC30" s="125">
        <v>46.527999999999999</v>
      </c>
      <c r="DD30" s="74">
        <f t="shared" si="78"/>
        <v>0.9682333628541393</v>
      </c>
      <c r="DE30" s="74">
        <f t="shared" si="79"/>
        <v>0.96447174907881528</v>
      </c>
      <c r="DF30" s="75">
        <f t="shared" si="34"/>
        <v>0.94751073545449394</v>
      </c>
      <c r="DG30" s="75">
        <f t="shared" si="35"/>
        <v>0.94382962966792328</v>
      </c>
      <c r="DH30" s="74">
        <f t="shared" si="80"/>
        <v>-2.3838369626896228E-2</v>
      </c>
      <c r="DI30" s="75">
        <f t="shared" si="95"/>
        <v>-2.9383799833799462E-2</v>
      </c>
      <c r="DJ30" s="77">
        <f t="shared" si="96"/>
        <v>-2.4847667982727284</v>
      </c>
      <c r="DK30" s="75">
        <f t="shared" si="36"/>
        <v>0.94382962966792328</v>
      </c>
      <c r="DL30" s="77">
        <f t="shared" si="97"/>
        <v>8.7519537183083429</v>
      </c>
      <c r="DM30" s="72">
        <v>21215.96962</v>
      </c>
      <c r="DN30" s="72">
        <v>27447.087219999998</v>
      </c>
      <c r="DO30" s="97">
        <v>21215.96962</v>
      </c>
      <c r="DP30" s="92">
        <f t="shared" si="98"/>
        <v>279.67211999999927</v>
      </c>
      <c r="DQ30" s="72">
        <v>27447.087219999998</v>
      </c>
      <c r="DR30" s="72">
        <v>21157.492628926451</v>
      </c>
      <c r="DS30" s="72">
        <v>27377.92542880488</v>
      </c>
      <c r="DT30" s="72">
        <v>30207.200000000001</v>
      </c>
      <c r="DU30" s="72">
        <v>1318.59</v>
      </c>
      <c r="DV30" s="72">
        <v>11927</v>
      </c>
      <c r="DW30" s="93">
        <v>1.9119999999999999</v>
      </c>
      <c r="DX30" s="78">
        <v>6.75</v>
      </c>
      <c r="DY30" s="78">
        <v>5.96</v>
      </c>
      <c r="DZ30" s="67">
        <v>8.8800000000000008</v>
      </c>
      <c r="EA30" s="67">
        <v>7.02</v>
      </c>
      <c r="EB30" s="72">
        <v>13480</v>
      </c>
      <c r="EC30" s="78">
        <v>8.5867023956325657</v>
      </c>
      <c r="ED30" s="72">
        <f t="shared" si="37"/>
        <v>22520</v>
      </c>
      <c r="EE30" s="72">
        <f t="shared" si="38"/>
        <v>26066.618115612197</v>
      </c>
      <c r="EF30" s="72">
        <f t="shared" si="39"/>
        <v>303569600000</v>
      </c>
      <c r="EG30" s="74">
        <f t="shared" si="81"/>
        <v>0.67111237881506336</v>
      </c>
      <c r="EH30" s="74">
        <f t="shared" si="104"/>
        <v>5.7626422709099741</v>
      </c>
      <c r="EI30" s="75">
        <f t="shared" si="41"/>
        <v>0.94751073545449394</v>
      </c>
      <c r="EJ30" s="75">
        <f t="shared" si="42"/>
        <v>5.7626422709099749</v>
      </c>
      <c r="EK30" s="78">
        <f t="shared" si="43"/>
        <v>8.1359927020146774</v>
      </c>
      <c r="EL30" s="72">
        <f t="shared" si="44"/>
        <v>5394.8929274863376</v>
      </c>
      <c r="EM30" s="72">
        <f t="shared" si="45"/>
        <v>14347.858913911363</v>
      </c>
      <c r="EN30" s="72">
        <f t="shared" si="46"/>
        <v>265.95689284593254</v>
      </c>
      <c r="EO30" s="72">
        <f t="shared" si="47"/>
        <v>205.52985340809414</v>
      </c>
      <c r="EP30" s="75">
        <f t="shared" si="48"/>
        <v>8.3769916355260876E-2</v>
      </c>
      <c r="EQ30" s="77">
        <f t="shared" si="82"/>
        <v>11.937459693275658</v>
      </c>
      <c r="ER30" s="78">
        <v>25.31</v>
      </c>
      <c r="ES30" s="74">
        <f t="shared" si="102"/>
        <v>5.7447252976812191E-2</v>
      </c>
      <c r="ET30" s="95">
        <f t="shared" si="99"/>
        <v>35.733950782871425</v>
      </c>
      <c r="EU30" s="74">
        <f t="shared" si="102"/>
        <v>2.9737951680380403E-2</v>
      </c>
      <c r="EV30" s="77">
        <f t="shared" si="100"/>
        <v>37.713504919530934</v>
      </c>
      <c r="EW30" s="74">
        <f t="shared" si="101"/>
        <v>5.5645071243754618E-2</v>
      </c>
      <c r="EX30" s="78">
        <v>4.3183333333333342</v>
      </c>
      <c r="EY30" s="78">
        <v>3.6461550220707695</v>
      </c>
      <c r="EZ30" s="173">
        <f t="shared" si="105"/>
        <v>2.4497692316082618</v>
      </c>
      <c r="FA30" s="72">
        <f t="shared" si="83"/>
        <v>11.043617861874401</v>
      </c>
      <c r="FB30" s="78">
        <f t="shared" si="84"/>
        <v>1.5804709991834585</v>
      </c>
      <c r="FC30" s="78">
        <f t="shared" si="85"/>
        <v>1.5804709991834585</v>
      </c>
      <c r="FD30" s="78">
        <f t="shared" si="86"/>
        <v>63.272277727123395</v>
      </c>
      <c r="FE30" s="72">
        <f t="shared" si="87"/>
        <v>317.09279718918521</v>
      </c>
    </row>
    <row r="31" spans="1:161" s="67" customFormat="1" x14ac:dyDescent="0.2">
      <c r="A31" s="68">
        <v>1989</v>
      </c>
      <c r="B31" s="72">
        <v>56269.81</v>
      </c>
      <c r="C31" s="72">
        <v>56577</v>
      </c>
      <c r="D31" s="72">
        <v>56423.404999999999</v>
      </c>
      <c r="E31" s="72">
        <v>56423.404999999999</v>
      </c>
      <c r="F31" s="117">
        <v>73.95</v>
      </c>
      <c r="G31" s="72">
        <f t="shared" si="50"/>
        <v>41725.107997500003</v>
      </c>
      <c r="H31" s="72">
        <v>21383.082397721886</v>
      </c>
      <c r="I31" s="100">
        <f>(I30+I32)/2</f>
        <v>75.55</v>
      </c>
      <c r="J31" s="100"/>
      <c r="K31" s="67">
        <f t="shared" si="51"/>
        <v>1150</v>
      </c>
      <c r="L31" s="98">
        <v>21330</v>
      </c>
      <c r="M31" s="67">
        <f t="shared" si="52"/>
        <v>700</v>
      </c>
      <c r="N31" s="98">
        <v>5950</v>
      </c>
      <c r="O31" s="67">
        <f t="shared" si="0"/>
        <v>27280</v>
      </c>
      <c r="P31" s="74">
        <f t="shared" si="53"/>
        <v>0.78189149560117299</v>
      </c>
      <c r="Q31" s="74">
        <f t="shared" si="54"/>
        <v>0.21810850439882698</v>
      </c>
      <c r="R31" s="77">
        <f t="shared" si="55"/>
        <v>5.6987115956392387</v>
      </c>
      <c r="S31" s="77">
        <f t="shared" si="56"/>
        <v>13.33333333333333</v>
      </c>
      <c r="T31" s="77">
        <f t="shared" si="57"/>
        <v>7.022425354123385</v>
      </c>
      <c r="U31" s="67">
        <f t="shared" si="58"/>
        <v>1850</v>
      </c>
      <c r="V31" s="75">
        <f t="shared" si="1"/>
        <v>0.48217473531647137</v>
      </c>
      <c r="W31" s="77">
        <f t="shared" si="88"/>
        <v>6.4779868205165343</v>
      </c>
      <c r="X31" s="74">
        <f t="shared" si="59"/>
        <v>1.2757749089956443</v>
      </c>
      <c r="Y31" s="77">
        <f t="shared" si="88"/>
        <v>5.9634368606808934</v>
      </c>
      <c r="Z31" s="72">
        <f t="shared" si="2"/>
        <v>21904.8992</v>
      </c>
      <c r="AA31" s="77">
        <f t="shared" si="89"/>
        <v>7.3586785214587946</v>
      </c>
      <c r="AB31" s="74">
        <f t="shared" si="3"/>
        <v>0.38716968379376776</v>
      </c>
      <c r="AC31" s="77">
        <f t="shared" si="89"/>
        <v>6.7757647498730256</v>
      </c>
      <c r="AD31" s="74">
        <f t="shared" si="60"/>
        <v>1.0244032545248811</v>
      </c>
      <c r="AE31" s="77">
        <f t="shared" si="61"/>
        <v>6.2277611803972732</v>
      </c>
      <c r="AF31" s="72">
        <v>19720</v>
      </c>
      <c r="AG31" s="72">
        <v>2800</v>
      </c>
      <c r="AH31" s="72">
        <f t="shared" si="4"/>
        <v>22520</v>
      </c>
      <c r="AI31" s="72">
        <v>19780</v>
      </c>
      <c r="AJ31" s="72">
        <v>3230</v>
      </c>
      <c r="AK31" s="72">
        <v>23010</v>
      </c>
      <c r="AL31" s="72">
        <f t="shared" si="5"/>
        <v>19750</v>
      </c>
      <c r="AM31" s="72">
        <f t="shared" si="6"/>
        <v>3015</v>
      </c>
      <c r="AN31" s="72">
        <f t="shared" si="7"/>
        <v>22765</v>
      </c>
      <c r="AO31" s="74">
        <f t="shared" si="8"/>
        <v>0.40670237022111461</v>
      </c>
      <c r="AP31" s="74">
        <f t="shared" si="9"/>
        <v>0.40346731998893015</v>
      </c>
      <c r="AQ31" s="74">
        <f t="shared" si="62"/>
        <v>1.0646266790060792</v>
      </c>
      <c r="AR31" s="67">
        <v>2270307</v>
      </c>
      <c r="AS31" s="72">
        <v>543716.43599999999</v>
      </c>
      <c r="AT31" s="77">
        <f t="shared" si="63"/>
        <v>7.1603741626784512</v>
      </c>
      <c r="AU31" s="72">
        <v>739294.78599999996</v>
      </c>
      <c r="AV31" s="72">
        <f t="shared" si="10"/>
        <v>739.29478599999993</v>
      </c>
      <c r="AW31" s="78">
        <f t="shared" si="11"/>
        <v>13.067055269809286</v>
      </c>
      <c r="AX31" s="74">
        <f t="shared" si="64"/>
        <v>2.6077603247238734E-2</v>
      </c>
      <c r="AY31" s="78">
        <f t="shared" si="65"/>
        <v>34.573817387467159</v>
      </c>
      <c r="AZ31" s="74">
        <f t="shared" si="66"/>
        <v>2.0932103648882538E-2</v>
      </c>
      <c r="BA31" s="79">
        <f t="shared" si="67"/>
        <v>0.12485830118514774</v>
      </c>
      <c r="BB31" s="80">
        <v>621289.6</v>
      </c>
      <c r="BC31" s="81">
        <f t="shared" si="12"/>
        <v>844774.76375008491</v>
      </c>
      <c r="BD31" s="82">
        <f t="shared" si="68"/>
        <v>3.6078552115561546</v>
      </c>
      <c r="BE31" s="81">
        <f t="shared" si="13"/>
        <v>14931.416719693249</v>
      </c>
      <c r="BF31" s="81">
        <f t="shared" si="14"/>
        <v>39506.687952532309</v>
      </c>
      <c r="BG31" s="72">
        <v>1001.8973549999999</v>
      </c>
      <c r="BH31" s="77">
        <f t="shared" si="103"/>
        <v>7.7953979373160953</v>
      </c>
      <c r="BI31" s="130">
        <f t="shared" si="15"/>
        <v>1399.3094443155039</v>
      </c>
      <c r="BJ31" s="77">
        <f t="shared" si="91"/>
        <v>4.3532457393514301</v>
      </c>
      <c r="BK31" s="83">
        <f t="shared" si="16"/>
        <v>24.732832145845553</v>
      </c>
      <c r="BL31" s="83">
        <f t="shared" si="17"/>
        <v>65.440024889235971</v>
      </c>
      <c r="BM31" s="81">
        <v>25523.605</v>
      </c>
      <c r="BN31" s="81">
        <f t="shared" si="18"/>
        <v>11242.358412320449</v>
      </c>
      <c r="BO31" s="82">
        <v>89.671000000000006</v>
      </c>
      <c r="BP31" s="82">
        <f t="shared" si="19"/>
        <v>121.92671153715412</v>
      </c>
      <c r="BQ31" s="81">
        <f t="shared" si="20"/>
        <v>12537.340290975284</v>
      </c>
      <c r="BR31" s="82">
        <v>64.289000000000001</v>
      </c>
      <c r="BS31" s="82">
        <f t="shared" si="21"/>
        <v>87.41450812427766</v>
      </c>
      <c r="BT31" s="82">
        <v>68.733000000000004</v>
      </c>
      <c r="BU31" s="82">
        <f t="shared" si="22"/>
        <v>93.457067101774427</v>
      </c>
      <c r="BV31" s="82">
        <v>57.084000000000003</v>
      </c>
      <c r="BW31" s="82">
        <f t="shared" si="23"/>
        <v>77.617785029573739</v>
      </c>
      <c r="BX31" s="82">
        <f t="shared" si="24"/>
        <v>113.06673004931963</v>
      </c>
      <c r="BY31" s="84">
        <v>73.545000000000002</v>
      </c>
      <c r="BZ31" s="77">
        <v>71.599413487135806</v>
      </c>
      <c r="CA31" s="78">
        <v>0.75767161566992947</v>
      </c>
      <c r="CB31" s="78">
        <v>0.50460624705582824</v>
      </c>
      <c r="CC31" s="86">
        <f t="shared" si="25"/>
        <v>0.70247590660636994</v>
      </c>
      <c r="CD31" s="86">
        <f t="shared" si="92"/>
        <v>4.6733645185748074E-2</v>
      </c>
      <c r="CE31" s="86">
        <f t="shared" si="69"/>
        <v>1.3473037339345462E-2</v>
      </c>
      <c r="CF31" s="86">
        <f t="shared" si="26"/>
        <v>1.0302149917328567</v>
      </c>
      <c r="CG31" s="86">
        <f t="shared" si="70"/>
        <v>4.7199220079524595E-3</v>
      </c>
      <c r="CH31" s="86">
        <f t="shared" si="27"/>
        <v>0.68611903875970925</v>
      </c>
      <c r="CI31" s="86">
        <f t="shared" si="93"/>
        <v>7.6540026057004829E-3</v>
      </c>
      <c r="CJ31" s="86">
        <f t="shared" si="28"/>
        <v>0.95516473806019442</v>
      </c>
      <c r="CK31" s="86">
        <f t="shared" si="94"/>
        <v>8.0780114876788378E-3</v>
      </c>
      <c r="CL31" s="87">
        <v>927.25</v>
      </c>
      <c r="CM31" s="77">
        <f t="shared" si="71"/>
        <v>61.003289473684205</v>
      </c>
      <c r="CN31" s="77">
        <f t="shared" si="29"/>
        <v>82.946888943754445</v>
      </c>
      <c r="CO31" s="77">
        <f t="shared" si="72"/>
        <v>120.8296976918498</v>
      </c>
      <c r="CP31" s="74">
        <v>0.75908658384432248</v>
      </c>
      <c r="CQ31" s="74">
        <f t="shared" si="73"/>
        <v>0.11386532662489063</v>
      </c>
      <c r="CR31" s="139">
        <f t="shared" si="30"/>
        <v>0.32964327064495641</v>
      </c>
      <c r="CS31" s="74">
        <v>0.12060119957587245</v>
      </c>
      <c r="CT31" s="77">
        <f t="shared" si="74"/>
        <v>32.964327064495642</v>
      </c>
      <c r="CU31" s="77">
        <f t="shared" si="31"/>
        <v>44.821982547414017</v>
      </c>
      <c r="CV31" s="78">
        <f t="shared" si="32"/>
        <v>153.15647093666055</v>
      </c>
      <c r="CW31" s="74">
        <f t="shared" si="75"/>
        <v>-5.1281399770852332E-2</v>
      </c>
      <c r="CX31" s="88">
        <f t="shared" si="76"/>
        <v>65.292703199824984</v>
      </c>
      <c r="CY31" s="77">
        <f t="shared" si="33"/>
        <v>68.647766673465227</v>
      </c>
      <c r="CZ31" s="89">
        <v>50.487000000000002</v>
      </c>
      <c r="DA31" s="74">
        <f t="shared" si="77"/>
        <v>6.2945980276639002E-2</v>
      </c>
      <c r="DB31" s="125">
        <v>43.497999999999998</v>
      </c>
      <c r="DC31" s="125">
        <v>49.699374069501189</v>
      </c>
      <c r="DD31" s="74">
        <f t="shared" si="78"/>
        <v>0.981119638267125</v>
      </c>
      <c r="DE31" s="74">
        <f t="shared" si="79"/>
        <v>0.97708406990578611</v>
      </c>
      <c r="DF31" s="75">
        <f t="shared" si="34"/>
        <v>0.95516473806019442</v>
      </c>
      <c r="DG31" s="75">
        <f t="shared" si="35"/>
        <v>0.95123592811037994</v>
      </c>
      <c r="DH31" s="74">
        <f t="shared" si="80"/>
        <v>7.6540026057004829E-3</v>
      </c>
      <c r="DI31" s="75">
        <f t="shared" si="95"/>
        <v>1.2886275412985704E-2</v>
      </c>
      <c r="DJ31" s="77">
        <f t="shared" si="96"/>
        <v>0.80455590034313462</v>
      </c>
      <c r="DK31" s="75">
        <f t="shared" si="36"/>
        <v>0.95123592811037994</v>
      </c>
      <c r="DL31" s="77">
        <f t="shared" si="97"/>
        <v>9.0784707134598275</v>
      </c>
      <c r="DM31" s="72">
        <v>21552.521539999998</v>
      </c>
      <c r="DN31" s="72">
        <v>27933.946339999999</v>
      </c>
      <c r="DO31" s="97">
        <v>21552.521539999998</v>
      </c>
      <c r="DP31" s="92">
        <f t="shared" si="98"/>
        <v>336.55191999999806</v>
      </c>
      <c r="DQ31" s="72">
        <v>27933.946339999999</v>
      </c>
      <c r="DR31" s="72">
        <v>21523.087188398749</v>
      </c>
      <c r="DS31" s="72">
        <v>27888.462011300562</v>
      </c>
      <c r="DT31" s="72">
        <v>30330.1</v>
      </c>
      <c r="DU31" s="72">
        <v>1390.51</v>
      </c>
      <c r="DV31" s="72">
        <v>12561</v>
      </c>
      <c r="DW31" s="93">
        <v>2.012</v>
      </c>
      <c r="DX31" s="78">
        <v>6.77</v>
      </c>
      <c r="DY31" s="78">
        <v>5.91</v>
      </c>
      <c r="DZ31" s="67">
        <v>8.81</v>
      </c>
      <c r="EA31" s="67">
        <v>6.87</v>
      </c>
      <c r="EB31" s="72">
        <v>13280</v>
      </c>
      <c r="EC31" s="78">
        <v>9.1217445269532842</v>
      </c>
      <c r="ED31" s="72">
        <f t="shared" si="37"/>
        <v>23010</v>
      </c>
      <c r="EE31" s="72">
        <f t="shared" si="38"/>
        <v>27873.570159857903</v>
      </c>
      <c r="EF31" s="72">
        <f t="shared" si="39"/>
        <v>305572800000</v>
      </c>
      <c r="EG31" s="74">
        <f t="shared" si="81"/>
        <v>0.70247590660636994</v>
      </c>
      <c r="EH31" s="74">
        <f t="shared" si="104"/>
        <v>6.4078057564032012</v>
      </c>
      <c r="EI31" s="75">
        <f t="shared" si="41"/>
        <v>0.95516473806019442</v>
      </c>
      <c r="EJ31" s="75">
        <f t="shared" si="42"/>
        <v>6.407805756403202</v>
      </c>
      <c r="EK31" s="78">
        <f t="shared" si="43"/>
        <v>8.7127687217393461</v>
      </c>
      <c r="EL31" s="72">
        <f t="shared" si="44"/>
        <v>5401.0074765364016</v>
      </c>
      <c r="EM31" s="72">
        <f t="shared" si="45"/>
        <v>14290.399967431971</v>
      </c>
      <c r="EN31" s="72">
        <f t="shared" si="46"/>
        <v>262.86656512034114</v>
      </c>
      <c r="EO31" s="72">
        <f t="shared" si="47"/>
        <v>202.86884223688878</v>
      </c>
      <c r="EP31" s="75">
        <f t="shared" si="48"/>
        <v>8.927496164580094E-2</v>
      </c>
      <c r="EQ31" s="77">
        <f t="shared" si="82"/>
        <v>11.201348973607038</v>
      </c>
      <c r="ER31" s="78">
        <v>26.145</v>
      </c>
      <c r="ES31" s="74">
        <f t="shared" si="102"/>
        <v>3.299091268273413E-2</v>
      </c>
      <c r="ET31" s="95">
        <f t="shared" si="99"/>
        <v>35.549663471344076</v>
      </c>
      <c r="EU31" s="74">
        <f t="shared" si="102"/>
        <v>-5.1572050526158542E-3</v>
      </c>
      <c r="EV31" s="77">
        <f t="shared" si="100"/>
        <v>37.218358315383853</v>
      </c>
      <c r="EW31" s="74">
        <f t="shared" si="101"/>
        <v>-1.3129159042724159E-2</v>
      </c>
      <c r="EX31" s="78">
        <v>4.5033333333333339</v>
      </c>
      <c r="EY31" s="78">
        <v>3.7627232292536377</v>
      </c>
      <c r="EZ31" s="173">
        <f t="shared" si="105"/>
        <v>2.5280887779829371</v>
      </c>
      <c r="FA31" s="72">
        <f t="shared" si="83"/>
        <v>11.201609001877785</v>
      </c>
      <c r="FB31" s="78">
        <f t="shared" si="84"/>
        <v>1.7029702600991554</v>
      </c>
      <c r="FC31" s="78">
        <f t="shared" si="85"/>
        <v>1.7029702600991554</v>
      </c>
      <c r="FD31" s="78">
        <f t="shared" si="86"/>
        <v>58.72093150597798</v>
      </c>
      <c r="FE31" s="72">
        <f t="shared" si="87"/>
        <v>336.60076017159889</v>
      </c>
    </row>
    <row r="32" spans="1:161" s="67" customFormat="1" x14ac:dyDescent="0.2">
      <c r="A32" s="68">
        <v>1990</v>
      </c>
      <c r="B32" s="72">
        <v>56577</v>
      </c>
      <c r="C32" s="72">
        <v>56840.661</v>
      </c>
      <c r="D32" s="72">
        <v>56708.830999999998</v>
      </c>
      <c r="E32" s="72">
        <v>56708.830499999996</v>
      </c>
      <c r="F32" s="117">
        <v>74.055999999999997</v>
      </c>
      <c r="G32" s="72">
        <f t="shared" si="50"/>
        <v>41996.291515079996</v>
      </c>
      <c r="H32" s="72">
        <v>21631.823173368575</v>
      </c>
      <c r="I32" s="85">
        <v>76.5</v>
      </c>
      <c r="J32" s="85">
        <v>26.3</v>
      </c>
      <c r="K32" s="67">
        <f t="shared" si="51"/>
        <v>-507</v>
      </c>
      <c r="L32" s="67">
        <v>20823</v>
      </c>
      <c r="M32" s="67">
        <f t="shared" si="52"/>
        <v>-550</v>
      </c>
      <c r="N32" s="67">
        <v>5400</v>
      </c>
      <c r="O32" s="67">
        <f t="shared" si="0"/>
        <v>26223</v>
      </c>
      <c r="P32" s="74">
        <f t="shared" si="53"/>
        <v>0.79407390458757576</v>
      </c>
      <c r="Q32" s="74">
        <f t="shared" si="54"/>
        <v>0.20592609541242421</v>
      </c>
      <c r="R32" s="77">
        <f t="shared" si="55"/>
        <v>-2.3769338959212405</v>
      </c>
      <c r="S32" s="77">
        <f t="shared" si="56"/>
        <v>-9.2436974789915975</v>
      </c>
      <c r="T32" s="77">
        <f t="shared" si="57"/>
        <v>-3.951694470880085</v>
      </c>
      <c r="U32" s="94">
        <f t="shared" si="58"/>
        <v>-1057</v>
      </c>
      <c r="V32" s="75">
        <f t="shared" si="1"/>
        <v>0.46134227749392287</v>
      </c>
      <c r="W32" s="77">
        <f t="shared" si="88"/>
        <v>-4.4166334806157508</v>
      </c>
      <c r="X32" s="74">
        <f t="shared" si="59"/>
        <v>1.212241787936013</v>
      </c>
      <c r="Y32" s="77">
        <f t="shared" si="88"/>
        <v>-5.1082403005869939</v>
      </c>
      <c r="Z32" s="72">
        <f t="shared" si="2"/>
        <v>21038.990519999999</v>
      </c>
      <c r="AA32" s="77">
        <f t="shared" si="89"/>
        <v>-3.9530365882715413</v>
      </c>
      <c r="AB32" s="74">
        <f t="shared" si="3"/>
        <v>0.37013979341302872</v>
      </c>
      <c r="AC32" s="77">
        <f t="shared" si="89"/>
        <v>-4.3985598804813115</v>
      </c>
      <c r="AD32" s="74">
        <f t="shared" si="60"/>
        <v>0.97259442033076415</v>
      </c>
      <c r="AE32" s="77">
        <f t="shared" si="61"/>
        <v>-5.0574648182024724</v>
      </c>
      <c r="AF32" s="72">
        <v>19780</v>
      </c>
      <c r="AG32" s="72">
        <v>3230</v>
      </c>
      <c r="AH32" s="72">
        <f t="shared" si="4"/>
        <v>23010</v>
      </c>
      <c r="AI32" s="72">
        <v>19775</v>
      </c>
      <c r="AJ32" s="72">
        <v>3775</v>
      </c>
      <c r="AK32" s="72">
        <v>23550</v>
      </c>
      <c r="AL32" s="72">
        <f t="shared" si="5"/>
        <v>19777.5</v>
      </c>
      <c r="AM32" s="72">
        <f t="shared" si="6"/>
        <v>3502.5</v>
      </c>
      <c r="AN32" s="72">
        <f t="shared" si="7"/>
        <v>23280</v>
      </c>
      <c r="AO32" s="74">
        <f t="shared" si="8"/>
        <v>0.41431608263668857</v>
      </c>
      <c r="AP32" s="74">
        <f t="shared" si="9"/>
        <v>0.41051807257321177</v>
      </c>
      <c r="AQ32" s="74">
        <f t="shared" si="62"/>
        <v>1.0761922290794488</v>
      </c>
      <c r="AR32" s="67">
        <v>2309130</v>
      </c>
      <c r="AS32" s="72">
        <v>573408.95700000005</v>
      </c>
      <c r="AT32" s="77">
        <f t="shared" si="63"/>
        <v>5.4610306097129024</v>
      </c>
      <c r="AU32" s="72">
        <v>757901.27500000002</v>
      </c>
      <c r="AV32" s="72">
        <f t="shared" si="10"/>
        <v>757.90127500000006</v>
      </c>
      <c r="AW32" s="78">
        <f t="shared" si="11"/>
        <v>13.333787145789877</v>
      </c>
      <c r="AX32" s="74">
        <f t="shared" si="64"/>
        <v>2.0207003078351882E-2</v>
      </c>
      <c r="AY32" s="78">
        <f t="shared" si="65"/>
        <v>35.036403031117104</v>
      </c>
      <c r="AZ32" s="74">
        <f t="shared" si="66"/>
        <v>1.329093487863986E-2</v>
      </c>
      <c r="BA32" s="79">
        <f t="shared" si="67"/>
        <v>0.13493784669268249</v>
      </c>
      <c r="BB32" s="80">
        <v>662852.9</v>
      </c>
      <c r="BC32" s="81">
        <f t="shared" si="12"/>
        <v>876128.97682963905</v>
      </c>
      <c r="BD32" s="82">
        <f t="shared" si="68"/>
        <v>3.7115470803564143</v>
      </c>
      <c r="BE32" s="81">
        <f t="shared" si="13"/>
        <v>15413.771786180303</v>
      </c>
      <c r="BF32" s="81">
        <f t="shared" si="14"/>
        <v>40501.855521279467</v>
      </c>
      <c r="BG32" s="72">
        <v>1058.6267809999999</v>
      </c>
      <c r="BH32" s="77">
        <f t="shared" si="103"/>
        <v>5.6621993976618379</v>
      </c>
      <c r="BI32" s="130">
        <f t="shared" si="15"/>
        <v>1440.0849165967754</v>
      </c>
      <c r="BJ32" s="77">
        <f t="shared" si="91"/>
        <v>2.9139710624348281</v>
      </c>
      <c r="BK32" s="83">
        <f t="shared" si="16"/>
        <v>25.335470968516276</v>
      </c>
      <c r="BL32" s="83">
        <f t="shared" si="17"/>
        <v>66.572517029895863</v>
      </c>
      <c r="BM32" s="81">
        <v>25576.772000000001</v>
      </c>
      <c r="BN32" s="81">
        <f t="shared" si="18"/>
        <v>11076.367289845093</v>
      </c>
      <c r="BO32" s="82">
        <v>90.262</v>
      </c>
      <c r="BP32" s="82">
        <f t="shared" si="19"/>
        <v>119.30422829348244</v>
      </c>
      <c r="BQ32" s="81">
        <f t="shared" si="20"/>
        <v>12271.351498798049</v>
      </c>
      <c r="BR32" s="82">
        <v>66.179000000000002</v>
      </c>
      <c r="BS32" s="82">
        <f t="shared" si="21"/>
        <v>87.472408369351157</v>
      </c>
      <c r="BT32" s="82">
        <v>71.501000000000005</v>
      </c>
      <c r="BU32" s="82">
        <f t="shared" si="22"/>
        <v>94.506787210700935</v>
      </c>
      <c r="BV32" s="82">
        <v>59.033999999999999</v>
      </c>
      <c r="BW32" s="82">
        <f t="shared" si="23"/>
        <v>78.028470597565331</v>
      </c>
      <c r="BX32" s="82">
        <f t="shared" si="24"/>
        <v>112.69901874689779</v>
      </c>
      <c r="BY32" s="84">
        <v>75.656999999999996</v>
      </c>
      <c r="BZ32" s="77">
        <v>73.511413722862841</v>
      </c>
      <c r="CA32" s="78">
        <v>0.75558031139756532</v>
      </c>
      <c r="CB32" s="78">
        <v>0.54119401119280686</v>
      </c>
      <c r="CC32" s="86">
        <f t="shared" si="25"/>
        <v>0.7114325776864836</v>
      </c>
      <c r="CD32" s="86">
        <f t="shared" si="92"/>
        <v>1.2750147009856772E-2</v>
      </c>
      <c r="CE32" s="86">
        <f t="shared" si="69"/>
        <v>-3.1523117355647279E-2</v>
      </c>
      <c r="CF32" s="86">
        <f t="shared" si="26"/>
        <v>0.99869187437720941</v>
      </c>
      <c r="CG32" s="86">
        <f t="shared" si="70"/>
        <v>2.9206722495438209E-2</v>
      </c>
      <c r="CH32" s="86">
        <f t="shared" si="27"/>
        <v>0.71532576125514746</v>
      </c>
      <c r="CI32" s="86">
        <f t="shared" si="93"/>
        <v>-1.482534093040655E-2</v>
      </c>
      <c r="CJ32" s="86">
        <f t="shared" si="28"/>
        <v>0.94033939712978787</v>
      </c>
      <c r="CK32" s="86">
        <f t="shared" si="94"/>
        <v>-1.5521239781647211E-2</v>
      </c>
      <c r="CL32" s="87">
        <v>949.5</v>
      </c>
      <c r="CM32" s="77">
        <f t="shared" si="71"/>
        <v>62.467105263157897</v>
      </c>
      <c r="CN32" s="77">
        <f t="shared" si="29"/>
        <v>82.566193826292221</v>
      </c>
      <c r="CO32" s="77">
        <f t="shared" si="72"/>
        <v>119.25299771516534</v>
      </c>
      <c r="CP32" s="74">
        <v>0.82595678949389262</v>
      </c>
      <c r="CQ32" s="74">
        <f t="shared" si="73"/>
        <v>8.4426612090556019E-2</v>
      </c>
      <c r="CR32" s="139">
        <f t="shared" si="30"/>
        <v>0.37485071674645437</v>
      </c>
      <c r="CS32" s="74">
        <v>8.8092988432113106E-2</v>
      </c>
      <c r="CT32" s="77">
        <f t="shared" si="74"/>
        <v>37.48507167464544</v>
      </c>
      <c r="CU32" s="77">
        <f t="shared" si="31"/>
        <v>49.546071975686907</v>
      </c>
      <c r="CV32" s="78">
        <f t="shared" si="32"/>
        <v>139.74096262814592</v>
      </c>
      <c r="CW32" s="74">
        <f t="shared" si="75"/>
        <v>-9.1669642856820666E-2</v>
      </c>
      <c r="CX32" s="88">
        <f t="shared" si="76"/>
        <v>71.560978341119934</v>
      </c>
      <c r="CY32" s="77">
        <f t="shared" si="33"/>
        <v>69.236157923258915</v>
      </c>
      <c r="CZ32" s="89">
        <v>52.381999999999998</v>
      </c>
      <c r="DA32" s="74">
        <f t="shared" si="77"/>
        <v>3.6847143463995202E-2</v>
      </c>
      <c r="DB32" s="125">
        <v>46.008000000000003</v>
      </c>
      <c r="DC32" s="125">
        <v>52.06636384380829</v>
      </c>
      <c r="DD32" s="74">
        <f t="shared" si="78"/>
        <v>0.96778519369601024</v>
      </c>
      <c r="DE32" s="74">
        <f t="shared" si="79"/>
        <v>0.96458974903597283</v>
      </c>
      <c r="DF32" s="75">
        <f t="shared" si="34"/>
        <v>0.94033939712978787</v>
      </c>
      <c r="DG32" s="75">
        <f t="shared" si="35"/>
        <v>0.93723457332719828</v>
      </c>
      <c r="DH32" s="74">
        <f t="shared" si="80"/>
        <v>-1.482534093040655E-2</v>
      </c>
      <c r="DI32" s="75">
        <f t="shared" si="95"/>
        <v>-1.3334444571114767E-2</v>
      </c>
      <c r="DJ32" s="77">
        <f t="shared" si="96"/>
        <v>-1.5642955317142686</v>
      </c>
      <c r="DK32" s="75">
        <f t="shared" si="36"/>
        <v>0.93723457332719828</v>
      </c>
      <c r="DL32" s="77">
        <f t="shared" si="97"/>
        <v>8.8528088104178817</v>
      </c>
      <c r="DM32" s="72">
        <v>22001.603230000001</v>
      </c>
      <c r="DN32" s="72">
        <v>28379.71243</v>
      </c>
      <c r="DO32" s="97">
        <v>22001.603230000001</v>
      </c>
      <c r="DP32" s="92">
        <f t="shared" si="98"/>
        <v>449.08169000000271</v>
      </c>
      <c r="DQ32" s="72">
        <v>28379.71243</v>
      </c>
      <c r="DR32" s="72">
        <v>21966.635496302741</v>
      </c>
      <c r="DS32" s="72">
        <v>28307.222352075387</v>
      </c>
      <c r="DT32" s="72">
        <v>30680</v>
      </c>
      <c r="DU32" s="72">
        <v>1449.79</v>
      </c>
      <c r="DV32" s="72">
        <v>12947</v>
      </c>
      <c r="DW32" s="93">
        <v>2.0830000000000002</v>
      </c>
      <c r="DX32" s="78">
        <v>6.81</v>
      </c>
      <c r="DY32" s="78">
        <v>5.94</v>
      </c>
      <c r="DZ32" s="67">
        <v>8.68</v>
      </c>
      <c r="EA32" s="67">
        <v>6.73</v>
      </c>
      <c r="EB32" s="101">
        <v>13356.122792574084</v>
      </c>
      <c r="EC32" s="78">
        <v>8.2103007718463648</v>
      </c>
      <c r="ED32" s="72">
        <v>23280</v>
      </c>
      <c r="EE32" s="72">
        <f t="shared" si="38"/>
        <v>25528.332411495227</v>
      </c>
      <c r="EF32" s="72">
        <f t="shared" si="39"/>
        <v>310930538611.12469</v>
      </c>
      <c r="EG32" s="74">
        <f t="shared" si="81"/>
        <v>0.7114325776864836</v>
      </c>
      <c r="EH32" s="74">
        <f t="shared" si="104"/>
        <v>5.8410754416959856</v>
      </c>
      <c r="EI32" s="75">
        <f t="shared" si="41"/>
        <v>0.94033939712978787</v>
      </c>
      <c r="EJ32" s="75">
        <f t="shared" si="42"/>
        <v>5.8410754416959847</v>
      </c>
      <c r="EK32" s="78">
        <f t="shared" si="43"/>
        <v>7.720469278052243</v>
      </c>
      <c r="EL32" s="72">
        <f t="shared" si="44"/>
        <v>5470.2132793833043</v>
      </c>
      <c r="EM32" s="72">
        <f t="shared" si="45"/>
        <v>14373.755559999134</v>
      </c>
      <c r="EN32" s="72">
        <f t="shared" si="46"/>
        <v>258.75906671992163</v>
      </c>
      <c r="EO32" s="72">
        <f t="shared" si="47"/>
        <v>200.79914692100704</v>
      </c>
      <c r="EP32" s="75">
        <f t="shared" si="48"/>
        <v>8.4337164554931801E-2</v>
      </c>
      <c r="EQ32" s="77">
        <f t="shared" si="82"/>
        <v>11.857168844568688</v>
      </c>
      <c r="ER32" s="78">
        <v>26.905000000000001</v>
      </c>
      <c r="ES32" s="74">
        <f t="shared" si="102"/>
        <v>2.9068655574679747E-2</v>
      </c>
      <c r="ET32" s="95">
        <f t="shared" si="99"/>
        <v>35.56181186142723</v>
      </c>
      <c r="EU32" s="74">
        <f t="shared" si="102"/>
        <v>3.4173010084748157E-4</v>
      </c>
      <c r="EV32" s="77">
        <f t="shared" si="100"/>
        <v>37.818060128048543</v>
      </c>
      <c r="EW32" s="74">
        <f t="shared" si="101"/>
        <v>1.6113064622111706E-2</v>
      </c>
      <c r="EX32" s="78">
        <v>4.6958333333333311</v>
      </c>
      <c r="EY32" s="78">
        <v>3.9225930074434938</v>
      </c>
      <c r="EZ32" s="173">
        <f t="shared" si="105"/>
        <v>2.6355016721969413</v>
      </c>
      <c r="FA32" s="72">
        <f t="shared" si="83"/>
        <v>10.882075856503173</v>
      </c>
      <c r="FB32" s="78">
        <f t="shared" si="84"/>
        <v>1.4890852633989784</v>
      </c>
      <c r="FC32" s="78">
        <f t="shared" si="85"/>
        <v>1.4890852633989784</v>
      </c>
      <c r="FD32" s="78">
        <f t="shared" si="86"/>
        <v>67.155321765619064</v>
      </c>
      <c r="FE32" s="72">
        <f t="shared" si="87"/>
        <v>296.01241260055161</v>
      </c>
    </row>
    <row r="33" spans="1:161" s="67" customFormat="1" x14ac:dyDescent="0.2">
      <c r="A33" s="68">
        <v>1991</v>
      </c>
      <c r="B33" s="72">
        <v>56840.661</v>
      </c>
      <c r="C33" s="72">
        <v>57110.533000000003</v>
      </c>
      <c r="D33" s="72">
        <v>56975.597000000002</v>
      </c>
      <c r="E33" s="72">
        <v>56975.597000000002</v>
      </c>
      <c r="F33" s="117">
        <v>74.228999999999999</v>
      </c>
      <c r="G33" s="72">
        <f t="shared" si="50"/>
        <v>42292.415897129998</v>
      </c>
      <c r="H33" s="72">
        <v>21896.521744495793</v>
      </c>
      <c r="I33" s="100">
        <f>I32*(I$37/I$32)^0.2</f>
        <v>76.876280133971918</v>
      </c>
      <c r="J33" s="100"/>
      <c r="K33" s="67">
        <f t="shared" si="51"/>
        <v>-495</v>
      </c>
      <c r="L33" s="67">
        <v>20328</v>
      </c>
      <c r="M33" s="67">
        <f t="shared" si="52"/>
        <v>680</v>
      </c>
      <c r="N33" s="67">
        <v>6080</v>
      </c>
      <c r="O33" s="67">
        <f t="shared" si="0"/>
        <v>26408</v>
      </c>
      <c r="P33" s="74">
        <f t="shared" si="53"/>
        <v>0.76976673735231749</v>
      </c>
      <c r="Q33" s="74">
        <f t="shared" si="54"/>
        <v>0.23023326264768251</v>
      </c>
      <c r="R33" s="77">
        <f t="shared" si="55"/>
        <v>-2.3771790808240878</v>
      </c>
      <c r="S33" s="77">
        <f t="shared" si="56"/>
        <v>12.592592592592599</v>
      </c>
      <c r="T33" s="77">
        <f t="shared" si="57"/>
        <v>0.70301062844304596</v>
      </c>
      <c r="U33" s="67">
        <f t="shared" si="58"/>
        <v>185</v>
      </c>
      <c r="V33" s="75">
        <f t="shared" si="1"/>
        <v>0.46240156785089009</v>
      </c>
      <c r="W33" s="77">
        <f t="shared" si="88"/>
        <v>0.22934730805068693</v>
      </c>
      <c r="X33" s="74">
        <f t="shared" si="59"/>
        <v>1.2060362969126945</v>
      </c>
      <c r="Y33" s="77">
        <f t="shared" si="88"/>
        <v>-0.5132167952729777</v>
      </c>
      <c r="Z33" s="72">
        <f t="shared" si="2"/>
        <v>21221.926719999999</v>
      </c>
      <c r="AA33" s="77">
        <f t="shared" si="89"/>
        <v>0.86951034949180883</v>
      </c>
      <c r="AB33" s="74">
        <f t="shared" si="3"/>
        <v>0.37159391806061409</v>
      </c>
      <c r="AC33" s="77">
        <f t="shared" si="89"/>
        <v>0.39285823179859847</v>
      </c>
      <c r="AD33" s="74">
        <f t="shared" si="60"/>
        <v>0.969191681109564</v>
      </c>
      <c r="AE33" s="77">
        <f t="shared" si="61"/>
        <v>-0.34986209565575077</v>
      </c>
      <c r="AF33" s="72">
        <v>19775</v>
      </c>
      <c r="AG33" s="72">
        <v>3775</v>
      </c>
      <c r="AH33" s="72">
        <f t="shared" si="4"/>
        <v>23550</v>
      </c>
      <c r="AI33" s="72">
        <v>18995</v>
      </c>
      <c r="AJ33" s="72">
        <v>4275</v>
      </c>
      <c r="AK33" s="72">
        <v>23270</v>
      </c>
      <c r="AL33" s="72">
        <f t="shared" si="5"/>
        <v>19385</v>
      </c>
      <c r="AM33" s="72">
        <f t="shared" si="6"/>
        <v>4025</v>
      </c>
      <c r="AN33" s="72">
        <f t="shared" si="7"/>
        <v>23410</v>
      </c>
      <c r="AO33" s="74">
        <f t="shared" si="8"/>
        <v>0.40745548636361001</v>
      </c>
      <c r="AP33" s="74">
        <f t="shared" si="9"/>
        <v>0.41087766048331181</v>
      </c>
      <c r="AQ33" s="74">
        <f t="shared" si="62"/>
        <v>1.0691195740202279</v>
      </c>
      <c r="AR33" s="67">
        <v>2032443</v>
      </c>
      <c r="AS33" s="72">
        <v>592510.87699999998</v>
      </c>
      <c r="AT33" s="77">
        <f t="shared" si="63"/>
        <v>3.3312908294873322</v>
      </c>
      <c r="AU33" s="72">
        <v>762328.42500000005</v>
      </c>
      <c r="AV33" s="72">
        <f t="shared" si="10"/>
        <v>762.32842500000004</v>
      </c>
      <c r="AW33" s="78">
        <f t="shared" si="11"/>
        <v>13.348298202715075</v>
      </c>
      <c r="AX33" s="74">
        <f t="shared" si="64"/>
        <v>1.0877004676603796E-3</v>
      </c>
      <c r="AY33" s="78">
        <f t="shared" si="65"/>
        <v>34.815046603994503</v>
      </c>
      <c r="AZ33" s="74">
        <f t="shared" si="66"/>
        <v>-6.3379405655763499E-3</v>
      </c>
      <c r="BA33" s="79">
        <f t="shared" si="67"/>
        <v>0.14284611961626836</v>
      </c>
      <c r="BB33" s="80">
        <v>691253.8</v>
      </c>
      <c r="BC33" s="81">
        <f t="shared" si="12"/>
        <v>889369.8214193813</v>
      </c>
      <c r="BD33" s="82">
        <f t="shared" si="68"/>
        <v>1.5112894265471688</v>
      </c>
      <c r="BE33" s="81">
        <f t="shared" si="13"/>
        <v>15572.780968781735</v>
      </c>
      <c r="BF33" s="81">
        <f t="shared" si="14"/>
        <v>40616.945092795177</v>
      </c>
      <c r="BG33" s="72">
        <v>1097.1116999999999</v>
      </c>
      <c r="BH33" s="77">
        <f t="shared" si="103"/>
        <v>3.6353623099961929</v>
      </c>
      <c r="BI33" s="130">
        <f t="shared" si="15"/>
        <v>1455.0491125534354</v>
      </c>
      <c r="BJ33" s="77">
        <f t="shared" si="91"/>
        <v>1.0391189980673898</v>
      </c>
      <c r="BK33" s="83">
        <f t="shared" si="16"/>
        <v>25.477771544409073</v>
      </c>
      <c r="BL33" s="83">
        <f t="shared" si="17"/>
        <v>66.451152814679176</v>
      </c>
      <c r="BM33" s="81">
        <v>22817.405999999999</v>
      </c>
      <c r="BN33" s="81">
        <f t="shared" si="18"/>
        <v>11226.590856422541</v>
      </c>
      <c r="BO33" s="82">
        <v>92.864000000000004</v>
      </c>
      <c r="BP33" s="82">
        <f t="shared" si="19"/>
        <v>119.47918274921516</v>
      </c>
      <c r="BQ33" s="81">
        <f t="shared" si="20"/>
        <v>12089.282021474997</v>
      </c>
      <c r="BR33" s="82">
        <v>68.427999999999997</v>
      </c>
      <c r="BS33" s="82">
        <f t="shared" si="21"/>
        <v>88.039730327826661</v>
      </c>
      <c r="BT33" s="82">
        <v>75.054000000000002</v>
      </c>
      <c r="BU33" s="82">
        <f t="shared" si="22"/>
        <v>96.564767639339209</v>
      </c>
      <c r="BV33" s="82">
        <v>61.704999999999998</v>
      </c>
      <c r="BW33" s="82">
        <f t="shared" si="23"/>
        <v>79.389892439915599</v>
      </c>
      <c r="BX33" s="82">
        <f t="shared" si="24"/>
        <v>117.02510999848278</v>
      </c>
      <c r="BY33" s="84">
        <v>77.724000000000004</v>
      </c>
      <c r="BZ33" s="77">
        <v>75.400320891897692</v>
      </c>
      <c r="CA33" s="78">
        <v>0.79675424163094732</v>
      </c>
      <c r="CB33" s="78">
        <v>0.54576748170992917</v>
      </c>
      <c r="CC33" s="86">
        <f t="shared" si="25"/>
        <v>0.73896874101296084</v>
      </c>
      <c r="CD33" s="86">
        <f t="shared" si="92"/>
        <v>3.8705232498661202E-2</v>
      </c>
      <c r="CE33" s="86">
        <f t="shared" si="69"/>
        <v>2.6415224628178025E-2</v>
      </c>
      <c r="CF33" s="86">
        <f t="shared" si="26"/>
        <v>1.0251070990053874</v>
      </c>
      <c r="CG33" s="86">
        <f t="shared" si="70"/>
        <v>-1.3139201492488373E-2</v>
      </c>
      <c r="CH33" s="86">
        <f t="shared" si="27"/>
        <v>0.70218655976265909</v>
      </c>
      <c r="CI33" s="86">
        <f t="shared" si="93"/>
        <v>1.0420652549797293E-2</v>
      </c>
      <c r="CJ33" s="86">
        <f t="shared" si="28"/>
        <v>0.95076004967958516</v>
      </c>
      <c r="CK33" s="86">
        <f t="shared" si="94"/>
        <v>1.1081799381802426E-2</v>
      </c>
      <c r="CL33" s="87">
        <v>990.5</v>
      </c>
      <c r="CM33" s="77">
        <f t="shared" si="71"/>
        <v>65.16447368421052</v>
      </c>
      <c r="CN33" s="77">
        <f t="shared" si="29"/>
        <v>83.840864706153198</v>
      </c>
      <c r="CO33" s="77">
        <f t="shared" si="72"/>
        <v>123.58609028260224</v>
      </c>
      <c r="CP33" s="74">
        <v>0.86894006063860441</v>
      </c>
      <c r="CQ33" s="74">
        <f t="shared" si="73"/>
        <v>5.0731688595862634E-2</v>
      </c>
      <c r="CR33" s="139">
        <f t="shared" si="30"/>
        <v>0.41106243508529994</v>
      </c>
      <c r="CS33" s="74">
        <v>5.2040580925607482E-2</v>
      </c>
      <c r="CT33" s="77">
        <f t="shared" si="74"/>
        <v>41.106243508529992</v>
      </c>
      <c r="CU33" s="77">
        <f t="shared" si="31"/>
        <v>52.887452406631141</v>
      </c>
      <c r="CV33" s="78">
        <f t="shared" si="32"/>
        <v>128.2724849062366</v>
      </c>
      <c r="CW33" s="74">
        <f t="shared" si="75"/>
        <v>-8.5633652218928269E-2</v>
      </c>
      <c r="CX33" s="88">
        <f t="shared" si="76"/>
        <v>77.959041701809284</v>
      </c>
      <c r="CY33" s="77">
        <f t="shared" si="33"/>
        <v>67.840049405588999</v>
      </c>
      <c r="CZ33" s="89">
        <v>52.728000000000002</v>
      </c>
      <c r="DA33" s="74">
        <f t="shared" si="77"/>
        <v>6.58360288737736E-3</v>
      </c>
      <c r="DB33" s="125">
        <v>46.651000000000003</v>
      </c>
      <c r="DC33" s="125">
        <v>52.635934171576501</v>
      </c>
      <c r="DD33" s="74">
        <f t="shared" si="78"/>
        <v>0.98006047225240434</v>
      </c>
      <c r="DE33" s="74">
        <f t="shared" si="79"/>
        <v>0.97611394789598804</v>
      </c>
      <c r="DF33" s="75">
        <f t="shared" si="34"/>
        <v>0.95076004967958516</v>
      </c>
      <c r="DG33" s="75">
        <f t="shared" si="35"/>
        <v>0.94693151276844489</v>
      </c>
      <c r="DH33" s="74">
        <f t="shared" si="80"/>
        <v>1.0420652549797293E-2</v>
      </c>
      <c r="DI33" s="75">
        <f t="shared" si="95"/>
        <v>1.2275278556394098E-2</v>
      </c>
      <c r="DJ33" s="77">
        <f t="shared" si="96"/>
        <v>1.1020846143984484</v>
      </c>
      <c r="DK33" s="75">
        <f t="shared" si="36"/>
        <v>0.94693151276844489</v>
      </c>
      <c r="DL33" s="77">
        <f t="shared" si="97"/>
        <v>9.1034633134245393</v>
      </c>
      <c r="DM33" s="72">
        <v>22239</v>
      </c>
      <c r="DN33" s="72">
        <v>28866</v>
      </c>
      <c r="DO33" s="97">
        <v>22239</v>
      </c>
      <c r="DP33" s="92">
        <f t="shared" si="98"/>
        <v>237.39676999999938</v>
      </c>
      <c r="DQ33" s="72">
        <v>28866</v>
      </c>
      <c r="DR33" s="72">
        <v>22240</v>
      </c>
      <c r="DS33" s="72">
        <v>28867</v>
      </c>
      <c r="DT33" s="72">
        <v>30850</v>
      </c>
      <c r="DU33" s="72">
        <v>1498.06</v>
      </c>
      <c r="DV33" s="72">
        <v>13304</v>
      </c>
      <c r="DW33" s="93">
        <v>2.1480000000000001</v>
      </c>
      <c r="DX33" s="78">
        <v>6.81</v>
      </c>
      <c r="DY33" s="78">
        <v>5.92</v>
      </c>
      <c r="DZ33" s="67">
        <v>8.6199999999999992</v>
      </c>
      <c r="EA33" s="67">
        <v>6.69</v>
      </c>
      <c r="EB33" s="101">
        <v>13300.015763797346</v>
      </c>
      <c r="EC33" s="78">
        <v>8.0977372751248442</v>
      </c>
      <c r="ED33" s="72">
        <v>23680</v>
      </c>
      <c r="EE33" s="72">
        <f t="shared" si="38"/>
        <v>25503.36791154715</v>
      </c>
      <c r="EF33" s="72">
        <f t="shared" si="39"/>
        <v>314944373286.72113</v>
      </c>
      <c r="EG33" s="74">
        <f t="shared" si="81"/>
        <v>0.73896874101296084</v>
      </c>
      <c r="EH33" s="74">
        <f t="shared" si="104"/>
        <v>5.9839747192527302</v>
      </c>
      <c r="EI33" s="75">
        <f t="shared" si="41"/>
        <v>0.95076004967958516</v>
      </c>
      <c r="EJ33" s="75">
        <f t="shared" si="42"/>
        <v>5.9839747192527293</v>
      </c>
      <c r="EK33" s="78">
        <f t="shared" si="43"/>
        <v>7.6990050939899257</v>
      </c>
      <c r="EL33" s="72">
        <f t="shared" si="44"/>
        <v>5514.6460161161713</v>
      </c>
      <c r="EM33" s="72">
        <f t="shared" si="45"/>
        <v>14383.306031967832</v>
      </c>
      <c r="EN33" s="72">
        <f t="shared" si="46"/>
        <v>256.79196492805761</v>
      </c>
      <c r="EO33" s="72">
        <f t="shared" si="47"/>
        <v>197.84020854262656</v>
      </c>
      <c r="EP33" s="75">
        <f t="shared" si="48"/>
        <v>8.3849727888164277E-2</v>
      </c>
      <c r="EQ33" s="77">
        <f t="shared" si="82"/>
        <v>11.926097140515038</v>
      </c>
      <c r="ER33" s="78">
        <v>28.204999999999998</v>
      </c>
      <c r="ES33" s="74">
        <f t="shared" si="102"/>
        <v>4.8318156476491181E-2</v>
      </c>
      <c r="ET33" s="95">
        <f t="shared" si="99"/>
        <v>36.28866244660594</v>
      </c>
      <c r="EU33" s="74">
        <f t="shared" si="102"/>
        <v>2.0439076276850265E-2</v>
      </c>
      <c r="EV33" s="77">
        <f t="shared" si="100"/>
        <v>38.168055608600241</v>
      </c>
      <c r="EW33" s="74">
        <f t="shared" si="101"/>
        <v>9.2547179672000102E-3</v>
      </c>
      <c r="EX33" s="78">
        <v>4.9249999999999998</v>
      </c>
      <c r="EY33" s="78">
        <v>4.1281687803197311</v>
      </c>
      <c r="EZ33" s="173">
        <f t="shared" si="105"/>
        <v>2.7736233922301934</v>
      </c>
      <c r="FA33" s="72">
        <f t="shared" si="83"/>
        <v>10.740385585044711</v>
      </c>
      <c r="FB33" s="78">
        <f t="shared" si="84"/>
        <v>1.4495470116871687</v>
      </c>
      <c r="FC33" s="78">
        <f t="shared" si="85"/>
        <v>1.4495470116871687</v>
      </c>
      <c r="FD33" s="78">
        <f t="shared" si="86"/>
        <v>68.987069197298524</v>
      </c>
      <c r="FE33" s="72">
        <f t="shared" si="87"/>
        <v>286.94219380747461</v>
      </c>
    </row>
    <row r="34" spans="1:161" s="67" customFormat="1" x14ac:dyDescent="0.2">
      <c r="A34" s="68">
        <v>1992</v>
      </c>
      <c r="B34" s="72">
        <v>57110.533000000003</v>
      </c>
      <c r="C34" s="72">
        <v>57369.161</v>
      </c>
      <c r="D34" s="72">
        <v>57239.847000000002</v>
      </c>
      <c r="E34" s="72">
        <v>57239.847000000002</v>
      </c>
      <c r="F34" s="117">
        <v>74.400999999999996</v>
      </c>
      <c r="G34" s="72">
        <f t="shared" si="50"/>
        <v>42587.018566469997</v>
      </c>
      <c r="H34" s="72">
        <v>22148.125534276925</v>
      </c>
      <c r="I34" s="100">
        <f>I33*(I$37/I$32)^0.2</f>
        <v>77.254411074992476</v>
      </c>
      <c r="J34" s="100"/>
      <c r="K34" s="67">
        <f t="shared" si="51"/>
        <v>-233</v>
      </c>
      <c r="L34" s="67">
        <v>20095</v>
      </c>
      <c r="M34" s="67">
        <f t="shared" si="52"/>
        <v>770</v>
      </c>
      <c r="N34" s="67">
        <v>6850</v>
      </c>
      <c r="O34" s="67">
        <f t="shared" si="0"/>
        <v>26945</v>
      </c>
      <c r="P34" s="74">
        <f t="shared" si="53"/>
        <v>0.74577843755798845</v>
      </c>
      <c r="Q34" s="74">
        <f t="shared" si="54"/>
        <v>0.25422156244201149</v>
      </c>
      <c r="R34" s="77">
        <f t="shared" si="55"/>
        <v>-1.1462022825659224</v>
      </c>
      <c r="S34" s="77">
        <f t="shared" si="56"/>
        <v>12.664473684210531</v>
      </c>
      <c r="T34" s="77">
        <f t="shared" si="57"/>
        <v>2.0130756834568331</v>
      </c>
      <c r="U34" s="67">
        <f t="shared" si="58"/>
        <v>537</v>
      </c>
      <c r="V34" s="75">
        <f t="shared" si="1"/>
        <v>0.469677428261501</v>
      </c>
      <c r="W34" s="77">
        <f t="shared" si="88"/>
        <v>1.5612428195481143</v>
      </c>
      <c r="X34" s="74">
        <f t="shared" si="59"/>
        <v>1.2165815097218646</v>
      </c>
      <c r="Y34" s="77">
        <f t="shared" si="88"/>
        <v>0.87056896726865063</v>
      </c>
      <c r="Z34" s="72">
        <f t="shared" si="2"/>
        <v>21688.217799999999</v>
      </c>
      <c r="AA34" s="77">
        <f t="shared" si="89"/>
        <v>2.1972136938940512</v>
      </c>
      <c r="AB34" s="74">
        <f t="shared" si="3"/>
        <v>0.37804662682795726</v>
      </c>
      <c r="AC34" s="77">
        <f t="shared" si="89"/>
        <v>1.7364947201021108</v>
      </c>
      <c r="AD34" s="74">
        <f t="shared" si="60"/>
        <v>0.97923491387272643</v>
      </c>
      <c r="AE34" s="77">
        <f t="shared" si="61"/>
        <v>1.0362483458034477</v>
      </c>
      <c r="AF34" s="72">
        <v>18995</v>
      </c>
      <c r="AG34" s="72">
        <v>4275</v>
      </c>
      <c r="AH34" s="72">
        <f t="shared" si="4"/>
        <v>23270</v>
      </c>
      <c r="AI34" s="72">
        <v>19144</v>
      </c>
      <c r="AJ34" s="72">
        <v>4876</v>
      </c>
      <c r="AK34" s="72">
        <v>24020</v>
      </c>
      <c r="AL34" s="72">
        <f t="shared" si="5"/>
        <v>19069.5</v>
      </c>
      <c r="AM34" s="72">
        <f t="shared" si="6"/>
        <v>4575.5</v>
      </c>
      <c r="AN34" s="72">
        <f t="shared" si="7"/>
        <v>23645</v>
      </c>
      <c r="AO34" s="74">
        <f t="shared" si="8"/>
        <v>0.41869184734983311</v>
      </c>
      <c r="AP34" s="74">
        <f t="shared" si="9"/>
        <v>0.41308635922803916</v>
      </c>
      <c r="AQ34" s="74">
        <f t="shared" si="62"/>
        <v>1.0675847020736124</v>
      </c>
      <c r="AR34" s="67">
        <v>2105700</v>
      </c>
      <c r="AS34" s="72">
        <v>613680.98</v>
      </c>
      <c r="AT34" s="77">
        <f t="shared" si="63"/>
        <v>3.5729475730788884</v>
      </c>
      <c r="AU34" s="72">
        <v>769754.74699999997</v>
      </c>
      <c r="AV34" s="72">
        <f t="shared" si="10"/>
        <v>769.75474699999995</v>
      </c>
      <c r="AW34" s="78">
        <f t="shared" si="11"/>
        <v>13.417570234293647</v>
      </c>
      <c r="AX34" s="74">
        <f t="shared" si="64"/>
        <v>5.1761583156872959E-3</v>
      </c>
      <c r="AY34" s="78">
        <f t="shared" si="65"/>
        <v>34.754848477299383</v>
      </c>
      <c r="AZ34" s="74">
        <f t="shared" si="66"/>
        <v>-1.7305802071074794E-3</v>
      </c>
      <c r="BA34" s="79">
        <f t="shared" si="67"/>
        <v>0.15182665602443568</v>
      </c>
      <c r="BB34" s="80">
        <v>723532.5</v>
      </c>
      <c r="BC34" s="81">
        <f t="shared" ref="BC34:BC58" si="106">100*BB34/BY34</f>
        <v>907546.66098038224</v>
      </c>
      <c r="BD34" s="82">
        <f t="shared" si="68"/>
        <v>2.0437886606037292</v>
      </c>
      <c r="BE34" s="81">
        <f t="shared" ref="BE34:BE53" si="107">1000*BC34/C34</f>
        <v>15819.416654539922</v>
      </c>
      <c r="BF34" s="81">
        <f t="shared" ref="BF34:BF53" si="108">1000*BC34/H34</f>
        <v>40976.228872093176</v>
      </c>
      <c r="BG34" s="72">
        <v>1136.8412880000001</v>
      </c>
      <c r="BH34" s="77">
        <f t="shared" si="103"/>
        <v>3.621289245206305</v>
      </c>
      <c r="BI34" s="130">
        <f t="shared" ref="BI34:BI58" si="109">100*BG34/BZ34</f>
        <v>1478.3250943959551</v>
      </c>
      <c r="BJ34" s="77">
        <f t="shared" si="91"/>
        <v>1.599669842186513</v>
      </c>
      <c r="BK34" s="83">
        <f t="shared" ref="BK34:BK58" si="110">BI34*1000/C34</f>
        <v>25.768637167204783</v>
      </c>
      <c r="BL34" s="83">
        <f t="shared" ref="BL34:BL58" si="111">BI34*1000/H34</f>
        <v>66.747187797363111</v>
      </c>
      <c r="BM34" s="81">
        <v>23689.692999999999</v>
      </c>
      <c r="BN34" s="81">
        <f t="shared" ref="BN34:BN58" si="112">BM34*1000000/AR34</f>
        <v>11250.269744028114</v>
      </c>
      <c r="BO34" s="82">
        <v>94.082999999999998</v>
      </c>
      <c r="BP34" s="82">
        <f t="shared" ref="BP34:BP58" si="113">100*BO34/BY34</f>
        <v>118.0108875620892</v>
      </c>
      <c r="BQ34" s="81">
        <f t="shared" ref="BQ34:BQ58" si="114">((BM34*1000000)/(BO34/100))/AR34</f>
        <v>11957.813573151489</v>
      </c>
      <c r="BR34" s="82">
        <v>69.745999999999995</v>
      </c>
      <c r="BS34" s="82">
        <f t="shared" ref="BS34:BS58" si="115">100*BR34/BY34</f>
        <v>87.484320907129586</v>
      </c>
      <c r="BT34" s="82">
        <v>78.569999999999993</v>
      </c>
      <c r="BU34" s="82">
        <f t="shared" ref="BU34:BU58" si="116">100*BT34/BY34</f>
        <v>98.552506146204394</v>
      </c>
      <c r="BV34" s="82">
        <v>64.781000000000006</v>
      </c>
      <c r="BW34" s="82">
        <f t="shared" ref="BW34:BW58" si="117">100*BV34/BY34</f>
        <v>81.256585219005572</v>
      </c>
      <c r="BX34" s="82">
        <f t="shared" ref="BX34:BX58" si="118">100*BV34/CZ34</f>
        <v>125.19277224852644</v>
      </c>
      <c r="BY34" s="84">
        <v>79.724000000000004</v>
      </c>
      <c r="BZ34" s="77">
        <v>76.90062844157525</v>
      </c>
      <c r="CA34" s="78">
        <v>0.78686257597527021</v>
      </c>
      <c r="CB34" s="78">
        <v>0.52747359964143992</v>
      </c>
      <c r="CC34" s="86">
        <f t="shared" ref="CC34:CC56" si="119">(CA34*L34+N34*CB34)/(L34+N34)</f>
        <v>0.72092030513144989</v>
      </c>
      <c r="CD34" s="86">
        <f t="shared" si="92"/>
        <v>-2.4423815081502043E-2</v>
      </c>
      <c r="CE34" s="86">
        <f t="shared" si="69"/>
        <v>-3.8123786608530552E-2</v>
      </c>
      <c r="CF34" s="86">
        <f t="shared" si="26"/>
        <v>0.98698331239685688</v>
      </c>
      <c r="CG34" s="86">
        <f t="shared" si="70"/>
        <v>-4.056195532555118E-2</v>
      </c>
      <c r="CH34" s="86">
        <f t="shared" si="27"/>
        <v>0.66162460443710791</v>
      </c>
      <c r="CI34" s="86">
        <f t="shared" si="93"/>
        <v>-4.6489936374369711E-2</v>
      </c>
      <c r="CJ34" s="86">
        <f t="shared" ref="CJ34:CJ56" si="120">(CF34*L34+N34*CH34)/(L34+N34)</f>
        <v>0.90427011330521545</v>
      </c>
      <c r="CK34" s="86">
        <f t="shared" si="94"/>
        <v>-4.8897654450286598E-2</v>
      </c>
      <c r="CL34" s="87">
        <v>1005.25</v>
      </c>
      <c r="CM34" s="77">
        <f t="shared" si="71"/>
        <v>66.13486842105263</v>
      </c>
      <c r="CN34" s="77">
        <f t="shared" ref="CN34:CN53" si="121">100*CM34/BY34</f>
        <v>82.954779515644759</v>
      </c>
      <c r="CO34" s="77">
        <f t="shared" si="72"/>
        <v>127.80919590502008</v>
      </c>
      <c r="CP34" s="74">
        <v>0.84836185777963491</v>
      </c>
      <c r="CQ34" s="74">
        <f t="shared" si="73"/>
        <v>-2.3966883934114197E-2</v>
      </c>
      <c r="CR34" s="139">
        <f t="shared" si="30"/>
        <v>0.43362872588646245</v>
      </c>
      <c r="CS34" s="74">
        <v>-2.3681958964863581E-2</v>
      </c>
      <c r="CT34" s="77">
        <f t="shared" si="74"/>
        <v>43.362872588646248</v>
      </c>
      <c r="CU34" s="77">
        <f t="shared" ref="CU34:CU56" si="122">100*CR34/(BY34/100)</f>
        <v>54.391240515586581</v>
      </c>
      <c r="CV34" s="78">
        <f t="shared" ref="CV34:CV53" si="123">100*CZ34/(100*CR34)</f>
        <v>119.3301940368878</v>
      </c>
      <c r="CW34" s="74">
        <f t="shared" si="75"/>
        <v>-7.2262399157191126E-2</v>
      </c>
      <c r="CX34" s="88">
        <f t="shared" si="76"/>
        <v>83.801087232865498</v>
      </c>
      <c r="CY34" s="77">
        <f t="shared" ref="CY34:CY53" si="124">100*CZ34/BY34</f>
        <v>64.9051728463198</v>
      </c>
      <c r="CZ34" s="89">
        <v>51.744999999999997</v>
      </c>
      <c r="DA34" s="74">
        <f t="shared" si="77"/>
        <v>-1.8818814630282343E-2</v>
      </c>
      <c r="DB34" s="125">
        <v>44.973999999999997</v>
      </c>
      <c r="DC34" s="125">
        <v>51.914349303326212</v>
      </c>
      <c r="DD34" s="74">
        <f t="shared" si="78"/>
        <v>0.93746997877808569</v>
      </c>
      <c r="DE34" s="74">
        <f t="shared" si="79"/>
        <v>0.93319870495076118</v>
      </c>
      <c r="DF34" s="75">
        <f t="shared" ref="DF34:DF56" si="125">(($CA34/($BY34/100))*$L34+($CB34/($BY34/100))*$N34)/($L34+$N34)</f>
        <v>0.90427011330521545</v>
      </c>
      <c r="DG34" s="75">
        <f t="shared" ref="DG34:DG56" si="126">(($CA34/($BY34/100))*$L34*0.755*1.048+($CB34/($BY34/100))*$N34*0.845)/(($L34*0.755*1.048)+($N34*0.845))</f>
        <v>0.90015010375266791</v>
      </c>
      <c r="DH34" s="74">
        <f t="shared" si="80"/>
        <v>-4.6489936374369711E-2</v>
      </c>
      <c r="DI34" s="75">
        <f t="shared" si="95"/>
        <v>-4.2590493474318647E-2</v>
      </c>
      <c r="DJ34" s="77">
        <f t="shared" si="96"/>
        <v>-5.0133603352675236</v>
      </c>
      <c r="DK34" s="75">
        <f t="shared" ref="DK34:DK56" si="127">(($CA34/($BY34/100))*$L34*0.755*1.048+($CB34/($BY34/100))*$N34*0.845)/(($L34*0.755*1.048)+($N34*0.845))</f>
        <v>0.90015010375266791</v>
      </c>
      <c r="DL34" s="77">
        <f t="shared" si="97"/>
        <v>8.5059684001960498</v>
      </c>
      <c r="DM34" s="72">
        <v>22497</v>
      </c>
      <c r="DN34" s="72">
        <v>29052</v>
      </c>
      <c r="DO34" s="72">
        <v>22497</v>
      </c>
      <c r="DP34" s="92">
        <f t="shared" si="98"/>
        <v>258</v>
      </c>
      <c r="DQ34" s="72">
        <v>29052</v>
      </c>
      <c r="DR34" s="72">
        <v>22497</v>
      </c>
      <c r="DS34" s="72">
        <v>29052</v>
      </c>
      <c r="DT34" s="72">
        <v>31109</v>
      </c>
      <c r="DU34" s="72">
        <v>1524.36</v>
      </c>
      <c r="DV34" s="72">
        <v>13388</v>
      </c>
      <c r="DW34" s="93">
        <v>2.173</v>
      </c>
      <c r="DX34" s="78">
        <v>6.8</v>
      </c>
      <c r="DY34" s="78">
        <v>6</v>
      </c>
      <c r="DZ34" s="67">
        <v>8.61</v>
      </c>
      <c r="EA34" s="67">
        <v>6.62</v>
      </c>
      <c r="EB34" s="101">
        <v>13564.629248700265</v>
      </c>
      <c r="EC34" s="78">
        <v>8.0215756040118276</v>
      </c>
      <c r="ED34" s="72">
        <v>23916</v>
      </c>
      <c r="EE34" s="72">
        <f t="shared" si="38"/>
        <v>26022.927626912013</v>
      </c>
      <c r="EF34" s="72">
        <f t="shared" si="39"/>
        <v>324411673111.91553</v>
      </c>
      <c r="EG34" s="74">
        <f t="shared" si="81"/>
        <v>0.72092030513144989</v>
      </c>
      <c r="EH34" s="74">
        <f t="shared" si="104"/>
        <v>5.782916732079201</v>
      </c>
      <c r="EI34" s="75">
        <f t="shared" ref="EI34:EI58" si="128">DF34</f>
        <v>0.90427011330521545</v>
      </c>
      <c r="EJ34" s="75">
        <f t="shared" ref="EJ34:EJ60" si="129">EI34*BY34*EC34/100</f>
        <v>5.7829167320792019</v>
      </c>
      <c r="EK34" s="78">
        <f t="shared" ref="EK34:EK60" si="130">EI34*EC34</f>
        <v>7.2536710803261277</v>
      </c>
      <c r="EL34" s="72">
        <f t="shared" ref="EL34:EL59" si="131">$EF34/(C34*1000)</f>
        <v>5654.8094386793546</v>
      </c>
      <c r="EM34" s="72">
        <f t="shared" ref="EM34:EM58" si="132">$EF34/(H34*1000)</f>
        <v>14647.364744698096</v>
      </c>
      <c r="EN34" s="72">
        <f t="shared" ref="EN34:EN56" si="133">100*$C34/DR34</f>
        <v>255.00804996221717</v>
      </c>
      <c r="EO34" s="72">
        <f t="shared" ref="EO34:EO56" si="134">100*$C34/DS34</f>
        <v>197.47060787553352</v>
      </c>
      <c r="EP34" s="75">
        <f t="shared" ref="EP34:EP59" si="135">O34*1000000/EF34</f>
        <v>8.3058047022569734E-2</v>
      </c>
      <c r="EQ34" s="77">
        <f t="shared" si="82"/>
        <v>12.039772615027482</v>
      </c>
      <c r="ER34" s="78">
        <v>29.805</v>
      </c>
      <c r="ES34" s="74">
        <f t="shared" si="102"/>
        <v>5.6727530579684604E-2</v>
      </c>
      <c r="ET34" s="95">
        <f t="shared" si="99"/>
        <v>37.385229040188648</v>
      </c>
      <c r="EU34" s="74">
        <f t="shared" si="102"/>
        <v>3.0217884034611675E-2</v>
      </c>
      <c r="EV34" s="77">
        <f t="shared" si="100"/>
        <v>41.34298866025901</v>
      </c>
      <c r="EW34" s="74">
        <f t="shared" si="101"/>
        <v>8.3182991667602124E-2</v>
      </c>
      <c r="EX34" s="78">
        <v>5.1183333333333323</v>
      </c>
      <c r="EY34" s="78">
        <v>4.2693100680084815</v>
      </c>
      <c r="EZ34" s="173">
        <f t="shared" si="105"/>
        <v>2.8684530365531877</v>
      </c>
      <c r="FA34" s="72">
        <f t="shared" si="83"/>
        <v>10.131664746492492</v>
      </c>
      <c r="FB34" s="78">
        <f t="shared" si="84"/>
        <v>1.3545319126415141</v>
      </c>
      <c r="FC34" s="78">
        <f t="shared" si="85"/>
        <v>1.3545319126415141</v>
      </c>
      <c r="FD34" s="78">
        <f t="shared" si="86"/>
        <v>73.826241424601761</v>
      </c>
      <c r="FE34" s="72">
        <f t="shared" si="87"/>
        <v>273.46838329631191</v>
      </c>
    </row>
    <row r="35" spans="1:161" s="67" customFormat="1" x14ac:dyDescent="0.2">
      <c r="A35" s="68">
        <v>1993</v>
      </c>
      <c r="B35" s="72">
        <v>57369.161</v>
      </c>
      <c r="C35" s="72">
        <v>57565.008000000002</v>
      </c>
      <c r="D35" s="72">
        <v>57467.084999999999</v>
      </c>
      <c r="E35" s="72">
        <v>57467.084499999997</v>
      </c>
      <c r="F35" s="117">
        <v>74.572000000000003</v>
      </c>
      <c r="G35" s="72">
        <f t="shared" si="50"/>
        <v>42854.354253340003</v>
      </c>
      <c r="H35" s="72">
        <v>22396.2194255135</v>
      </c>
      <c r="I35" s="100">
        <f>I34*(I$37/I$32)^0.2</f>
        <v>77.634401926616263</v>
      </c>
      <c r="J35" s="100"/>
      <c r="K35" s="67">
        <f t="shared" si="51"/>
        <v>-557</v>
      </c>
      <c r="L35" s="67">
        <v>19538</v>
      </c>
      <c r="M35" s="67">
        <f t="shared" si="52"/>
        <v>790</v>
      </c>
      <c r="N35" s="67">
        <v>7640</v>
      </c>
      <c r="O35" s="67">
        <f t="shared" si="0"/>
        <v>27178</v>
      </c>
      <c r="P35" s="74">
        <f t="shared" si="53"/>
        <v>0.71889027890205315</v>
      </c>
      <c r="Q35" s="74">
        <f t="shared" si="54"/>
        <v>0.28110972109794685</v>
      </c>
      <c r="R35" s="77">
        <f t="shared" si="55"/>
        <v>-2.7718337894998779</v>
      </c>
      <c r="S35" s="77">
        <f t="shared" si="56"/>
        <v>11.532846715328461</v>
      </c>
      <c r="T35" s="77">
        <f t="shared" si="57"/>
        <v>0.86100711128462848</v>
      </c>
      <c r="U35" s="67">
        <f t="shared" si="58"/>
        <v>233</v>
      </c>
      <c r="V35" s="75">
        <f t="shared" si="1"/>
        <v>0.47212709498798294</v>
      </c>
      <c r="W35" s="77">
        <f t="shared" si="88"/>
        <v>0.52020821525988747</v>
      </c>
      <c r="X35" s="74">
        <f t="shared" si="59"/>
        <v>1.2135083820905574</v>
      </c>
      <c r="Y35" s="77">
        <f t="shared" si="88"/>
        <v>-0.25292309390665679</v>
      </c>
      <c r="Z35" s="72">
        <f t="shared" si="2"/>
        <v>21915.047120000003</v>
      </c>
      <c r="AA35" s="77">
        <f t="shared" si="89"/>
        <v>1.0458642664497919</v>
      </c>
      <c r="AB35" s="74">
        <f t="shared" si="3"/>
        <v>0.38070084381817515</v>
      </c>
      <c r="AC35" s="77">
        <f t="shared" si="89"/>
        <v>0.70208720349878018</v>
      </c>
      <c r="AD35" s="74">
        <f t="shared" si="60"/>
        <v>0.97851546743798412</v>
      </c>
      <c r="AE35" s="77">
        <f t="shared" ref="AE35:AE53" si="136">100*(AD35/AD34-1)</f>
        <v>-7.3470259745644917E-2</v>
      </c>
      <c r="AF35" s="72">
        <v>19144</v>
      </c>
      <c r="AG35" s="72">
        <v>4876</v>
      </c>
      <c r="AH35" s="72">
        <f t="shared" si="4"/>
        <v>24020</v>
      </c>
      <c r="AI35" s="72">
        <v>18850</v>
      </c>
      <c r="AJ35" s="72">
        <v>5535</v>
      </c>
      <c r="AK35" s="72">
        <v>24385</v>
      </c>
      <c r="AL35" s="72">
        <f t="shared" si="5"/>
        <v>18997</v>
      </c>
      <c r="AM35" s="72">
        <f t="shared" si="6"/>
        <v>5205.5</v>
      </c>
      <c r="AN35" s="72">
        <f t="shared" si="7"/>
        <v>24202.5</v>
      </c>
      <c r="AO35" s="74">
        <f t="shared" si="8"/>
        <v>0.42360803632651278</v>
      </c>
      <c r="AP35" s="74">
        <f t="shared" si="9"/>
        <v>0.42115412674925135</v>
      </c>
      <c r="AQ35" s="74">
        <f t="shared" si="62"/>
        <v>1.0806511375946248</v>
      </c>
      <c r="AR35" s="67">
        <v>1721216</v>
      </c>
      <c r="AS35" s="72">
        <v>622644.42599999998</v>
      </c>
      <c r="AT35" s="77">
        <f t="shared" si="63"/>
        <v>1.4606035207413548</v>
      </c>
      <c r="AU35" s="72">
        <v>769443.56700000004</v>
      </c>
      <c r="AV35" s="72">
        <f t="shared" si="10"/>
        <v>769.44356700000003</v>
      </c>
      <c r="AW35" s="78">
        <f t="shared" si="11"/>
        <v>13.366515418533426</v>
      </c>
      <c r="AX35" s="74">
        <f t="shared" si="64"/>
        <v>-3.8123293254992419E-3</v>
      </c>
      <c r="AY35" s="78">
        <f t="shared" si="65"/>
        <v>34.355957690049209</v>
      </c>
      <c r="AZ35" s="74">
        <f t="shared" si="66"/>
        <v>-1.1543642417164879E-2</v>
      </c>
      <c r="BA35" s="79">
        <f t="shared" si="67"/>
        <v>0.15758169595956251</v>
      </c>
      <c r="BB35" s="80">
        <v>739115.5</v>
      </c>
      <c r="BC35" s="81">
        <f t="shared" si="106"/>
        <v>913379.09813274664</v>
      </c>
      <c r="BD35" s="82">
        <f t="shared" si="68"/>
        <v>0.64265975548452037</v>
      </c>
      <c r="BE35" s="81">
        <f t="shared" si="107"/>
        <v>15866.9151602089</v>
      </c>
      <c r="BF35" s="81">
        <f t="shared" si="108"/>
        <v>40782.735727809326</v>
      </c>
      <c r="BG35" s="72">
        <v>1148.4043880000004</v>
      </c>
      <c r="BH35" s="77">
        <f t="shared" si="103"/>
        <v>1.0171252682371179</v>
      </c>
      <c r="BI35" s="130">
        <f t="shared" si="109"/>
        <v>1469.2683257568124</v>
      </c>
      <c r="BJ35" s="77">
        <f t="shared" si="91"/>
        <v>-0.61263714412176373</v>
      </c>
      <c r="BK35" s="83">
        <f t="shared" si="110"/>
        <v>25.523636264530918</v>
      </c>
      <c r="BL35" s="83">
        <f t="shared" si="111"/>
        <v>65.60340822893707</v>
      </c>
      <c r="BM35" s="81">
        <v>20300.143</v>
      </c>
      <c r="BN35" s="81">
        <f t="shared" si="112"/>
        <v>11794.07058730572</v>
      </c>
      <c r="BO35" s="82">
        <v>96.572999999999993</v>
      </c>
      <c r="BP35" s="82">
        <f t="shared" si="113"/>
        <v>119.34232152346114</v>
      </c>
      <c r="BQ35" s="81">
        <f t="shared" si="114"/>
        <v>12212.596261176228</v>
      </c>
      <c r="BR35" s="82">
        <v>71.831999999999994</v>
      </c>
      <c r="BS35" s="82">
        <f t="shared" si="115"/>
        <v>88.768057735322088</v>
      </c>
      <c r="BT35" s="82">
        <v>81.700999999999993</v>
      </c>
      <c r="BU35" s="82">
        <f t="shared" si="116"/>
        <v>100.9639030659532</v>
      </c>
      <c r="BV35" s="82">
        <v>67.325000000000003</v>
      </c>
      <c r="BW35" s="82">
        <f t="shared" si="117"/>
        <v>83.198428096538592</v>
      </c>
      <c r="BX35" s="82">
        <f t="shared" si="118"/>
        <v>125.32343031589137</v>
      </c>
      <c r="BY35" s="84">
        <v>80.921000000000006</v>
      </c>
      <c r="BZ35" s="77">
        <v>78.161651474278074</v>
      </c>
      <c r="CA35" s="78">
        <v>0.80849972370924517</v>
      </c>
      <c r="CB35" s="78">
        <v>0.55948789326129611</v>
      </c>
      <c r="CC35" s="86">
        <f t="shared" si="119"/>
        <v>0.73850007750193292</v>
      </c>
      <c r="CD35" s="86">
        <f t="shared" si="92"/>
        <v>2.4385181337454043E-2</v>
      </c>
      <c r="CE35" s="86">
        <f t="shared" si="69"/>
        <v>1.2138947225793673E-2</v>
      </c>
      <c r="CF35" s="86">
        <f t="shared" si="26"/>
        <v>0.99912225962265055</v>
      </c>
      <c r="CG35" s="86">
        <f t="shared" si="70"/>
        <v>2.9775518227337705E-2</v>
      </c>
      <c r="CH35" s="86">
        <f t="shared" si="27"/>
        <v>0.69140012266444562</v>
      </c>
      <c r="CI35" s="86">
        <f t="shared" si="93"/>
        <v>8.3484622214499149E-3</v>
      </c>
      <c r="CJ35" s="86">
        <f t="shared" si="120"/>
        <v>0.91261857552666537</v>
      </c>
      <c r="CK35" s="86">
        <f t="shared" si="94"/>
        <v>9.2322659995200951E-3</v>
      </c>
      <c r="CL35" s="87">
        <v>1016.75</v>
      </c>
      <c r="CM35" s="77">
        <f t="shared" si="71"/>
        <v>66.891447368421055</v>
      </c>
      <c r="CN35" s="77">
        <f t="shared" si="121"/>
        <v>82.662655390344966</v>
      </c>
      <c r="CO35" s="77">
        <f t="shared" si="72"/>
        <v>124.51638533985046</v>
      </c>
      <c r="CP35" s="74">
        <v>0.83613532524738465</v>
      </c>
      <c r="CQ35" s="74">
        <f t="shared" ref="CQ35:CQ59" si="137">LN(CP35)-LN(CP34)</f>
        <v>-1.4516791562689063E-2</v>
      </c>
      <c r="CR35" s="139">
        <f t="shared" si="30"/>
        <v>0.4235971163592091</v>
      </c>
      <c r="CS35" s="74">
        <v>-1.4411930970411713E-2</v>
      </c>
      <c r="CT35" s="77">
        <f t="shared" si="74"/>
        <v>42.35971163592091</v>
      </c>
      <c r="CU35" s="77">
        <f t="shared" si="122"/>
        <v>52.346994767638691</v>
      </c>
      <c r="CV35" s="78">
        <f t="shared" si="123"/>
        <v>126.82097664339327</v>
      </c>
      <c r="CW35" s="74">
        <f t="shared" si="75"/>
        <v>6.0882068829421598E-2</v>
      </c>
      <c r="CX35" s="88">
        <f t="shared" si="76"/>
        <v>78.851308866031744</v>
      </c>
      <c r="CY35" s="77">
        <f t="shared" si="124"/>
        <v>66.386970007785365</v>
      </c>
      <c r="CZ35" s="89">
        <v>53.720999999999997</v>
      </c>
      <c r="DA35" s="74">
        <f t="shared" si="77"/>
        <v>3.7476177402595567E-2</v>
      </c>
      <c r="DB35" s="125">
        <v>47.581000000000003</v>
      </c>
      <c r="DC35" s="125">
        <v>53.901454708448661</v>
      </c>
      <c r="DD35" s="74">
        <f t="shared" si="78"/>
        <v>0.94483683951453279</v>
      </c>
      <c r="DE35" s="74">
        <f t="shared" si="79"/>
        <v>0.94054445050166302</v>
      </c>
      <c r="DF35" s="75">
        <f t="shared" si="125"/>
        <v>0.91261857552666537</v>
      </c>
      <c r="DG35" s="75">
        <f t="shared" si="126"/>
        <v>0.90847255392515347</v>
      </c>
      <c r="DH35" s="74">
        <f t="shared" si="80"/>
        <v>8.3484622214499149E-3</v>
      </c>
      <c r="DI35" s="75">
        <f t="shared" si="95"/>
        <v>7.3668607364471006E-3</v>
      </c>
      <c r="DJ35" s="77">
        <f t="shared" si="96"/>
        <v>0.91899091320992587</v>
      </c>
      <c r="DK35" s="75">
        <f t="shared" si="127"/>
        <v>0.90847255392515347</v>
      </c>
      <c r="DL35" s="77">
        <f t="shared" si="97"/>
        <v>9.0924562485499898</v>
      </c>
      <c r="DM35" s="72">
        <v>22854</v>
      </c>
      <c r="DN35" s="72">
        <v>29528</v>
      </c>
      <c r="DO35" s="72">
        <v>22854</v>
      </c>
      <c r="DP35" s="92">
        <f t="shared" si="98"/>
        <v>357</v>
      </c>
      <c r="DQ35" s="72">
        <v>29528</v>
      </c>
      <c r="DR35" s="72">
        <v>22854</v>
      </c>
      <c r="DS35" s="72">
        <v>29529</v>
      </c>
      <c r="DT35" s="72">
        <v>31440</v>
      </c>
      <c r="DU35" s="72">
        <v>1578.99</v>
      </c>
      <c r="DV35" s="72">
        <v>13760</v>
      </c>
      <c r="DW35" s="93">
        <v>2.2240000000000002</v>
      </c>
      <c r="DX35" s="75"/>
      <c r="DY35" s="75"/>
      <c r="DZ35" s="67">
        <v>8.6</v>
      </c>
      <c r="EA35" s="67">
        <v>6.67</v>
      </c>
      <c r="EB35" s="101">
        <v>13516.771143640439</v>
      </c>
      <c r="EC35" s="78">
        <v>7.9849853401490032</v>
      </c>
      <c r="ED35" s="72">
        <v>24203</v>
      </c>
      <c r="EE35" s="72">
        <f t="shared" si="38"/>
        <v>26122.593038187395</v>
      </c>
      <c r="EF35" s="72">
        <f t="shared" si="39"/>
        <v>327146411989.52954</v>
      </c>
      <c r="EG35" s="74">
        <f t="shared" si="81"/>
        <v>0.73850007750193292</v>
      </c>
      <c r="EH35" s="74">
        <f t="shared" si="104"/>
        <v>5.8969122925518374</v>
      </c>
      <c r="EI35" s="75">
        <f t="shared" si="128"/>
        <v>0.91261857552666537</v>
      </c>
      <c r="EJ35" s="75">
        <f t="shared" si="129"/>
        <v>5.8969122925518374</v>
      </c>
      <c r="EK35" s="78">
        <f t="shared" si="130"/>
        <v>7.2872459467280892</v>
      </c>
      <c r="EL35" s="72">
        <f t="shared" si="131"/>
        <v>5683.0776778408426</v>
      </c>
      <c r="EM35" s="72">
        <f t="shared" si="132"/>
        <v>14607.21587755335</v>
      </c>
      <c r="EN35" s="72">
        <f t="shared" si="133"/>
        <v>251.88154371226042</v>
      </c>
      <c r="EO35" s="72">
        <f t="shared" si="134"/>
        <v>194.94398049375189</v>
      </c>
      <c r="EP35" s="75">
        <f t="shared" si="135"/>
        <v>8.3075953163349509E-2</v>
      </c>
      <c r="EQ35" s="77">
        <f t="shared" si="82"/>
        <v>12.037177569708204</v>
      </c>
      <c r="ER35" s="78">
        <v>31.264166666666664</v>
      </c>
      <c r="ES35" s="74">
        <f t="shared" si="102"/>
        <v>4.8957110104568491E-2</v>
      </c>
      <c r="ET35" s="95">
        <f t="shared" si="99"/>
        <v>38.635418082656741</v>
      </c>
      <c r="EU35" s="74">
        <f t="shared" si="102"/>
        <v>3.3440721765383818E-2</v>
      </c>
      <c r="EV35" s="77">
        <f t="shared" si="100"/>
        <v>42.33468298665796</v>
      </c>
      <c r="EW35" s="74">
        <f t="shared" si="101"/>
        <v>2.3987001388513951E-2</v>
      </c>
      <c r="EX35" s="78">
        <v>5.25</v>
      </c>
      <c r="EY35" s="78">
        <v>4.3605249486678375</v>
      </c>
      <c r="EZ35" s="173">
        <f t="shared" si="105"/>
        <v>2.9297382552977278</v>
      </c>
      <c r="FA35" s="72">
        <f t="shared" si="83"/>
        <v>10.161621633113901</v>
      </c>
      <c r="FB35" s="78">
        <f t="shared" si="84"/>
        <v>1.3523399962092577</v>
      </c>
      <c r="FC35" s="78">
        <f t="shared" si="85"/>
        <v>1.3523399962092577</v>
      </c>
      <c r="FD35" s="78">
        <f t="shared" si="86"/>
        <v>73.945901385975304</v>
      </c>
      <c r="FE35" s="72">
        <f t="shared" si="87"/>
        <v>272.06257681351536</v>
      </c>
    </row>
    <row r="36" spans="1:161" s="67" customFormat="1" x14ac:dyDescent="0.2">
      <c r="A36" s="68">
        <v>1994</v>
      </c>
      <c r="B36" s="72">
        <v>57565.008000000002</v>
      </c>
      <c r="C36" s="72">
        <v>57752.535000000003</v>
      </c>
      <c r="D36" s="72">
        <v>57658.771999999997</v>
      </c>
      <c r="E36" s="72">
        <v>57658.771500000003</v>
      </c>
      <c r="F36" s="117">
        <v>74.742999999999995</v>
      </c>
      <c r="G36" s="72">
        <f t="shared" si="50"/>
        <v>43095.895582245001</v>
      </c>
      <c r="H36" s="72">
        <v>22649.213593028246</v>
      </c>
      <c r="I36" s="100">
        <f>I35*(I$37/I$32)^0.2</f>
        <v>78.016261837175435</v>
      </c>
      <c r="J36" s="100"/>
      <c r="K36" s="67">
        <f t="shared" si="51"/>
        <v>-585</v>
      </c>
      <c r="L36" s="67">
        <v>18953</v>
      </c>
      <c r="M36" s="67">
        <f t="shared" si="52"/>
        <v>963</v>
      </c>
      <c r="N36" s="67">
        <v>8603</v>
      </c>
      <c r="O36" s="67">
        <f t="shared" si="0"/>
        <v>27556</v>
      </c>
      <c r="P36" s="74">
        <f t="shared" si="53"/>
        <v>0.687799390332414</v>
      </c>
      <c r="Q36" s="74">
        <f t="shared" si="54"/>
        <v>0.312200609667586</v>
      </c>
      <c r="R36" s="77">
        <f t="shared" si="55"/>
        <v>-2.9941652165011767</v>
      </c>
      <c r="S36" s="77">
        <f t="shared" si="56"/>
        <v>12.604712041884824</v>
      </c>
      <c r="T36" s="77">
        <f t="shared" si="57"/>
        <v>1.3812475232644061</v>
      </c>
      <c r="U36" s="67">
        <f t="shared" si="58"/>
        <v>378</v>
      </c>
      <c r="V36" s="75">
        <f t="shared" si="1"/>
        <v>0.47713922860702129</v>
      </c>
      <c r="W36" s="77">
        <f t="shared" si="88"/>
        <v>1.0560113789203074</v>
      </c>
      <c r="X36" s="74">
        <f t="shared" si="59"/>
        <v>1.2166426832798352</v>
      </c>
      <c r="Y36" s="77">
        <f t="shared" si="88"/>
        <v>0.25795128310183157</v>
      </c>
      <c r="Z36" s="72">
        <f t="shared" si="2"/>
        <v>22265.906719999999</v>
      </c>
      <c r="AA36" s="77">
        <f t="shared" si="89"/>
        <v>1.6009986110401497</v>
      </c>
      <c r="AB36" s="74">
        <f t="shared" si="3"/>
        <v>0.38553990262072474</v>
      </c>
      <c r="AC36" s="77">
        <f t="shared" si="89"/>
        <v>1.2710922187660678</v>
      </c>
      <c r="AD36" s="74">
        <f t="shared" si="60"/>
        <v>0.98307637166059336</v>
      </c>
      <c r="AE36" s="77">
        <f t="shared" si="136"/>
        <v>0.46610445868076056</v>
      </c>
      <c r="AF36" s="72">
        <v>18850</v>
      </c>
      <c r="AG36" s="72">
        <v>5535</v>
      </c>
      <c r="AH36" s="72">
        <f t="shared" si="4"/>
        <v>24385</v>
      </c>
      <c r="AI36" s="72">
        <v>18594</v>
      </c>
      <c r="AJ36" s="72">
        <v>6306</v>
      </c>
      <c r="AK36" s="72">
        <v>24900</v>
      </c>
      <c r="AL36" s="72">
        <f t="shared" si="5"/>
        <v>18722</v>
      </c>
      <c r="AM36" s="72">
        <f t="shared" si="6"/>
        <v>5920.5</v>
      </c>
      <c r="AN36" s="72">
        <f t="shared" si="7"/>
        <v>24642.5</v>
      </c>
      <c r="AO36" s="74">
        <f t="shared" si="8"/>
        <v>0.4311499053677903</v>
      </c>
      <c r="AP36" s="74">
        <f t="shared" si="9"/>
        <v>0.4273850993566079</v>
      </c>
      <c r="AQ36" s="74">
        <f t="shared" si="62"/>
        <v>1.0880068704718877</v>
      </c>
      <c r="AR36" s="67">
        <v>1972919</v>
      </c>
      <c r="AS36" s="72">
        <v>638776.68700000003</v>
      </c>
      <c r="AT36" s="77">
        <f t="shared" si="63"/>
        <v>2.5909267515068057</v>
      </c>
      <c r="AU36" s="72">
        <v>782120.20200000005</v>
      </c>
      <c r="AV36" s="72">
        <f t="shared" si="10"/>
        <v>782.12020200000006</v>
      </c>
      <c r="AW36" s="78">
        <f t="shared" si="11"/>
        <v>13.542612493113939</v>
      </c>
      <c r="AX36" s="74">
        <f t="shared" si="64"/>
        <v>1.3088464929329024E-2</v>
      </c>
      <c r="AY36" s="78">
        <f t="shared" si="65"/>
        <v>34.531892190762328</v>
      </c>
      <c r="AZ36" s="74">
        <f t="shared" si="66"/>
        <v>5.1078639711445994E-3</v>
      </c>
      <c r="BA36" s="79">
        <f t="shared" si="67"/>
        <v>0.15026437878839882</v>
      </c>
      <c r="BB36" s="80">
        <v>751735.8</v>
      </c>
      <c r="BC36" s="81">
        <f t="shared" si="106"/>
        <v>920432.70643549808</v>
      </c>
      <c r="BD36" s="82">
        <f t="shared" si="68"/>
        <v>0.77225418417954383</v>
      </c>
      <c r="BE36" s="81">
        <f t="shared" si="107"/>
        <v>15937.529087433099</v>
      </c>
      <c r="BF36" s="81">
        <f t="shared" si="108"/>
        <v>40638.616553063039</v>
      </c>
      <c r="BG36" s="72">
        <v>1186.3446329999999</v>
      </c>
      <c r="BH36" s="77">
        <f t="shared" si="103"/>
        <v>3.303735634977345</v>
      </c>
      <c r="BI36" s="130">
        <f t="shared" si="109"/>
        <v>1503.72829236699</v>
      </c>
      <c r="BJ36" s="77">
        <f t="shared" si="91"/>
        <v>2.3453828008187294</v>
      </c>
      <c r="BK36" s="83">
        <f t="shared" si="110"/>
        <v>26.037442206943641</v>
      </c>
      <c r="BL36" s="83">
        <f t="shared" si="111"/>
        <v>66.392075212265169</v>
      </c>
      <c r="BM36" s="81">
        <v>23926.587</v>
      </c>
      <c r="BN36" s="81">
        <f t="shared" si="112"/>
        <v>12127.505994924271</v>
      </c>
      <c r="BO36" s="82">
        <v>95.727999999999994</v>
      </c>
      <c r="BP36" s="82">
        <f t="shared" si="113"/>
        <v>117.21030463316681</v>
      </c>
      <c r="BQ36" s="81">
        <f t="shared" si="114"/>
        <v>12668.713432772305</v>
      </c>
      <c r="BR36" s="82">
        <v>73.024000000000001</v>
      </c>
      <c r="BS36" s="82">
        <f t="shared" si="115"/>
        <v>89.411303751591731</v>
      </c>
      <c r="BT36" s="82">
        <v>84.444999999999993</v>
      </c>
      <c r="BU36" s="82">
        <f t="shared" si="116"/>
        <v>103.395288470957</v>
      </c>
      <c r="BV36" s="82">
        <v>69.134</v>
      </c>
      <c r="BW36" s="82">
        <f t="shared" si="117"/>
        <v>84.648349495543144</v>
      </c>
      <c r="BX36" s="82">
        <f t="shared" si="118"/>
        <v>123.68769456471178</v>
      </c>
      <c r="BY36" s="84">
        <v>81.671999999999997</v>
      </c>
      <c r="BZ36" s="77">
        <v>78.893550053021713</v>
      </c>
      <c r="CA36" s="78">
        <v>0.83143229840506783</v>
      </c>
      <c r="CB36" s="78">
        <v>0.59</v>
      </c>
      <c r="CC36" s="86">
        <f t="shared" si="119"/>
        <v>0.75605698764955898</v>
      </c>
      <c r="CD36" s="86">
        <f t="shared" si="92"/>
        <v>2.377374178079239E-2</v>
      </c>
      <c r="CE36" s="86">
        <f t="shared" si="69"/>
        <v>1.8891623232021537E-2</v>
      </c>
      <c r="CF36" s="86">
        <f t="shared" si="26"/>
        <v>1.0180138828546721</v>
      </c>
      <c r="CG36" s="86">
        <f t="shared" si="70"/>
        <v>3.100167966683065E-2</v>
      </c>
      <c r="CH36" s="86">
        <f t="shared" si="27"/>
        <v>0.72240180233127627</v>
      </c>
      <c r="CI36" s="86">
        <f t="shared" si="93"/>
        <v>1.3105035563499068E-2</v>
      </c>
      <c r="CJ36" s="86">
        <f t="shared" si="120"/>
        <v>0.92572361109016443</v>
      </c>
      <c r="CK36" s="86">
        <f t="shared" si="94"/>
        <v>1.435981681167986E-2</v>
      </c>
      <c r="CL36" s="87">
        <v>1018.25</v>
      </c>
      <c r="CM36" s="77">
        <f t="shared" si="71"/>
        <v>66.99013157894737</v>
      </c>
      <c r="CN36" s="77">
        <f t="shared" si="121"/>
        <v>82.023375917018527</v>
      </c>
      <c r="CO36" s="77">
        <f t="shared" si="72"/>
        <v>119.85209786193039</v>
      </c>
      <c r="CP36" s="74">
        <v>0.83458865551237937</v>
      </c>
      <c r="CQ36" s="74">
        <f t="shared" si="137"/>
        <v>-1.8514969494113076E-3</v>
      </c>
      <c r="CR36" s="139">
        <f t="shared" si="30"/>
        <v>0.41757899668430115</v>
      </c>
      <c r="CS36" s="74">
        <v>-1.8497839862795518E-3</v>
      </c>
      <c r="CT36" s="77">
        <f t="shared" si="74"/>
        <v>41.757899668430113</v>
      </c>
      <c r="CU36" s="77">
        <f t="shared" si="122"/>
        <v>51.128783020411049</v>
      </c>
      <c r="CV36" s="78">
        <f t="shared" si="123"/>
        <v>133.85251759263429</v>
      </c>
      <c r="CW36" s="74">
        <f t="shared" si="75"/>
        <v>5.3962119586600465E-2</v>
      </c>
      <c r="CX36" s="88">
        <f t="shared" si="76"/>
        <v>74.709091617043171</v>
      </c>
      <c r="CY36" s="77">
        <f t="shared" si="124"/>
        <v>68.437163287295519</v>
      </c>
      <c r="CZ36" s="89">
        <v>55.893999999999998</v>
      </c>
      <c r="DA36" s="74">
        <f t="shared" si="77"/>
        <v>3.9653053351619505E-2</v>
      </c>
      <c r="DB36" s="125">
        <v>50.389000000000003</v>
      </c>
      <c r="DC36" s="125">
        <v>56.08468846922414</v>
      </c>
      <c r="DD36" s="74">
        <f t="shared" si="78"/>
        <v>0.95832547418824277</v>
      </c>
      <c r="DE36" s="74">
        <f t="shared" si="79"/>
        <v>0.9539534308921177</v>
      </c>
      <c r="DF36" s="75">
        <f t="shared" si="125"/>
        <v>0.92572361109016443</v>
      </c>
      <c r="DG36" s="75">
        <f t="shared" si="126"/>
        <v>0.92150030302109764</v>
      </c>
      <c r="DH36" s="74">
        <f t="shared" si="80"/>
        <v>1.3105035563499068E-2</v>
      </c>
      <c r="DI36" s="75">
        <f t="shared" si="95"/>
        <v>1.3488634673709976E-2</v>
      </c>
      <c r="DJ36" s="77">
        <f t="shared" si="96"/>
        <v>1.4257691151706899</v>
      </c>
      <c r="DK36" s="75">
        <f t="shared" si="127"/>
        <v>0.92150030302109764</v>
      </c>
      <c r="DL36" s="77">
        <f t="shared" si="97"/>
        <v>9.1434027812910408</v>
      </c>
      <c r="DM36" s="72">
        <v>23202</v>
      </c>
      <c r="DN36" s="72">
        <v>30056</v>
      </c>
      <c r="DO36" s="72">
        <v>23202</v>
      </c>
      <c r="DP36" s="92">
        <f t="shared" si="98"/>
        <v>348</v>
      </c>
      <c r="DQ36" s="72">
        <v>30056</v>
      </c>
      <c r="DR36" s="72">
        <v>23202</v>
      </c>
      <c r="DS36" s="72">
        <v>30056</v>
      </c>
      <c r="DT36" s="72">
        <v>31645</v>
      </c>
      <c r="DU36" s="72">
        <v>1641.82</v>
      </c>
      <c r="DV36" s="72">
        <v>14214</v>
      </c>
      <c r="DW36" s="93">
        <v>2.2930000000000001</v>
      </c>
      <c r="DX36" s="75"/>
      <c r="DY36" s="75"/>
      <c r="DZ36" s="67">
        <v>8.43</v>
      </c>
      <c r="EA36" s="67">
        <v>6.61</v>
      </c>
      <c r="EB36" s="101">
        <v>13541.666333297981</v>
      </c>
      <c r="EC36" s="78">
        <v>7.7805089409820498</v>
      </c>
      <c r="ED36" s="72">
        <v>24642.5</v>
      </c>
      <c r="EE36" s="72">
        <f t="shared" si="38"/>
        <v>25963.598220369415</v>
      </c>
      <c r="EF36" s="72">
        <f t="shared" si="39"/>
        <v>333700512618.29547</v>
      </c>
      <c r="EG36" s="74">
        <f t="shared" si="81"/>
        <v>0.75605698764955898</v>
      </c>
      <c r="EH36" s="74">
        <f t="shared" si="104"/>
        <v>5.8825081522993488</v>
      </c>
      <c r="EI36" s="75">
        <f t="shared" si="128"/>
        <v>0.92572361109016443</v>
      </c>
      <c r="EJ36" s="75">
        <f t="shared" si="129"/>
        <v>5.8825081522993488</v>
      </c>
      <c r="EK36" s="78">
        <f t="shared" si="130"/>
        <v>7.2026008329652145</v>
      </c>
      <c r="EL36" s="72">
        <f t="shared" si="131"/>
        <v>5778.1102183357916</v>
      </c>
      <c r="EM36" s="72">
        <f t="shared" si="132"/>
        <v>14733.426008266057</v>
      </c>
      <c r="EN36" s="72">
        <f t="shared" si="133"/>
        <v>248.9118825963279</v>
      </c>
      <c r="EO36" s="72">
        <f t="shared" si="134"/>
        <v>192.1497704285334</v>
      </c>
      <c r="EP36" s="75">
        <f t="shared" si="135"/>
        <v>8.2577038266405153E-2</v>
      </c>
      <c r="EQ36" s="77">
        <f t="shared" si="82"/>
        <v>12.109903927213509</v>
      </c>
      <c r="ER36" s="78">
        <v>32.549999999999997</v>
      </c>
      <c r="ES36" s="74">
        <f t="shared" si="102"/>
        <v>4.1128021963376504E-2</v>
      </c>
      <c r="ET36" s="95">
        <f t="shared" si="99"/>
        <v>39.854540111666175</v>
      </c>
      <c r="EU36" s="74">
        <f t="shared" si="102"/>
        <v>3.1554518871809378E-2</v>
      </c>
      <c r="EV36" s="77">
        <f t="shared" si="100"/>
        <v>43.052310251363345</v>
      </c>
      <c r="EW36" s="74">
        <f t="shared" si="101"/>
        <v>1.6951284716872683E-2</v>
      </c>
      <c r="EX36" s="78">
        <v>5.3650000000000002</v>
      </c>
      <c r="EY36" s="78">
        <v>4.4539065700350866</v>
      </c>
      <c r="EZ36" s="173">
        <f t="shared" si="105"/>
        <v>2.9924792582003574</v>
      </c>
      <c r="FA36" s="72">
        <f t="shared" si="83"/>
        <v>10.185085507668424</v>
      </c>
      <c r="FB36" s="78">
        <f t="shared" si="84"/>
        <v>1.3207524809513478</v>
      </c>
      <c r="FC36" s="78">
        <f t="shared" si="85"/>
        <v>1.3207524809513478</v>
      </c>
      <c r="FD36" s="78">
        <f t="shared" si="86"/>
        <v>75.714413898332594</v>
      </c>
      <c r="FE36" s="72">
        <f t="shared" si="87"/>
        <v>266.19720882960769</v>
      </c>
    </row>
    <row r="37" spans="1:161" s="67" customFormat="1" x14ac:dyDescent="0.2">
      <c r="A37" s="68">
        <v>1995</v>
      </c>
      <c r="B37" s="72">
        <v>57752.535000000003</v>
      </c>
      <c r="C37" s="72">
        <v>57935.959000000003</v>
      </c>
      <c r="D37" s="72">
        <v>57844.247000000003</v>
      </c>
      <c r="E37" s="72">
        <v>57844.247000000003</v>
      </c>
      <c r="F37" s="117">
        <v>74.912000000000006</v>
      </c>
      <c r="G37" s="72">
        <f t="shared" si="50"/>
        <v>43332.282312640011</v>
      </c>
      <c r="H37" s="72">
        <v>22907.701102481598</v>
      </c>
      <c r="I37" s="85">
        <v>78.400000000000006</v>
      </c>
      <c r="J37" s="85"/>
      <c r="K37" s="67">
        <f t="shared" si="51"/>
        <v>-905</v>
      </c>
      <c r="L37" s="102">
        <v>18048</v>
      </c>
      <c r="M37" s="67">
        <f t="shared" si="52"/>
        <v>1024</v>
      </c>
      <c r="N37" s="102">
        <v>9627</v>
      </c>
      <c r="O37" s="67">
        <f t="shared" si="0"/>
        <v>27675</v>
      </c>
      <c r="P37" s="74">
        <f t="shared" si="53"/>
        <v>0.65214092140921409</v>
      </c>
      <c r="Q37" s="74">
        <f t="shared" si="54"/>
        <v>0.34785907859078591</v>
      </c>
      <c r="R37" s="77">
        <f t="shared" si="55"/>
        <v>-4.7749696617949695</v>
      </c>
      <c r="S37" s="77">
        <f t="shared" si="56"/>
        <v>11.902824596071149</v>
      </c>
      <c r="T37" s="77">
        <f t="shared" si="57"/>
        <v>0.4309180863749873</v>
      </c>
      <c r="U37" s="67">
        <f t="shared" si="58"/>
        <v>119</v>
      </c>
      <c r="V37" s="75">
        <f t="shared" si="1"/>
        <v>0.47768260813633895</v>
      </c>
      <c r="W37" s="77">
        <f t="shared" si="88"/>
        <v>0.11381800605466674</v>
      </c>
      <c r="X37" s="74">
        <f t="shared" si="59"/>
        <v>1.20810900562178</v>
      </c>
      <c r="Y37" s="77">
        <f t="shared" si="88"/>
        <v>-0.70388344758295918</v>
      </c>
      <c r="Z37" s="72">
        <f t="shared" si="2"/>
        <v>22415.114519999999</v>
      </c>
      <c r="AA37" s="77">
        <f t="shared" si="89"/>
        <v>0.67011778085810381</v>
      </c>
      <c r="AB37" s="74">
        <f t="shared" si="3"/>
        <v>0.38689468349009287</v>
      </c>
      <c r="AC37" s="77">
        <f t="shared" si="89"/>
        <v>0.35139835336341907</v>
      </c>
      <c r="AD37" s="74">
        <f t="shared" si="60"/>
        <v>0.97849690022242186</v>
      </c>
      <c r="AE37" s="77">
        <f t="shared" si="136"/>
        <v>-0.46583068927147364</v>
      </c>
      <c r="AF37" s="72">
        <v>18594</v>
      </c>
      <c r="AG37" s="72">
        <v>6306</v>
      </c>
      <c r="AH37" s="72">
        <f t="shared" si="4"/>
        <v>24900</v>
      </c>
      <c r="AI37" s="72">
        <v>18162</v>
      </c>
      <c r="AJ37" s="72">
        <v>6938</v>
      </c>
      <c r="AK37" s="72">
        <v>25100</v>
      </c>
      <c r="AL37" s="72">
        <f t="shared" si="5"/>
        <v>18378</v>
      </c>
      <c r="AM37" s="72">
        <f t="shared" si="6"/>
        <v>6622</v>
      </c>
      <c r="AN37" s="72">
        <f t="shared" si="7"/>
        <v>25000</v>
      </c>
      <c r="AO37" s="74">
        <f t="shared" si="8"/>
        <v>0.4332369815437076</v>
      </c>
      <c r="AP37" s="74">
        <f t="shared" si="9"/>
        <v>0.43219509798442013</v>
      </c>
      <c r="AQ37" s="74">
        <f t="shared" si="62"/>
        <v>1.0913360484388257</v>
      </c>
      <c r="AR37" s="67">
        <v>1930504</v>
      </c>
      <c r="AS37" s="72">
        <v>655094.78300000005</v>
      </c>
      <c r="AT37" s="77">
        <f t="shared" si="63"/>
        <v>2.5545854023943049</v>
      </c>
      <c r="AU37" s="72">
        <v>794801.23499999999</v>
      </c>
      <c r="AV37" s="72">
        <f t="shared" si="10"/>
        <v>794.80123500000002</v>
      </c>
      <c r="AW37" s="78">
        <f t="shared" si="11"/>
        <v>13.718617050940676</v>
      </c>
      <c r="AX37" s="74">
        <f t="shared" si="64"/>
        <v>1.2912623992846317E-2</v>
      </c>
      <c r="AY37" s="78">
        <f t="shared" si="65"/>
        <v>34.695809563967941</v>
      </c>
      <c r="AZ37" s="74">
        <f t="shared" si="66"/>
        <v>4.7356094564703355E-3</v>
      </c>
      <c r="BA37" s="79">
        <f t="shared" si="67"/>
        <v>0.1569327512420895</v>
      </c>
      <c r="BB37" s="80">
        <v>777037.4</v>
      </c>
      <c r="BC37" s="81">
        <f t="shared" si="106"/>
        <v>942754.84700686717</v>
      </c>
      <c r="BD37" s="82">
        <f t="shared" si="68"/>
        <v>2.4251789854159655</v>
      </c>
      <c r="BE37" s="81">
        <f t="shared" si="107"/>
        <v>16272.361125615736</v>
      </c>
      <c r="BF37" s="81">
        <f t="shared" si="108"/>
        <v>41154.493975160964</v>
      </c>
      <c r="BG37" s="72">
        <v>1224.9670740000001</v>
      </c>
      <c r="BH37" s="77">
        <f t="shared" si="103"/>
        <v>3.2555835737489547</v>
      </c>
      <c r="BI37" s="130">
        <f t="shared" si="109"/>
        <v>1535.0821026383942</v>
      </c>
      <c r="BJ37" s="77">
        <f t="shared" si="91"/>
        <v>2.0850715139535403</v>
      </c>
      <c r="BK37" s="83">
        <f t="shared" si="110"/>
        <v>26.496188707921345</v>
      </c>
      <c r="BL37" s="83">
        <f t="shared" si="111"/>
        <v>67.011617436901957</v>
      </c>
      <c r="BM37" s="81">
        <v>22623.781999999999</v>
      </c>
      <c r="BN37" s="81">
        <f t="shared" si="112"/>
        <v>11719.106513117818</v>
      </c>
      <c r="BO37" s="82">
        <v>96.783000000000001</v>
      </c>
      <c r="BP37" s="82">
        <f t="shared" si="113"/>
        <v>117.42374608720972</v>
      </c>
      <c r="BQ37" s="81">
        <f t="shared" si="114"/>
        <v>12108.641510510955</v>
      </c>
      <c r="BR37" s="82">
        <v>74.811000000000007</v>
      </c>
      <c r="BS37" s="82">
        <f t="shared" si="115"/>
        <v>90.765814952318564</v>
      </c>
      <c r="BT37" s="82">
        <v>86.647000000000006</v>
      </c>
      <c r="BU37" s="82">
        <f t="shared" si="116"/>
        <v>105.12605857659364</v>
      </c>
      <c r="BV37" s="82">
        <v>70.816999999999993</v>
      </c>
      <c r="BW37" s="82">
        <f t="shared" si="117"/>
        <v>85.920021353522102</v>
      </c>
      <c r="BX37" s="82">
        <f t="shared" si="118"/>
        <v>122.07091513971005</v>
      </c>
      <c r="BY37" s="84">
        <v>82.421999999999997</v>
      </c>
      <c r="BZ37" s="77">
        <v>79.79814707595186</v>
      </c>
      <c r="CA37" s="78">
        <v>0.87339743227856859</v>
      </c>
      <c r="CB37" s="78">
        <v>0.58689999999999998</v>
      </c>
      <c r="CC37" s="86">
        <f t="shared" si="119"/>
        <v>0.77373669946751966</v>
      </c>
      <c r="CD37" s="86">
        <f t="shared" si="92"/>
        <v>2.338409948821929E-2</v>
      </c>
      <c r="CE37" s="86">
        <f t="shared" si="69"/>
        <v>4.1651536910158438E-2</v>
      </c>
      <c r="CF37" s="86">
        <f t="shared" si="26"/>
        <v>1.0596654197648305</v>
      </c>
      <c r="CG37" s="86">
        <f t="shared" si="70"/>
        <v>-1.0334635798069147E-2</v>
      </c>
      <c r="CH37" s="86">
        <f t="shared" si="27"/>
        <v>0.71206716653320712</v>
      </c>
      <c r="CI37" s="86">
        <f t="shared" si="93"/>
        <v>1.3026600585747006E-2</v>
      </c>
      <c r="CJ37" s="86">
        <f t="shared" si="120"/>
        <v>0.93875021167591144</v>
      </c>
      <c r="CK37" s="86">
        <f t="shared" si="94"/>
        <v>1.4071803321950904E-2</v>
      </c>
      <c r="CL37" s="87">
        <v>1017.75</v>
      </c>
      <c r="CM37" s="77">
        <f t="shared" si="71"/>
        <v>66.95723684210526</v>
      </c>
      <c r="CN37" s="77">
        <f t="shared" si="121"/>
        <v>81.237093060233022</v>
      </c>
      <c r="CO37" s="77">
        <f t="shared" si="72"/>
        <v>115.41764232517757</v>
      </c>
      <c r="CP37" s="74">
        <v>0.82698214294966377</v>
      </c>
      <c r="CQ37" s="74">
        <f t="shared" si="137"/>
        <v>-9.1558731141868632E-3</v>
      </c>
      <c r="CR37" s="139">
        <f>CR38*(1-CS37)</f>
        <v>0.41680799193546564</v>
      </c>
      <c r="CS37" s="74">
        <v>-9.114085738495592E-3</v>
      </c>
      <c r="CT37" s="77">
        <f t="shared" si="74"/>
        <v>41.680799193546562</v>
      </c>
      <c r="CU37" s="77">
        <f t="shared" si="122"/>
        <v>50.569992469906779</v>
      </c>
      <c r="CV37" s="78">
        <f t="shared" si="123"/>
        <v>139.18399148397845</v>
      </c>
      <c r="CW37" s="74">
        <f t="shared" si="75"/>
        <v>3.9058158730710169E-2</v>
      </c>
      <c r="CX37" s="88">
        <f t="shared" si="76"/>
        <v>71.847343170576536</v>
      </c>
      <c r="CY37" s="77">
        <f t="shared" si="124"/>
        <v>70.385334012763593</v>
      </c>
      <c r="CZ37" s="89">
        <v>58.012999999999998</v>
      </c>
      <c r="DA37" s="74">
        <f t="shared" si="77"/>
        <v>3.7210083487948964E-2</v>
      </c>
      <c r="DB37" s="125">
        <v>50.433999999999997</v>
      </c>
      <c r="DC37" s="125">
        <v>59.178455703074697</v>
      </c>
      <c r="DD37" s="74">
        <f t="shared" si="78"/>
        <v>0.96961737561534755</v>
      </c>
      <c r="DE37" s="74">
        <f t="shared" si="79"/>
        <v>0.96421134315027468</v>
      </c>
      <c r="DF37" s="75">
        <f t="shared" si="125"/>
        <v>0.93875021167591144</v>
      </c>
      <c r="DG37" s="75">
        <f t="shared" si="126"/>
        <v>0.93351627688004069</v>
      </c>
      <c r="DH37" s="74">
        <f t="shared" si="80"/>
        <v>1.3026600585747006E-2</v>
      </c>
      <c r="DI37" s="75">
        <f t="shared" si="95"/>
        <v>1.1291901427104789E-2</v>
      </c>
      <c r="DJ37" s="77">
        <f t="shared" si="96"/>
        <v>1.3973714616530049</v>
      </c>
      <c r="DK37" s="75">
        <f t="shared" si="127"/>
        <v>0.93351627688004069</v>
      </c>
      <c r="DL37" s="77">
        <f t="shared" si="97"/>
        <v>9.1303957667680535</v>
      </c>
      <c r="DM37" s="72">
        <v>23518</v>
      </c>
      <c r="DN37" s="72">
        <v>30477</v>
      </c>
      <c r="DO37" s="72">
        <v>23518</v>
      </c>
      <c r="DP37" s="92">
        <f t="shared" si="98"/>
        <v>316</v>
      </c>
      <c r="DQ37" s="72">
        <v>30477</v>
      </c>
      <c r="DR37" s="72">
        <v>23518</v>
      </c>
      <c r="DS37" s="72">
        <v>30478</v>
      </c>
      <c r="DT37" s="72">
        <v>32030</v>
      </c>
      <c r="DU37" s="72">
        <v>1690.19</v>
      </c>
      <c r="DV37" s="72">
        <v>14457</v>
      </c>
      <c r="DW37" s="93">
        <v>2.3410000000000002</v>
      </c>
      <c r="DX37" s="75"/>
      <c r="DY37" s="75"/>
      <c r="DZ37" s="67">
        <v>8.49</v>
      </c>
      <c r="EA37" s="67">
        <v>6.67</v>
      </c>
      <c r="EB37" s="101">
        <v>13720.701604525326</v>
      </c>
      <c r="EC37" s="78">
        <v>7.7766311591762056</v>
      </c>
      <c r="ED37" s="72">
        <v>25000</v>
      </c>
      <c r="EE37" s="72">
        <f t="shared" si="38"/>
        <v>26675.208905877651</v>
      </c>
      <c r="EF37" s="72">
        <f t="shared" si="39"/>
        <v>343017540113.13312</v>
      </c>
      <c r="EG37" s="74">
        <f t="shared" si="81"/>
        <v>0.77373669946751966</v>
      </c>
      <c r="EH37" s="74">
        <f t="shared" si="104"/>
        <v>6.0170649260772686</v>
      </c>
      <c r="EI37" s="75">
        <f t="shared" si="128"/>
        <v>0.93875021167591144</v>
      </c>
      <c r="EJ37" s="75">
        <f t="shared" si="129"/>
        <v>6.0170649260772704</v>
      </c>
      <c r="EK37" s="78">
        <f t="shared" si="130"/>
        <v>7.300314146802152</v>
      </c>
      <c r="EL37" s="72">
        <f t="shared" si="131"/>
        <v>5920.6328165402965</v>
      </c>
      <c r="EM37" s="72">
        <f t="shared" si="132"/>
        <v>14973.896270890924</v>
      </c>
      <c r="EN37" s="72">
        <f t="shared" si="133"/>
        <v>246.34730419253339</v>
      </c>
      <c r="EO37" s="72">
        <f t="shared" si="134"/>
        <v>190.09107881094562</v>
      </c>
      <c r="EP37" s="75">
        <f t="shared" si="135"/>
        <v>8.068100538203471E-2</v>
      </c>
      <c r="EQ37" s="77">
        <f t="shared" si="82"/>
        <v>12.394491060998487</v>
      </c>
      <c r="ER37" s="78">
        <v>34.364166666666669</v>
      </c>
      <c r="ES37" s="74">
        <f t="shared" si="102"/>
        <v>5.5734767025089837E-2</v>
      </c>
      <c r="ET37" s="95">
        <f t="shared" si="99"/>
        <v>41.69295414654664</v>
      </c>
      <c r="EU37" s="74">
        <f t="shared" si="102"/>
        <v>4.6128095562751881E-2</v>
      </c>
      <c r="EV37" s="77">
        <f t="shared" si="100"/>
        <v>44.413256719392855</v>
      </c>
      <c r="EW37" s="74">
        <f t="shared" si="101"/>
        <v>3.1611461965305621E-2</v>
      </c>
      <c r="EX37" s="78">
        <v>5.53</v>
      </c>
      <c r="EY37" s="78">
        <v>4.5848415708885906</v>
      </c>
      <c r="EZ37" s="173">
        <f t="shared" si="105"/>
        <v>3.0804515288498222</v>
      </c>
      <c r="FA37" s="72">
        <f t="shared" si="83"/>
        <v>10.125584766728085</v>
      </c>
      <c r="FB37" s="78">
        <f t="shared" si="84"/>
        <v>1.3123823000302928</v>
      </c>
      <c r="FC37" s="78">
        <f t="shared" si="85"/>
        <v>1.3123823000302928</v>
      </c>
      <c r="FD37" s="78">
        <f t="shared" si="86"/>
        <v>76.197309273137691</v>
      </c>
      <c r="FE37" s="72">
        <f t="shared" si="87"/>
        <v>268.00730870966521</v>
      </c>
    </row>
    <row r="38" spans="1:161" s="67" customFormat="1" x14ac:dyDescent="0.2">
      <c r="A38" s="68">
        <v>1996</v>
      </c>
      <c r="B38" s="72">
        <v>57935.959000000003</v>
      </c>
      <c r="C38" s="72">
        <v>58116.017999999996</v>
      </c>
      <c r="D38" s="72">
        <v>58025.989000000001</v>
      </c>
      <c r="E38" s="72">
        <v>58025.988499999999</v>
      </c>
      <c r="F38" s="117">
        <v>75.081999999999994</v>
      </c>
      <c r="G38" s="72">
        <f t="shared" si="50"/>
        <v>43567.072685569998</v>
      </c>
      <c r="H38" s="72">
        <v>23159.910064205</v>
      </c>
      <c r="I38" s="100">
        <f>I37*(I$42/I$37)^0.2</f>
        <v>78.776368997899496</v>
      </c>
      <c r="J38" s="100"/>
      <c r="K38" s="67">
        <f t="shared" si="51"/>
        <v>-820</v>
      </c>
      <c r="L38" s="102">
        <v>17228</v>
      </c>
      <c r="M38" s="67">
        <f t="shared" si="52"/>
        <v>814</v>
      </c>
      <c r="N38" s="102">
        <v>10441</v>
      </c>
      <c r="O38" s="67">
        <f t="shared" si="0"/>
        <v>27669</v>
      </c>
      <c r="P38" s="74">
        <f t="shared" si="53"/>
        <v>0.62264628284361556</v>
      </c>
      <c r="Q38" s="74">
        <f t="shared" si="54"/>
        <v>0.37735371715638438</v>
      </c>
      <c r="R38" s="77">
        <f t="shared" si="55"/>
        <v>-4.5434397163120588</v>
      </c>
      <c r="S38" s="77">
        <f t="shared" si="56"/>
        <v>8.4553858938402513</v>
      </c>
      <c r="T38" s="77">
        <f t="shared" si="57"/>
        <v>-2.1682567300906896E-2</v>
      </c>
      <c r="U38" s="67">
        <f t="shared" si="58"/>
        <v>-6</v>
      </c>
      <c r="V38" s="75">
        <f t="shared" si="1"/>
        <v>0.47609937762769639</v>
      </c>
      <c r="W38" s="77">
        <f t="shared" si="88"/>
        <v>-0.33199032618325131</v>
      </c>
      <c r="X38" s="74">
        <f t="shared" si="59"/>
        <v>1.1946937584513362</v>
      </c>
      <c r="Y38" s="77">
        <f t="shared" si="88"/>
        <v>-1.1166448420868447</v>
      </c>
      <c r="Z38" s="72">
        <f t="shared" si="2"/>
        <v>22454.12772</v>
      </c>
      <c r="AA38" s="77">
        <f t="shared" si="89"/>
        <v>0.17404863118228864</v>
      </c>
      <c r="AB38" s="74">
        <f t="shared" si="3"/>
        <v>0.38636727863908366</v>
      </c>
      <c r="AC38" s="77">
        <f t="shared" si="89"/>
        <v>-0.13631742009262426</v>
      </c>
      <c r="AD38" s="74">
        <f t="shared" si="60"/>
        <v>0.96952568717890542</v>
      </c>
      <c r="AE38" s="77">
        <f t="shared" si="136"/>
        <v>-0.91683612298385508</v>
      </c>
      <c r="AF38" s="72">
        <v>18162</v>
      </c>
      <c r="AG38" s="72">
        <v>6938</v>
      </c>
      <c r="AH38" s="72">
        <f t="shared" si="4"/>
        <v>25100</v>
      </c>
      <c r="AI38" s="72">
        <v>18029</v>
      </c>
      <c r="AJ38" s="72">
        <v>7471</v>
      </c>
      <c r="AK38" s="72">
        <v>25500</v>
      </c>
      <c r="AL38" s="72">
        <f t="shared" si="5"/>
        <v>18095.5</v>
      </c>
      <c r="AM38" s="72">
        <f t="shared" si="6"/>
        <v>7204.5</v>
      </c>
      <c r="AN38" s="72">
        <f t="shared" si="7"/>
        <v>25300</v>
      </c>
      <c r="AO38" s="74">
        <f t="shared" si="8"/>
        <v>0.43877748127891353</v>
      </c>
      <c r="AP38" s="74">
        <f t="shared" si="9"/>
        <v>0.43601152580096481</v>
      </c>
      <c r="AQ38" s="74">
        <f t="shared" si="62"/>
        <v>1.0924049329147714</v>
      </c>
      <c r="AR38" s="67">
        <v>2132091</v>
      </c>
      <c r="AS38" s="72">
        <v>677650.75</v>
      </c>
      <c r="AT38" s="77">
        <f t="shared" si="63"/>
        <v>3.443160834941339</v>
      </c>
      <c r="AU38" s="72">
        <v>809608.446</v>
      </c>
      <c r="AV38" s="72">
        <f t="shared" si="10"/>
        <v>809.60844599999996</v>
      </c>
      <c r="AW38" s="78">
        <f t="shared" si="11"/>
        <v>13.930900186588834</v>
      </c>
      <c r="AX38" s="74">
        <f t="shared" si="64"/>
        <v>1.5355588675734833E-2</v>
      </c>
      <c r="AY38" s="78">
        <f t="shared" si="65"/>
        <v>34.957322535172423</v>
      </c>
      <c r="AZ38" s="74">
        <f t="shared" si="66"/>
        <v>7.5090435166988989E-3</v>
      </c>
      <c r="BA38" s="79">
        <f t="shared" si="67"/>
        <v>0.14865996223780642</v>
      </c>
      <c r="BB38" s="80">
        <v>795981.3</v>
      </c>
      <c r="BC38" s="81">
        <f t="shared" si="106"/>
        <v>950981.82817409595</v>
      </c>
      <c r="BD38" s="82">
        <f t="shared" si="68"/>
        <v>0.87265328768644235</v>
      </c>
      <c r="BE38" s="81">
        <f t="shared" si="107"/>
        <v>16363.506325813583</v>
      </c>
      <c r="BF38" s="81">
        <f t="shared" si="108"/>
        <v>41061.550996430429</v>
      </c>
      <c r="BG38" s="72">
        <v>1258.950137</v>
      </c>
      <c r="BH38" s="77">
        <f t="shared" si="103"/>
        <v>2.7742021578614162</v>
      </c>
      <c r="BI38" s="130">
        <f t="shared" si="109"/>
        <v>1556.3886449868244</v>
      </c>
      <c r="BJ38" s="77">
        <f t="shared" si="91"/>
        <v>1.3879741228048914</v>
      </c>
      <c r="BK38" s="83">
        <f t="shared" si="110"/>
        <v>26.780717236800783</v>
      </c>
      <c r="BL38" s="83">
        <f t="shared" si="111"/>
        <v>67.201843214076831</v>
      </c>
      <c r="BM38" s="81">
        <v>25292.803</v>
      </c>
      <c r="BN38" s="81">
        <f t="shared" si="112"/>
        <v>11862.909697569194</v>
      </c>
      <c r="BO38" s="82">
        <v>95.14</v>
      </c>
      <c r="BP38" s="82">
        <f t="shared" si="113"/>
        <v>113.66650338705632</v>
      </c>
      <c r="BQ38" s="81">
        <f t="shared" si="114"/>
        <v>12468.898147539618</v>
      </c>
      <c r="BR38" s="82">
        <v>76.533000000000001</v>
      </c>
      <c r="BS38" s="82">
        <f t="shared" si="115"/>
        <v>91.436183558141494</v>
      </c>
      <c r="BT38" s="82">
        <v>88.716999999999999</v>
      </c>
      <c r="BU38" s="82">
        <f t="shared" si="116"/>
        <v>105.99275994313092</v>
      </c>
      <c r="BV38" s="82">
        <v>72.165999999999997</v>
      </c>
      <c r="BW38" s="82">
        <f t="shared" si="117"/>
        <v>86.218802642740229</v>
      </c>
      <c r="BX38" s="82">
        <f t="shared" si="118"/>
        <v>116.15509665373658</v>
      </c>
      <c r="BY38" s="84">
        <v>83.700999999999993</v>
      </c>
      <c r="BZ38" s="77">
        <v>80.889187996527554</v>
      </c>
      <c r="CA38" s="78">
        <v>0.92505916521936393</v>
      </c>
      <c r="CB38" s="78">
        <v>0.65329999999999999</v>
      </c>
      <c r="CC38" s="86">
        <f t="shared" si="119"/>
        <v>0.82250983405252098</v>
      </c>
      <c r="CD38" s="86">
        <f t="shared" si="92"/>
        <v>6.3035829395925891E-2</v>
      </c>
      <c r="CE38" s="86">
        <f t="shared" si="69"/>
        <v>4.5529458694643088E-2</v>
      </c>
      <c r="CF38" s="86">
        <f t="shared" si="26"/>
        <v>1.1051948784594736</v>
      </c>
      <c r="CG38" s="86">
        <f t="shared" si="70"/>
        <v>6.8449195278479813E-2</v>
      </c>
      <c r="CH38" s="86">
        <f t="shared" si="27"/>
        <v>0.78051636181168693</v>
      </c>
      <c r="CI38" s="86">
        <f t="shared" si="93"/>
        <v>4.392602164569881E-2</v>
      </c>
      <c r="CJ38" s="86">
        <f t="shared" si="120"/>
        <v>0.98267623332161025</v>
      </c>
      <c r="CK38" s="86">
        <f t="shared" si="94"/>
        <v>4.6792023159472285E-2</v>
      </c>
      <c r="CL38" s="87">
        <v>1035.75</v>
      </c>
      <c r="CM38" s="77">
        <f t="shared" si="71"/>
        <v>68.141447368421055</v>
      </c>
      <c r="CN38" s="77">
        <f t="shared" si="121"/>
        <v>81.410553480150853</v>
      </c>
      <c r="CO38" s="77">
        <f t="shared" si="72"/>
        <v>109.67736060200721</v>
      </c>
      <c r="CP38" s="103">
        <v>0.82325000000000004</v>
      </c>
      <c r="CQ38" s="74">
        <f t="shared" si="137"/>
        <v>-4.5231809702057924E-3</v>
      </c>
      <c r="CR38" s="137">
        <v>0.41304347826086957</v>
      </c>
      <c r="CS38" s="74">
        <f t="shared" ref="CS38:CS56" si="138">CR38/CR37-1</f>
        <v>-9.0317694176529351E-3</v>
      </c>
      <c r="CT38" s="77">
        <f t="shared" si="74"/>
        <v>41.304347826086953</v>
      </c>
      <c r="CU38" s="77">
        <f t="shared" si="122"/>
        <v>49.347496237902725</v>
      </c>
      <c r="CV38" s="78">
        <f t="shared" si="123"/>
        <v>150.41757894736841</v>
      </c>
      <c r="CW38" s="74">
        <f t="shared" si="75"/>
        <v>7.7618548404810639E-2</v>
      </c>
      <c r="CX38" s="88">
        <f t="shared" si="76"/>
        <v>66.481591247383591</v>
      </c>
      <c r="CY38" s="77">
        <f t="shared" si="124"/>
        <v>74.227309112196991</v>
      </c>
      <c r="CZ38" s="89">
        <v>62.128999999999998</v>
      </c>
      <c r="DA38" s="74">
        <f t="shared" si="77"/>
        <v>6.854574529968982E-2</v>
      </c>
      <c r="DB38" s="125">
        <v>56.048000000000002</v>
      </c>
      <c r="DC38" s="125">
        <v>63.131987798064799</v>
      </c>
      <c r="DD38" s="74">
        <f t="shared" si="78"/>
        <v>1.0168353205472034</v>
      </c>
      <c r="DE38" s="74">
        <f t="shared" si="79"/>
        <v>1.0116060598804055</v>
      </c>
      <c r="DF38" s="75">
        <f t="shared" si="125"/>
        <v>0.98267623332161025</v>
      </c>
      <c r="DG38" s="75">
        <f t="shared" si="126"/>
        <v>0.97762264197671012</v>
      </c>
      <c r="DH38" s="74">
        <f t="shared" si="80"/>
        <v>4.392602164569881E-2</v>
      </c>
      <c r="DI38" s="75">
        <f t="shared" si="95"/>
        <v>4.7217944931855826E-2</v>
      </c>
      <c r="DJ38" s="77">
        <f t="shared" si="96"/>
        <v>4.5730271430330216</v>
      </c>
      <c r="DK38" s="75">
        <f t="shared" si="127"/>
        <v>0.97762264197671012</v>
      </c>
      <c r="DL38" s="77">
        <f t="shared" si="97"/>
        <v>9.4724755870789945</v>
      </c>
      <c r="DM38" s="72">
        <v>23888</v>
      </c>
      <c r="DN38" s="72">
        <v>30987</v>
      </c>
      <c r="DO38" s="72">
        <v>23888</v>
      </c>
      <c r="DP38" s="92">
        <f t="shared" si="98"/>
        <v>370</v>
      </c>
      <c r="DQ38" s="72">
        <v>30987</v>
      </c>
      <c r="DR38" s="72">
        <v>23887</v>
      </c>
      <c r="DS38" s="72">
        <v>30986</v>
      </c>
      <c r="DT38" s="72">
        <v>32247</v>
      </c>
      <c r="DU38" s="72">
        <v>1723.63</v>
      </c>
      <c r="DV38" s="72">
        <v>14604</v>
      </c>
      <c r="DW38" s="93">
        <v>2.375</v>
      </c>
      <c r="DX38" s="75"/>
      <c r="DY38" s="75"/>
      <c r="DZ38" s="67">
        <v>8.3800000000000008</v>
      </c>
      <c r="EA38" s="67">
        <v>6.72</v>
      </c>
      <c r="EB38" s="101">
        <v>13706.65381368626</v>
      </c>
      <c r="EC38" s="78">
        <v>7.6897187552609356</v>
      </c>
      <c r="ED38" s="72">
        <v>25300</v>
      </c>
      <c r="EE38" s="72">
        <f t="shared" si="38"/>
        <v>26666.279164451931</v>
      </c>
      <c r="EF38" s="72">
        <f t="shared" si="39"/>
        <v>346778341486.26239</v>
      </c>
      <c r="EG38" s="74">
        <f t="shared" si="81"/>
        <v>0.82250983405252098</v>
      </c>
      <c r="EH38" s="74">
        <f t="shared" si="104"/>
        <v>6.3248692973002303</v>
      </c>
      <c r="EI38" s="75">
        <f t="shared" si="128"/>
        <v>0.98267623332161025</v>
      </c>
      <c r="EJ38" s="75">
        <f t="shared" si="129"/>
        <v>6.3248692973002285</v>
      </c>
      <c r="EK38" s="78">
        <f t="shared" si="130"/>
        <v>7.5565038617223577</v>
      </c>
      <c r="EL38" s="72">
        <f t="shared" si="131"/>
        <v>5967.0010682125949</v>
      </c>
      <c r="EM38" s="72">
        <f t="shared" si="132"/>
        <v>14973.216239825935</v>
      </c>
      <c r="EN38" s="72">
        <f t="shared" si="133"/>
        <v>243.29559174446351</v>
      </c>
      <c r="EO38" s="72">
        <f t="shared" si="134"/>
        <v>187.555728393468</v>
      </c>
      <c r="EP38" s="75">
        <f t="shared" si="135"/>
        <v>7.9788720026207599E-2</v>
      </c>
      <c r="EQ38" s="77">
        <f t="shared" si="82"/>
        <v>12.533099912763829</v>
      </c>
      <c r="ER38" s="78">
        <v>36.055</v>
      </c>
      <c r="ES38" s="74">
        <f t="shared" si="102"/>
        <v>4.9203385309309455E-2</v>
      </c>
      <c r="ET38" s="95">
        <f t="shared" si="99"/>
        <v>43.075948913394107</v>
      </c>
      <c r="EU38" s="74">
        <f t="shared" si="102"/>
        <v>3.317094686997657E-2</v>
      </c>
      <c r="EV38" s="77">
        <f t="shared" si="100"/>
        <v>43.835342153122177</v>
      </c>
      <c r="EW38" s="74">
        <f t="shared" si="101"/>
        <v>-1.3012208717815832E-2</v>
      </c>
      <c r="EX38" s="78">
        <v>5.7283333333333344</v>
      </c>
      <c r="EY38" s="78">
        <v>4.7378506674633147</v>
      </c>
      <c r="EZ38" s="173">
        <f t="shared" si="105"/>
        <v>3.1832548859961824</v>
      </c>
      <c r="FA38" s="72">
        <f t="shared" si="83"/>
        <v>10.416240085839172</v>
      </c>
      <c r="FB38" s="78">
        <f t="shared" si="84"/>
        <v>1.3349659457896377</v>
      </c>
      <c r="FC38" s="78">
        <f t="shared" si="85"/>
        <v>1.3349659457896377</v>
      </c>
      <c r="FD38" s="78">
        <f t="shared" si="86"/>
        <v>74.908277859364873</v>
      </c>
      <c r="FE38" s="72">
        <f t="shared" si="87"/>
        <v>272.34009521602383</v>
      </c>
    </row>
    <row r="39" spans="1:161" s="67" customFormat="1" x14ac:dyDescent="0.2">
      <c r="A39" s="68">
        <v>1997</v>
      </c>
      <c r="B39" s="72">
        <v>58116.017999999996</v>
      </c>
      <c r="C39" s="72">
        <v>58298.962</v>
      </c>
      <c r="D39" s="72">
        <v>58207.49</v>
      </c>
      <c r="E39" s="72">
        <v>58207.49</v>
      </c>
      <c r="F39" s="117">
        <v>75.25</v>
      </c>
      <c r="G39" s="72">
        <f t="shared" si="50"/>
        <v>43801.136224999995</v>
      </c>
      <c r="H39" s="72">
        <v>23407.6335369425</v>
      </c>
      <c r="I39" s="100">
        <f>I38*(I$42/I$37)^0.2</f>
        <v>79.154544802209443</v>
      </c>
      <c r="J39" s="100"/>
      <c r="K39" s="67">
        <f t="shared" si="51"/>
        <v>-445</v>
      </c>
      <c r="L39" s="102">
        <v>16783</v>
      </c>
      <c r="M39" s="67">
        <f t="shared" si="52"/>
        <v>649</v>
      </c>
      <c r="N39" s="102">
        <v>11090</v>
      </c>
      <c r="O39" s="67">
        <f t="shared" si="0"/>
        <v>27873</v>
      </c>
      <c r="P39" s="74">
        <f t="shared" si="53"/>
        <v>0.60212391920496533</v>
      </c>
      <c r="Q39" s="74">
        <f t="shared" si="54"/>
        <v>0.39787608079503461</v>
      </c>
      <c r="R39" s="77">
        <f t="shared" si="55"/>
        <v>-2.583004411423262</v>
      </c>
      <c r="S39" s="77">
        <f t="shared" si="56"/>
        <v>6.2158797050090975</v>
      </c>
      <c r="T39" s="77">
        <f t="shared" si="57"/>
        <v>0.73458254055935868</v>
      </c>
      <c r="U39" s="67">
        <f t="shared" si="58"/>
        <v>204</v>
      </c>
      <c r="V39" s="75">
        <f t="shared" si="1"/>
        <v>0.47810456728200412</v>
      </c>
      <c r="W39" s="77">
        <f t="shared" si="88"/>
        <v>0.42028596017608111</v>
      </c>
      <c r="X39" s="74">
        <f t="shared" si="59"/>
        <v>1.190765395229302</v>
      </c>
      <c r="Y39" s="77">
        <f t="shared" si="88"/>
        <v>-0.32935938283698007</v>
      </c>
      <c r="Z39" s="72">
        <f t="shared" si="2"/>
        <v>22650.430919999999</v>
      </c>
      <c r="AA39" s="77">
        <f t="shared" si="89"/>
        <v>0.87424104132600711</v>
      </c>
      <c r="AB39" s="74">
        <f t="shared" si="3"/>
        <v>0.38852202754484716</v>
      </c>
      <c r="AC39" s="77">
        <f t="shared" si="89"/>
        <v>0.55769445936344475</v>
      </c>
      <c r="AD39" s="74">
        <f t="shared" si="60"/>
        <v>0.96765146652917877</v>
      </c>
      <c r="AE39" s="77">
        <f t="shared" si="136"/>
        <v>-0.19331315039008423</v>
      </c>
      <c r="AF39" s="72">
        <v>18029</v>
      </c>
      <c r="AG39" s="72">
        <v>7471</v>
      </c>
      <c r="AH39" s="72">
        <f t="shared" si="4"/>
        <v>25500</v>
      </c>
      <c r="AI39" s="72">
        <v>18061</v>
      </c>
      <c r="AJ39" s="72">
        <v>8029</v>
      </c>
      <c r="AK39" s="72">
        <v>26090</v>
      </c>
      <c r="AL39" s="72">
        <f t="shared" si="5"/>
        <v>18045</v>
      </c>
      <c r="AM39" s="72">
        <f t="shared" si="6"/>
        <v>7750</v>
      </c>
      <c r="AN39" s="72">
        <f t="shared" si="7"/>
        <v>25795</v>
      </c>
      <c r="AO39" s="74">
        <f t="shared" si="8"/>
        <v>0.44752083236061735</v>
      </c>
      <c r="AP39" s="74">
        <f t="shared" si="9"/>
        <v>0.44315602682747529</v>
      </c>
      <c r="AQ39" s="74">
        <f t="shared" si="62"/>
        <v>1.1019909363878968</v>
      </c>
      <c r="AR39" s="67">
        <v>1713030</v>
      </c>
      <c r="AS39" s="72">
        <v>687277.57</v>
      </c>
      <c r="AT39" s="77">
        <f t="shared" si="63"/>
        <v>1.420616740998204</v>
      </c>
      <c r="AU39" s="72">
        <v>814818.027</v>
      </c>
      <c r="AV39" s="72">
        <f t="shared" si="10"/>
        <v>814.81802700000003</v>
      </c>
      <c r="AW39" s="78">
        <f t="shared" si="11"/>
        <v>13.976544333670985</v>
      </c>
      <c r="AX39" s="74">
        <f t="shared" si="64"/>
        <v>3.2711119607555794E-3</v>
      </c>
      <c r="AY39" s="78">
        <f t="shared" si="65"/>
        <v>34.809927527019518</v>
      </c>
      <c r="AZ39" s="74">
        <f t="shared" si="66"/>
        <v>-4.2253414693758096E-3</v>
      </c>
      <c r="BA39" s="79">
        <f t="shared" si="67"/>
        <v>0.15894040164629375</v>
      </c>
      <c r="BB39" s="80">
        <v>817156.8</v>
      </c>
      <c r="BC39" s="81">
        <f t="shared" si="106"/>
        <v>968803.63261289673</v>
      </c>
      <c r="BD39" s="82">
        <f t="shared" si="68"/>
        <v>1.8740425853371878</v>
      </c>
      <c r="BE39" s="81">
        <f t="shared" si="107"/>
        <v>16617.853892714193</v>
      </c>
      <c r="BF39" s="81">
        <f t="shared" si="108"/>
        <v>41388.362949373208</v>
      </c>
      <c r="BG39" s="72">
        <v>1299.7386739999997</v>
      </c>
      <c r="BH39" s="77">
        <f t="shared" si="103"/>
        <v>3.2398850281073255</v>
      </c>
      <c r="BI39" s="130">
        <f t="shared" si="109"/>
        <v>1592.7674784611606</v>
      </c>
      <c r="BJ39" s="77">
        <f t="shared" si="91"/>
        <v>2.3373874893982016</v>
      </c>
      <c r="BK39" s="83">
        <f t="shared" si="110"/>
        <v>27.320683316131092</v>
      </c>
      <c r="BL39" s="83">
        <f t="shared" si="111"/>
        <v>68.044788720201723</v>
      </c>
      <c r="BM39" s="81">
        <v>19426.162</v>
      </c>
      <c r="BN39" s="81">
        <f t="shared" si="112"/>
        <v>11340.234555144976</v>
      </c>
      <c r="BO39" s="82">
        <v>92.614999999999995</v>
      </c>
      <c r="BP39" s="82">
        <f t="shared" si="113"/>
        <v>109.80236404377158</v>
      </c>
      <c r="BQ39" s="81">
        <f t="shared" si="114"/>
        <v>12244.490152939565</v>
      </c>
      <c r="BR39" s="82">
        <v>77.122</v>
      </c>
      <c r="BS39" s="82">
        <f t="shared" si="115"/>
        <v>91.434194458605532</v>
      </c>
      <c r="BT39" s="82">
        <v>90.747</v>
      </c>
      <c r="BU39" s="82">
        <f t="shared" si="116"/>
        <v>107.5877031785363</v>
      </c>
      <c r="BV39" s="82">
        <v>73.634</v>
      </c>
      <c r="BW39" s="82">
        <f t="shared" si="117"/>
        <v>87.298896226303242</v>
      </c>
      <c r="BX39" s="82">
        <f t="shared" si="118"/>
        <v>114.41312657323098</v>
      </c>
      <c r="BY39" s="84">
        <v>84.346999999999994</v>
      </c>
      <c r="BZ39" s="77">
        <v>81.602537192417543</v>
      </c>
      <c r="CA39" s="78">
        <v>0.95643699302013818</v>
      </c>
      <c r="CB39" s="78">
        <v>0.6764</v>
      </c>
      <c r="CC39" s="86">
        <f t="shared" si="119"/>
        <v>0.84501697175965917</v>
      </c>
      <c r="CD39" s="86">
        <f t="shared" si="92"/>
        <v>2.7363973991952228E-2</v>
      </c>
      <c r="CE39" s="86">
        <f t="shared" si="69"/>
        <v>2.873637341686841E-2</v>
      </c>
      <c r="CF39" s="86">
        <f t="shared" si="26"/>
        <v>1.133931251876342</v>
      </c>
      <c r="CG39" s="86">
        <f t="shared" si="70"/>
        <v>2.1409017869866709E-2</v>
      </c>
      <c r="CH39" s="86">
        <f t="shared" si="27"/>
        <v>0.80192537968155364</v>
      </c>
      <c r="CI39" s="86">
        <f t="shared" si="93"/>
        <v>1.9157823324932211E-2</v>
      </c>
      <c r="CJ39" s="86">
        <f t="shared" si="120"/>
        <v>1.0018340566465425</v>
      </c>
      <c r="CK39" s="86">
        <f t="shared" si="94"/>
        <v>1.9495559855126965E-2</v>
      </c>
      <c r="CL39" s="87">
        <v>1060.5</v>
      </c>
      <c r="CM39" s="77">
        <f t="shared" si="71"/>
        <v>69.769736842105274</v>
      </c>
      <c r="CN39" s="77">
        <f t="shared" si="121"/>
        <v>82.717508437887872</v>
      </c>
      <c r="CO39" s="77">
        <f t="shared" si="72"/>
        <v>108.40880207915919</v>
      </c>
      <c r="CP39" s="103">
        <v>0.82325000000000004</v>
      </c>
      <c r="CQ39" s="74">
        <f t="shared" si="137"/>
        <v>0</v>
      </c>
      <c r="CR39" s="137">
        <v>0.41111111111111109</v>
      </c>
      <c r="CS39" s="74">
        <f t="shared" si="138"/>
        <v>-4.6783625730995038E-3</v>
      </c>
      <c r="CT39" s="77">
        <f t="shared" si="74"/>
        <v>41.111111111111107</v>
      </c>
      <c r="CU39" s="77">
        <f t="shared" si="122"/>
        <v>48.740454445458774</v>
      </c>
      <c r="CV39" s="78">
        <f t="shared" si="123"/>
        <v>156.54648648648651</v>
      </c>
      <c r="CW39" s="74">
        <f t="shared" si="75"/>
        <v>3.9937718140745204E-2</v>
      </c>
      <c r="CX39" s="88">
        <f t="shared" si="76"/>
        <v>63.878789134390601</v>
      </c>
      <c r="CY39" s="77">
        <f t="shared" si="124"/>
        <v>76.301468931912225</v>
      </c>
      <c r="CZ39" s="89">
        <v>64.358000000000004</v>
      </c>
      <c r="DA39" s="74">
        <f t="shared" si="77"/>
        <v>3.5248377777359785E-2</v>
      </c>
      <c r="DB39" s="125">
        <v>58.198</v>
      </c>
      <c r="DC39" s="125">
        <v>65.791757843908343</v>
      </c>
      <c r="DD39" s="74">
        <f t="shared" si="78"/>
        <v>1.0355278166990345</v>
      </c>
      <c r="DE39" s="74">
        <f t="shared" si="79"/>
        <v>1.0300889055929547</v>
      </c>
      <c r="DF39" s="75">
        <f t="shared" si="125"/>
        <v>1.0018340566465425</v>
      </c>
      <c r="DG39" s="75">
        <f t="shared" si="126"/>
        <v>0.99657211554822078</v>
      </c>
      <c r="DH39" s="74">
        <f t="shared" si="80"/>
        <v>1.9157823324932211E-2</v>
      </c>
      <c r="DI39" s="75">
        <f t="shared" si="95"/>
        <v>1.8692496151831106E-2</v>
      </c>
      <c r="DJ39" s="77">
        <f t="shared" si="96"/>
        <v>1.930795580476917</v>
      </c>
      <c r="DK39" s="75">
        <f t="shared" si="127"/>
        <v>0.99657211554822078</v>
      </c>
      <c r="DL39" s="77">
        <f t="shared" si="97"/>
        <v>9.1938321879820162</v>
      </c>
      <c r="DM39" s="72">
        <v>24071</v>
      </c>
      <c r="DN39" s="72">
        <v>31276</v>
      </c>
      <c r="DO39" s="72">
        <v>24071</v>
      </c>
      <c r="DP39" s="92">
        <f t="shared" si="98"/>
        <v>183</v>
      </c>
      <c r="DQ39" s="72">
        <v>31276</v>
      </c>
      <c r="DR39" s="72">
        <v>24071</v>
      </c>
      <c r="DS39" s="72">
        <v>31275</v>
      </c>
      <c r="DT39" s="72">
        <v>32763</v>
      </c>
      <c r="DU39" s="72">
        <v>1782.45</v>
      </c>
      <c r="DV39" s="72">
        <v>14905</v>
      </c>
      <c r="DW39" s="93">
        <v>2.4319999999999999</v>
      </c>
      <c r="DX39" s="75"/>
      <c r="DY39" s="75"/>
      <c r="DZ39" s="67">
        <v>8.3000000000000007</v>
      </c>
      <c r="EA39" s="67">
        <v>6.72</v>
      </c>
      <c r="EB39" s="101">
        <v>13676.073996820331</v>
      </c>
      <c r="EC39" s="78">
        <v>7.6460043239544637</v>
      </c>
      <c r="ED39" s="72">
        <v>25795</v>
      </c>
      <c r="EE39" s="72">
        <f t="shared" si="38"/>
        <v>26973.140429871921</v>
      </c>
      <c r="EF39" s="72">
        <f t="shared" si="39"/>
        <v>352774328747.98041</v>
      </c>
      <c r="EG39" s="74">
        <f t="shared" si="81"/>
        <v>0.84501697175965917</v>
      </c>
      <c r="EH39" s="74">
        <f t="shared" si="104"/>
        <v>6.461003419889261</v>
      </c>
      <c r="EI39" s="75">
        <f t="shared" si="128"/>
        <v>1.0018340566465425</v>
      </c>
      <c r="EJ39" s="75">
        <f t="shared" si="129"/>
        <v>6.461003419889261</v>
      </c>
      <c r="EK39" s="78">
        <f t="shared" si="130"/>
        <v>7.6600275290043047</v>
      </c>
      <c r="EL39" s="72">
        <f t="shared" si="131"/>
        <v>6051.1253827809214</v>
      </c>
      <c r="EM39" s="72">
        <f t="shared" si="132"/>
        <v>15070.9095898662</v>
      </c>
      <c r="EN39" s="72">
        <f t="shared" si="133"/>
        <v>242.19584562336422</v>
      </c>
      <c r="EO39" s="72">
        <f t="shared" si="134"/>
        <v>186.40755235811352</v>
      </c>
      <c r="EP39" s="75">
        <f t="shared" si="135"/>
        <v>7.9010851211660252E-2</v>
      </c>
      <c r="EQ39" s="77">
        <f t="shared" si="82"/>
        <v>12.656489389300772</v>
      </c>
      <c r="ER39" s="78">
        <v>38.111666666666672</v>
      </c>
      <c r="ES39" s="74">
        <f t="shared" si="102"/>
        <v>5.7042481394166566E-2</v>
      </c>
      <c r="ET39" s="95">
        <f t="shared" si="99"/>
        <v>45.184377235309697</v>
      </c>
      <c r="EU39" s="74">
        <f t="shared" si="102"/>
        <v>4.8946764380157104E-2</v>
      </c>
      <c r="EV39" s="77">
        <f t="shared" si="100"/>
        <v>45.101658239245921</v>
      </c>
      <c r="EW39" s="74">
        <f t="shared" si="101"/>
        <v>2.8888016470827393E-2</v>
      </c>
      <c r="EX39" s="78">
        <v>5.8949999999999996</v>
      </c>
      <c r="EY39" s="78">
        <v>4.9268523052146094</v>
      </c>
      <c r="EZ39" s="173">
        <f t="shared" si="105"/>
        <v>3.3102408188717773</v>
      </c>
      <c r="FA39" s="72">
        <f t="shared" si="83"/>
        <v>10.290752627578728</v>
      </c>
      <c r="FB39" s="78">
        <f t="shared" si="84"/>
        <v>1.3113856514535451</v>
      </c>
      <c r="FC39" s="78">
        <f t="shared" si="85"/>
        <v>1.3113856514535451</v>
      </c>
      <c r="FD39" s="78">
        <f t="shared" si="86"/>
        <v>76.255218965648737</v>
      </c>
      <c r="FE39" s="72">
        <f t="shared" si="87"/>
        <v>266.93272694954771</v>
      </c>
    </row>
    <row r="40" spans="1:161" s="67" customFormat="1" x14ac:dyDescent="0.2">
      <c r="A40" s="68">
        <v>1998</v>
      </c>
      <c r="B40" s="72">
        <v>58298.962</v>
      </c>
      <c r="C40" s="72">
        <v>58496.612999999998</v>
      </c>
      <c r="D40" s="72">
        <v>58397.788</v>
      </c>
      <c r="E40" s="72">
        <v>58397.787499999999</v>
      </c>
      <c r="F40" s="117">
        <v>75.417000000000002</v>
      </c>
      <c r="G40" s="72">
        <f t="shared" si="50"/>
        <v>44041.859398875007</v>
      </c>
      <c r="H40" s="72">
        <v>23652.179279784479</v>
      </c>
      <c r="I40" s="100">
        <f>I39*(I$42/I$37)^0.2</f>
        <v>79.53453608672983</v>
      </c>
      <c r="J40" s="100"/>
      <c r="K40" s="67">
        <f t="shared" si="51"/>
        <v>-101</v>
      </c>
      <c r="L40" s="102">
        <v>16682</v>
      </c>
      <c r="M40" s="67">
        <f t="shared" si="52"/>
        <v>720</v>
      </c>
      <c r="N40" s="102">
        <v>11810</v>
      </c>
      <c r="O40" s="67">
        <f t="shared" si="0"/>
        <v>28492</v>
      </c>
      <c r="P40" s="74">
        <f t="shared" si="53"/>
        <v>0.58549768356029763</v>
      </c>
      <c r="Q40" s="74">
        <f t="shared" si="54"/>
        <v>0.41450231643970237</v>
      </c>
      <c r="R40" s="77">
        <f t="shared" si="55"/>
        <v>-0.60179943990943396</v>
      </c>
      <c r="S40" s="77">
        <f t="shared" si="56"/>
        <v>6.4923354373309206</v>
      </c>
      <c r="T40" s="77">
        <f t="shared" si="57"/>
        <v>2.1964867788822673</v>
      </c>
      <c r="U40" s="67">
        <f t="shared" si="58"/>
        <v>619</v>
      </c>
      <c r="V40" s="75">
        <f t="shared" si="1"/>
        <v>0.48707093520098338</v>
      </c>
      <c r="W40" s="77">
        <f t="shared" si="88"/>
        <v>1.8580301401284305</v>
      </c>
      <c r="X40" s="74">
        <f t="shared" si="59"/>
        <v>1.2046247266674541</v>
      </c>
      <c r="Y40" s="77">
        <f t="shared" si="88"/>
        <v>1.1571798652494554</v>
      </c>
      <c r="Z40" s="72">
        <f t="shared" si="2"/>
        <v>23178.915679999998</v>
      </c>
      <c r="AA40" s="77">
        <f t="shared" si="89"/>
        <v>2.3332216586367638</v>
      </c>
      <c r="AB40" s="74">
        <f t="shared" si="3"/>
        <v>0.39624372235021538</v>
      </c>
      <c r="AC40" s="77">
        <f t="shared" si="89"/>
        <v>1.987453543924711</v>
      </c>
      <c r="AD40" s="74">
        <f t="shared" si="60"/>
        <v>0.97999069793162863</v>
      </c>
      <c r="AE40" s="77">
        <f t="shared" si="136"/>
        <v>1.2751731206184003</v>
      </c>
      <c r="AF40" s="72">
        <v>18061</v>
      </c>
      <c r="AG40" s="72">
        <v>8029</v>
      </c>
      <c r="AH40" s="72">
        <f t="shared" si="4"/>
        <v>26090</v>
      </c>
      <c r="AI40" s="72">
        <v>18201</v>
      </c>
      <c r="AJ40" s="72">
        <v>8609</v>
      </c>
      <c r="AK40" s="72">
        <v>26810</v>
      </c>
      <c r="AL40" s="72">
        <f t="shared" si="5"/>
        <v>18131</v>
      </c>
      <c r="AM40" s="72">
        <f t="shared" si="6"/>
        <v>8319</v>
      </c>
      <c r="AN40" s="72">
        <f t="shared" si="7"/>
        <v>26450</v>
      </c>
      <c r="AO40" s="74">
        <f t="shared" si="8"/>
        <v>0.45831713367746607</v>
      </c>
      <c r="AP40" s="74">
        <f t="shared" si="9"/>
        <v>0.45292811433200175</v>
      </c>
      <c r="AQ40" s="74">
        <f t="shared" si="62"/>
        <v>1.1182901874334608</v>
      </c>
      <c r="AR40" s="67">
        <v>1943553</v>
      </c>
      <c r="AS40" s="72">
        <v>716172.16700000002</v>
      </c>
      <c r="AT40" s="77">
        <f t="shared" si="63"/>
        <v>4.2042106801186696</v>
      </c>
      <c r="AU40" s="72">
        <v>847416.60199999996</v>
      </c>
      <c r="AV40" s="72">
        <f t="shared" si="10"/>
        <v>847.41660200000001</v>
      </c>
      <c r="AW40" s="78">
        <f t="shared" si="11"/>
        <v>14.48659261690929</v>
      </c>
      <c r="AX40" s="74">
        <f t="shared" si="64"/>
        <v>3.5843054749614911E-2</v>
      </c>
      <c r="AY40" s="78">
        <f t="shared" si="65"/>
        <v>35.828267322676986</v>
      </c>
      <c r="AZ40" s="74">
        <f t="shared" si="66"/>
        <v>2.8834552000825742E-2</v>
      </c>
      <c r="BA40" s="79">
        <f t="shared" si="67"/>
        <v>0.15312915447858</v>
      </c>
      <c r="BB40" s="80">
        <v>845668.7</v>
      </c>
      <c r="BC40" s="81">
        <f t="shared" si="106"/>
        <v>1000649.2569102612</v>
      </c>
      <c r="BD40" s="82">
        <f t="shared" si="68"/>
        <v>3.2871082668709306</v>
      </c>
      <c r="BE40" s="81">
        <f t="shared" si="107"/>
        <v>17106.10590240945</v>
      </c>
      <c r="BF40" s="81">
        <f t="shared" si="108"/>
        <v>42306.852365418876</v>
      </c>
      <c r="BG40" s="72">
        <v>1358.7756000000004</v>
      </c>
      <c r="BH40" s="77">
        <f t="shared" si="103"/>
        <v>4.5422150760746405</v>
      </c>
      <c r="BI40" s="130">
        <f t="shared" si="109"/>
        <v>1649.4085923164973</v>
      </c>
      <c r="BJ40" s="77">
        <f t="shared" si="91"/>
        <v>3.5561445484848742</v>
      </c>
      <c r="BK40" s="83">
        <f t="shared" si="110"/>
        <v>28.196651185881436</v>
      </c>
      <c r="BL40" s="83">
        <f t="shared" si="111"/>
        <v>69.736009219507608</v>
      </c>
      <c r="BM40" s="81">
        <v>22611.102999999999</v>
      </c>
      <c r="BN40" s="81">
        <f t="shared" si="112"/>
        <v>11633.900902110721</v>
      </c>
      <c r="BO40" s="82">
        <v>93.54</v>
      </c>
      <c r="BP40" s="82">
        <f t="shared" si="113"/>
        <v>110.68250662627793</v>
      </c>
      <c r="BQ40" s="81">
        <f t="shared" si="114"/>
        <v>12437.353968474154</v>
      </c>
      <c r="BR40" s="82">
        <v>77.064999999999998</v>
      </c>
      <c r="BS40" s="82">
        <f t="shared" si="115"/>
        <v>91.188233623627411</v>
      </c>
      <c r="BT40" s="82">
        <v>92.438000000000002</v>
      </c>
      <c r="BU40" s="82">
        <f t="shared" si="116"/>
        <v>109.37854979174557</v>
      </c>
      <c r="BV40" s="82">
        <v>75.564999999999998</v>
      </c>
      <c r="BW40" s="82">
        <f t="shared" si="117"/>
        <v>89.413337750851952</v>
      </c>
      <c r="BX40" s="82">
        <f t="shared" si="118"/>
        <v>121.01630312930399</v>
      </c>
      <c r="BY40" s="84">
        <v>84.512</v>
      </c>
      <c r="BZ40" s="77">
        <v>82.379563579918056</v>
      </c>
      <c r="CA40" s="78">
        <v>0.93262634846431702</v>
      </c>
      <c r="CB40" s="78">
        <v>0.64239999999999997</v>
      </c>
      <c r="CC40" s="86">
        <f t="shared" si="119"/>
        <v>0.81232685473402133</v>
      </c>
      <c r="CD40" s="86">
        <f t="shared" si="92"/>
        <v>-3.8685752024085529E-2</v>
      </c>
      <c r="CE40" s="86">
        <f t="shared" si="69"/>
        <v>-3.0388147389030173E-2</v>
      </c>
      <c r="CF40" s="86">
        <f t="shared" si="26"/>
        <v>1.1035431044873119</v>
      </c>
      <c r="CG40" s="86">
        <f t="shared" si="70"/>
        <v>-4.17966405675817E-2</v>
      </c>
      <c r="CH40" s="86">
        <f t="shared" si="27"/>
        <v>0.76012873911397194</v>
      </c>
      <c r="CI40" s="86">
        <f t="shared" si="93"/>
        <v>-4.0637002105150311E-2</v>
      </c>
      <c r="CJ40" s="86">
        <f t="shared" si="120"/>
        <v>0.96119705454139215</v>
      </c>
      <c r="CK40" s="86">
        <f t="shared" si="94"/>
        <v>-4.0562607984375498E-2</v>
      </c>
      <c r="CL40" s="87">
        <v>1061.75</v>
      </c>
      <c r="CM40" s="77">
        <f t="shared" si="71"/>
        <v>69.85197368421052</v>
      </c>
      <c r="CN40" s="77">
        <f t="shared" si="121"/>
        <v>82.653319864883699</v>
      </c>
      <c r="CO40" s="77">
        <f t="shared" si="72"/>
        <v>111.86697044330822</v>
      </c>
      <c r="CP40" s="103">
        <v>0.83975</v>
      </c>
      <c r="CQ40" s="74">
        <f t="shared" si="137"/>
        <v>1.9844307235928421E-2</v>
      </c>
      <c r="CR40" s="137">
        <v>0.41980676328502409</v>
      </c>
      <c r="CS40" s="74">
        <f t="shared" si="138"/>
        <v>2.1151586368977515E-2</v>
      </c>
      <c r="CT40" s="77">
        <f t="shared" si="74"/>
        <v>41.980676328502412</v>
      </c>
      <c r="CU40" s="77">
        <f t="shared" si="122"/>
        <v>49.674219434521028</v>
      </c>
      <c r="CV40" s="78">
        <f t="shared" si="123"/>
        <v>148.73986191024167</v>
      </c>
      <c r="CW40" s="74">
        <f t="shared" si="75"/>
        <v>-5.1154117247589781E-2</v>
      </c>
      <c r="CX40" s="88">
        <f t="shared" si="76"/>
        <v>67.231472932485204</v>
      </c>
      <c r="CY40" s="77">
        <f t="shared" si="124"/>
        <v>73.885365391897011</v>
      </c>
      <c r="CZ40" s="89">
        <v>62.442</v>
      </c>
      <c r="DA40" s="74">
        <f t="shared" si="77"/>
        <v>-3.0223120555572969E-2</v>
      </c>
      <c r="DB40" s="125">
        <v>55.347999999999999</v>
      </c>
      <c r="DC40" s="125">
        <v>64.48934614312607</v>
      </c>
      <c r="DD40" s="74">
        <f t="shared" si="78"/>
        <v>0.98607812354573454</v>
      </c>
      <c r="DE40" s="74">
        <f t="shared" si="79"/>
        <v>0.98042799180567841</v>
      </c>
      <c r="DF40" s="75">
        <f t="shared" si="125"/>
        <v>0.96119705454139215</v>
      </c>
      <c r="DG40" s="75">
        <f t="shared" si="126"/>
        <v>0.9556894889067501</v>
      </c>
      <c r="DH40" s="74">
        <f t="shared" si="80"/>
        <v>-4.0637002105150311E-2</v>
      </c>
      <c r="DI40" s="75">
        <f t="shared" si="95"/>
        <v>-4.9449693153299945E-2</v>
      </c>
      <c r="DJ40" s="77">
        <f t="shared" si="96"/>
        <v>-4.1408216298394649</v>
      </c>
      <c r="DK40" s="75">
        <f t="shared" si="127"/>
        <v>0.9556894889067501</v>
      </c>
      <c r="DL40" s="77">
        <f t="shared" si="97"/>
        <v>8.5897675039906076</v>
      </c>
      <c r="DM40" s="72">
        <v>24384</v>
      </c>
      <c r="DN40" s="72">
        <v>31692</v>
      </c>
      <c r="DO40" s="72">
        <v>24384</v>
      </c>
      <c r="DP40" s="92">
        <f t="shared" si="98"/>
        <v>313</v>
      </c>
      <c r="DQ40" s="72">
        <v>31692</v>
      </c>
      <c r="DR40" s="72">
        <v>24404</v>
      </c>
      <c r="DS40" s="72">
        <v>31732</v>
      </c>
      <c r="DT40" s="72">
        <v>32875</v>
      </c>
      <c r="DU40" s="72">
        <v>1853.49</v>
      </c>
      <c r="DV40" s="72">
        <v>15447</v>
      </c>
      <c r="DW40" s="93">
        <v>2.524</v>
      </c>
      <c r="DX40" s="75"/>
      <c r="DY40" s="75"/>
      <c r="DZ40" s="67">
        <v>8.34</v>
      </c>
      <c r="EA40" s="67">
        <v>6.68</v>
      </c>
      <c r="EB40" s="101">
        <v>13744.377360795395</v>
      </c>
      <c r="EC40" s="78">
        <v>7.6161150407987792</v>
      </c>
      <c r="ED40" s="72">
        <v>26450</v>
      </c>
      <c r="EE40" s="72">
        <f t="shared" si="38"/>
        <v>27687.531793579547</v>
      </c>
      <c r="EF40" s="72">
        <f t="shared" si="39"/>
        <v>363538781193.03821</v>
      </c>
      <c r="EG40" s="74">
        <f t="shared" si="81"/>
        <v>0.81232685473402133</v>
      </c>
      <c r="EH40" s="74">
        <f t="shared" si="104"/>
        <v>6.1867747763845449</v>
      </c>
      <c r="EI40" s="75">
        <f t="shared" si="128"/>
        <v>0.96119705454139215</v>
      </c>
      <c r="EJ40" s="75">
        <f t="shared" si="129"/>
        <v>6.186774776384544</v>
      </c>
      <c r="EK40" s="78">
        <f t="shared" si="130"/>
        <v>7.3205873442641813</v>
      </c>
      <c r="EL40" s="72">
        <f t="shared" si="131"/>
        <v>6214.6979551284139</v>
      </c>
      <c r="EM40" s="72">
        <f t="shared" si="132"/>
        <v>15370.202334960097</v>
      </c>
      <c r="EN40" s="72">
        <f t="shared" si="133"/>
        <v>239.70092198000327</v>
      </c>
      <c r="EO40" s="72">
        <f t="shared" si="134"/>
        <v>184.34581179881508</v>
      </c>
      <c r="EP40" s="75">
        <f t="shared" si="135"/>
        <v>7.8374031806171501E-2</v>
      </c>
      <c r="EQ40" s="77">
        <f t="shared" si="82"/>
        <v>12.759328274359056</v>
      </c>
      <c r="ER40" s="78">
        <v>40.090000000000003</v>
      </c>
      <c r="ES40" s="74">
        <f t="shared" si="102"/>
        <v>5.1908864302269597E-2</v>
      </c>
      <c r="ET40" s="95">
        <f t="shared" si="99"/>
        <v>47.437050359712238</v>
      </c>
      <c r="EU40" s="74">
        <f t="shared" si="102"/>
        <v>4.9855132730305174E-2</v>
      </c>
      <c r="EV40" s="77">
        <f t="shared" si="100"/>
        <v>49.352055476642583</v>
      </c>
      <c r="EW40" s="74">
        <f t="shared" si="101"/>
        <v>9.4240376148700289E-2</v>
      </c>
      <c r="EX40" s="78">
        <v>6.07</v>
      </c>
      <c r="EY40" s="78">
        <v>5.3058891471082212</v>
      </c>
      <c r="EZ40" s="173">
        <f t="shared" si="105"/>
        <v>3.5649071145438631</v>
      </c>
      <c r="FA40" s="72">
        <f t="shared" si="83"/>
        <v>9.1859460182286323</v>
      </c>
      <c r="FB40" s="78">
        <f t="shared" si="84"/>
        <v>1.1660203605566124</v>
      </c>
      <c r="FC40" s="78">
        <f t="shared" si="85"/>
        <v>1.1660203605566124</v>
      </c>
      <c r="FD40" s="78">
        <f t="shared" si="86"/>
        <v>85.761795747943822</v>
      </c>
      <c r="FE40" s="72">
        <f t="shared" si="87"/>
        <v>238.52898389965463</v>
      </c>
    </row>
    <row r="41" spans="1:161" s="67" customFormat="1" x14ac:dyDescent="0.2">
      <c r="A41" s="68">
        <v>1999</v>
      </c>
      <c r="B41" s="72">
        <v>58496.612999999998</v>
      </c>
      <c r="C41" s="72">
        <v>58858.197999999997</v>
      </c>
      <c r="D41" s="72">
        <v>58660.784</v>
      </c>
      <c r="E41" s="72">
        <v>58677.405500000001</v>
      </c>
      <c r="F41" s="117">
        <v>75.614000000000004</v>
      </c>
      <c r="G41" s="72">
        <f t="shared" si="50"/>
        <v>44368.333394770008</v>
      </c>
      <c r="H41" s="72">
        <v>23932.119196540269</v>
      </c>
      <c r="I41" s="100">
        <f>I40*(I$42/I$37)^0.2</f>
        <v>79.916351566900275</v>
      </c>
      <c r="J41" s="100">
        <v>29</v>
      </c>
      <c r="K41" s="67">
        <f t="shared" si="51"/>
        <v>383</v>
      </c>
      <c r="L41" s="102">
        <v>17065</v>
      </c>
      <c r="M41" s="67">
        <f t="shared" si="52"/>
        <v>-102</v>
      </c>
      <c r="N41" s="102">
        <v>11708</v>
      </c>
      <c r="O41" s="67">
        <f t="shared" si="0"/>
        <v>28773</v>
      </c>
      <c r="P41" s="74">
        <f t="shared" si="53"/>
        <v>0.59309074479546797</v>
      </c>
      <c r="Q41" s="74">
        <f t="shared" si="54"/>
        <v>0.40690925520453203</v>
      </c>
      <c r="R41" s="77">
        <f t="shared" si="55"/>
        <v>2.2958877832394142</v>
      </c>
      <c r="S41" s="77">
        <f t="shared" si="56"/>
        <v>-0.86367485182049508</v>
      </c>
      <c r="T41" s="77">
        <f t="shared" si="57"/>
        <v>0.98141012978167907</v>
      </c>
      <c r="U41" s="67">
        <f t="shared" si="58"/>
        <v>281</v>
      </c>
      <c r="V41" s="75">
        <f t="shared" si="1"/>
        <v>0.48885288672955979</v>
      </c>
      <c r="W41" s="77">
        <f t="shared" si="88"/>
        <v>0.3651829105619453</v>
      </c>
      <c r="X41" s="74">
        <f t="shared" si="59"/>
        <v>1.2022754760539363</v>
      </c>
      <c r="Y41" s="77">
        <f t="shared" si="88"/>
        <v>-0.19520970224543022</v>
      </c>
      <c r="Z41" s="72">
        <f t="shared" si="2"/>
        <v>23395.770600000003</v>
      </c>
      <c r="AA41" s="77">
        <f t="shared" si="89"/>
        <v>0.93556973498600815</v>
      </c>
      <c r="AB41" s="74">
        <f t="shared" si="3"/>
        <v>0.3974938308508868</v>
      </c>
      <c r="AC41" s="77">
        <f t="shared" si="89"/>
        <v>0.31548979331628146</v>
      </c>
      <c r="AD41" s="74">
        <f t="shared" si="60"/>
        <v>0.97758875458811012</v>
      </c>
      <c r="AE41" s="77">
        <f t="shared" si="136"/>
        <v>-0.24509858599556233</v>
      </c>
      <c r="AF41" s="72">
        <v>18201</v>
      </c>
      <c r="AG41" s="72">
        <v>8609</v>
      </c>
      <c r="AH41" s="72">
        <f t="shared" si="4"/>
        <v>26810</v>
      </c>
      <c r="AI41" s="72">
        <f t="shared" ref="AI41:AI50" si="139">AK41-AJ41</f>
        <v>18220</v>
      </c>
      <c r="AJ41" s="72">
        <v>9261</v>
      </c>
      <c r="AK41" s="72">
        <v>27481</v>
      </c>
      <c r="AL41" s="72">
        <f t="shared" si="5"/>
        <v>18210.5</v>
      </c>
      <c r="AM41" s="72">
        <f t="shared" si="6"/>
        <v>8935</v>
      </c>
      <c r="AN41" s="72">
        <f t="shared" si="7"/>
        <v>27145.5</v>
      </c>
      <c r="AO41" s="74">
        <f t="shared" si="8"/>
        <v>0.46690182393963203</v>
      </c>
      <c r="AP41" s="74">
        <f t="shared" si="9"/>
        <v>0.4627537879480097</v>
      </c>
      <c r="AQ41" s="74">
        <f t="shared" si="62"/>
        <v>1.1342706334140384</v>
      </c>
      <c r="AR41" s="67">
        <v>2148423</v>
      </c>
      <c r="AS41" s="72">
        <v>737466.33799999999</v>
      </c>
      <c r="AT41" s="77">
        <f t="shared" si="63"/>
        <v>2.9733312716130778</v>
      </c>
      <c r="AU41" s="72">
        <v>877104.42200000002</v>
      </c>
      <c r="AV41" s="72">
        <f t="shared" si="10"/>
        <v>877.104422</v>
      </c>
      <c r="AW41" s="78">
        <f t="shared" si="11"/>
        <v>14.901992446319884</v>
      </c>
      <c r="AX41" s="74">
        <f t="shared" si="64"/>
        <v>2.827135067406239E-2</v>
      </c>
      <c r="AY41" s="78">
        <f t="shared" si="65"/>
        <v>36.649676311439983</v>
      </c>
      <c r="AZ41" s="74">
        <f t="shared" si="66"/>
        <v>2.2667424545988357E-2</v>
      </c>
      <c r="BA41" s="79">
        <f t="shared" si="67"/>
        <v>0.14954345062635088</v>
      </c>
      <c r="BB41" s="80">
        <v>867141.7</v>
      </c>
      <c r="BC41" s="81">
        <f t="shared" si="106"/>
        <v>1031329.3292102759</v>
      </c>
      <c r="BD41" s="82">
        <f t="shared" si="68"/>
        <v>3.0660165975385345</v>
      </c>
      <c r="BE41" s="81">
        <f t="shared" si="107"/>
        <v>17522.271565471234</v>
      </c>
      <c r="BF41" s="81">
        <f t="shared" si="108"/>
        <v>43093.940855825647</v>
      </c>
      <c r="BG41" s="72">
        <v>1408.159394</v>
      </c>
      <c r="BH41" s="77">
        <f t="shared" si="103"/>
        <v>3.6344333825246489</v>
      </c>
      <c r="BI41" s="130">
        <f t="shared" si="109"/>
        <v>1705.6058310346748</v>
      </c>
      <c r="BJ41" s="77">
        <f t="shared" si="91"/>
        <v>3.4071144639335138</v>
      </c>
      <c r="BK41" s="83">
        <f t="shared" si="110"/>
        <v>28.978220349774809</v>
      </c>
      <c r="BL41" s="83">
        <f t="shared" si="111"/>
        <v>71.268483038528601</v>
      </c>
      <c r="BM41" s="81">
        <v>25175.705999999998</v>
      </c>
      <c r="BN41" s="81">
        <f t="shared" si="112"/>
        <v>11718.225880099031</v>
      </c>
      <c r="BO41" s="82">
        <v>92.087000000000003</v>
      </c>
      <c r="BP41" s="82">
        <f t="shared" si="113"/>
        <v>109.52307326355853</v>
      </c>
      <c r="BQ41" s="81">
        <f t="shared" si="114"/>
        <v>12725.168460367946</v>
      </c>
      <c r="BR41" s="82">
        <v>77.864000000000004</v>
      </c>
      <c r="BS41" s="82">
        <f t="shared" si="115"/>
        <v>92.607040913415801</v>
      </c>
      <c r="BT41" s="82">
        <v>93.394000000000005</v>
      </c>
      <c r="BU41" s="82">
        <f t="shared" si="116"/>
        <v>111.07754519505235</v>
      </c>
      <c r="BV41" s="82">
        <v>77.200999999999993</v>
      </c>
      <c r="BW41" s="82">
        <f t="shared" si="117"/>
        <v>91.818506184586099</v>
      </c>
      <c r="BX41" s="82">
        <f t="shared" si="118"/>
        <v>118.79270019080445</v>
      </c>
      <c r="BY41" s="84">
        <v>84.08</v>
      </c>
      <c r="BZ41" s="77">
        <v>82.560657824778062</v>
      </c>
      <c r="CA41" s="78">
        <v>0.96814789016326042</v>
      </c>
      <c r="CB41" s="78">
        <v>0.69</v>
      </c>
      <c r="CC41" s="86">
        <f t="shared" si="119"/>
        <v>0.85496693934021617</v>
      </c>
      <c r="CD41" s="86">
        <f t="shared" si="92"/>
        <v>5.2491290122565815E-2</v>
      </c>
      <c r="CE41" s="86">
        <f t="shared" si="69"/>
        <v>4.7917278675462249E-2</v>
      </c>
      <c r="CF41" s="86">
        <f t="shared" si="26"/>
        <v>1.1514603831627741</v>
      </c>
      <c r="CG41" s="86">
        <f t="shared" si="70"/>
        <v>6.0518263740452327E-2</v>
      </c>
      <c r="CH41" s="86">
        <f t="shared" si="27"/>
        <v>0.82064700285442427</v>
      </c>
      <c r="CI41" s="86">
        <f t="shared" si="93"/>
        <v>5.5652302428417677E-2</v>
      </c>
      <c r="CJ41" s="86">
        <f t="shared" si="120"/>
        <v>1.0168493569698098</v>
      </c>
      <c r="CK41" s="86">
        <f t="shared" si="94"/>
        <v>5.7898952317296359E-2</v>
      </c>
      <c r="CL41" s="87">
        <v>1072.5</v>
      </c>
      <c r="CM41" s="77">
        <f t="shared" si="71"/>
        <v>70.55921052631578</v>
      </c>
      <c r="CN41" s="77">
        <f t="shared" si="121"/>
        <v>83.919137162602027</v>
      </c>
      <c r="CO41" s="77">
        <f t="shared" si="72"/>
        <v>108.57267576524248</v>
      </c>
      <c r="CP41" s="103">
        <v>0.89950000000000008</v>
      </c>
      <c r="CQ41" s="74">
        <f t="shared" si="137"/>
        <v>6.8734824898185748E-2</v>
      </c>
      <c r="CR41" s="137">
        <v>0.44830917874396142</v>
      </c>
      <c r="CS41" s="74">
        <f t="shared" si="138"/>
        <v>6.7894131185270767E-2</v>
      </c>
      <c r="CT41" s="77">
        <f t="shared" si="74"/>
        <v>44.830917874396143</v>
      </c>
      <c r="CU41" s="77">
        <f t="shared" si="122"/>
        <v>53.319359983820341</v>
      </c>
      <c r="CV41" s="78">
        <f t="shared" si="123"/>
        <v>144.96245689655171</v>
      </c>
      <c r="CW41" s="74">
        <f t="shared" si="75"/>
        <v>-2.5724095937082581E-2</v>
      </c>
      <c r="CX41" s="88">
        <f t="shared" si="76"/>
        <v>68.983378276598984</v>
      </c>
      <c r="CY41" s="77">
        <f t="shared" si="124"/>
        <v>77.293054234062808</v>
      </c>
      <c r="CZ41" s="89">
        <v>64.988</v>
      </c>
      <c r="DA41" s="74">
        <f t="shared" si="77"/>
        <v>3.9964511583726825E-2</v>
      </c>
      <c r="DB41" s="125">
        <v>58.786999999999999</v>
      </c>
      <c r="DC41" s="125">
        <v>67.024271926467279</v>
      </c>
      <c r="DD41" s="74">
        <f t="shared" si="78"/>
        <v>1.0355621695199524</v>
      </c>
      <c r="DE41" s="74">
        <f t="shared" si="79"/>
        <v>1.0301865516161066</v>
      </c>
      <c r="DF41" s="75">
        <f t="shared" si="125"/>
        <v>1.0168493569698098</v>
      </c>
      <c r="DG41" s="75">
        <f t="shared" si="126"/>
        <v>1.0115708775412158</v>
      </c>
      <c r="DH41" s="74">
        <f t="shared" si="80"/>
        <v>5.5652302428417677E-2</v>
      </c>
      <c r="DI41" s="75">
        <f t="shared" si="95"/>
        <v>4.948404597421785E-2</v>
      </c>
      <c r="DJ41" s="77">
        <f t="shared" si="96"/>
        <v>5.6284820668194131</v>
      </c>
      <c r="DK41" s="75">
        <f t="shared" si="127"/>
        <v>1.0115708775412158</v>
      </c>
      <c r="DL41" s="77">
        <f t="shared" si="97"/>
        <v>9.5847232734388506</v>
      </c>
      <c r="DM41" s="72">
        <v>24776</v>
      </c>
      <c r="DN41" s="72">
        <v>32078</v>
      </c>
      <c r="DO41" s="72">
        <v>24776</v>
      </c>
      <c r="DP41" s="92">
        <f t="shared" si="98"/>
        <v>392</v>
      </c>
      <c r="DQ41" s="72">
        <v>32078</v>
      </c>
      <c r="DR41" s="72">
        <v>24775</v>
      </c>
      <c r="DS41" s="72">
        <v>32076</v>
      </c>
      <c r="DT41" s="72">
        <v>33310</v>
      </c>
      <c r="DU41" s="72">
        <v>1934.65</v>
      </c>
      <c r="DV41" s="72">
        <v>15912</v>
      </c>
      <c r="DW41" s="93">
        <v>2.6120000000000001</v>
      </c>
      <c r="DX41" s="75"/>
      <c r="DY41" s="75"/>
      <c r="DZ41" s="67">
        <v>8.32</v>
      </c>
      <c r="EA41" s="67">
        <v>6.62</v>
      </c>
      <c r="EB41" s="101">
        <v>13835.017094159381</v>
      </c>
      <c r="EC41" s="78">
        <v>7.5538038757526955</v>
      </c>
      <c r="ED41" s="72">
        <v>27145</v>
      </c>
      <c r="EE41" s="72">
        <f t="shared" si="38"/>
        <v>28368.4267100139</v>
      </c>
      <c r="EF41" s="72">
        <f t="shared" si="39"/>
        <v>375551539020.95636</v>
      </c>
      <c r="EG41" s="74">
        <f t="shared" si="81"/>
        <v>0.85496693934021617</v>
      </c>
      <c r="EH41" s="74">
        <f t="shared" si="104"/>
        <v>6.4582525800285442</v>
      </c>
      <c r="EI41" s="75">
        <f t="shared" si="128"/>
        <v>1.0168493569698098</v>
      </c>
      <c r="EJ41" s="75">
        <f t="shared" si="129"/>
        <v>6.4582525800285442</v>
      </c>
      <c r="EK41" s="78">
        <f t="shared" si="130"/>
        <v>7.6810806137351859</v>
      </c>
      <c r="EL41" s="72">
        <f t="shared" si="131"/>
        <v>6380.6156454357706</v>
      </c>
      <c r="EM41" s="72">
        <f t="shared" si="132"/>
        <v>15692.364555632319</v>
      </c>
      <c r="EN41" s="72">
        <f t="shared" si="133"/>
        <v>237.57093037336023</v>
      </c>
      <c r="EO41" s="72">
        <f t="shared" si="134"/>
        <v>183.49606559421375</v>
      </c>
      <c r="EP41" s="75">
        <f t="shared" si="135"/>
        <v>7.6615316435687461E-2</v>
      </c>
      <c r="EQ41" s="77">
        <f t="shared" si="82"/>
        <v>13.052220450455509</v>
      </c>
      <c r="ER41" s="78">
        <v>41.92</v>
      </c>
      <c r="ES41" s="74">
        <f t="shared" si="102"/>
        <v>4.5647293589423654E-2</v>
      </c>
      <c r="ET41" s="95">
        <f t="shared" si="99"/>
        <v>49.857278782112274</v>
      </c>
      <c r="EU41" s="74">
        <f t="shared" si="102"/>
        <v>5.1019791577418871E-2</v>
      </c>
      <c r="EV41" s="77">
        <f t="shared" si="100"/>
        <v>49.031135674497484</v>
      </c>
      <c r="EW41" s="74">
        <f t="shared" si="101"/>
        <v>-6.5026633449336568E-3</v>
      </c>
      <c r="EX41" s="78">
        <v>6.17</v>
      </c>
      <c r="EY41" s="78">
        <v>5.3977732352745127</v>
      </c>
      <c r="EZ41" s="173">
        <f t="shared" si="105"/>
        <v>3.6266419587020589</v>
      </c>
      <c r="FA41" s="72">
        <f t="shared" si="83"/>
        <v>9.5035515803405417</v>
      </c>
      <c r="FB41" s="78">
        <f t="shared" si="84"/>
        <v>1.1964660793498672</v>
      </c>
      <c r="FC41" s="78">
        <f t="shared" si="85"/>
        <v>1.1964660793498672</v>
      </c>
      <c r="FD41" s="78">
        <f t="shared" si="86"/>
        <v>83.579469343867871</v>
      </c>
      <c r="FE41" s="72">
        <f t="shared" si="87"/>
        <v>246.37125986120608</v>
      </c>
    </row>
    <row r="42" spans="1:161" s="67" customFormat="1" x14ac:dyDescent="0.2">
      <c r="A42" s="68">
        <v>2000</v>
      </c>
      <c r="B42" s="104">
        <v>58858.197999999997</v>
      </c>
      <c r="C42" s="72">
        <v>59266.572</v>
      </c>
      <c r="D42" s="72">
        <v>59012.502</v>
      </c>
      <c r="E42" s="72">
        <v>59062.385000000002</v>
      </c>
      <c r="F42" s="117">
        <v>75.870999999999995</v>
      </c>
      <c r="G42" s="72">
        <f t="shared" si="50"/>
        <v>44811.222123349995</v>
      </c>
      <c r="H42" s="72">
        <v>24256.303810179885</v>
      </c>
      <c r="I42" s="85">
        <v>80.3</v>
      </c>
      <c r="J42" s="85">
        <v>29.6</v>
      </c>
      <c r="K42" s="67">
        <f t="shared" si="51"/>
        <v>-844</v>
      </c>
      <c r="L42" s="102">
        <v>16221</v>
      </c>
      <c r="M42" s="67">
        <f t="shared" si="52"/>
        <v>425</v>
      </c>
      <c r="N42" s="102">
        <v>12133</v>
      </c>
      <c r="O42" s="67">
        <f t="shared" si="0"/>
        <v>28354</v>
      </c>
      <c r="P42" s="74">
        <f t="shared" si="53"/>
        <v>0.5720885942018763</v>
      </c>
      <c r="Q42" s="74">
        <f t="shared" si="54"/>
        <v>0.4279114057981237</v>
      </c>
      <c r="R42" s="77">
        <f t="shared" si="55"/>
        <v>-4.9457954878406092</v>
      </c>
      <c r="S42" s="77">
        <f t="shared" si="56"/>
        <v>3.6299965835326242</v>
      </c>
      <c r="T42" s="77">
        <f t="shared" si="57"/>
        <v>-1.4669333718483557</v>
      </c>
      <c r="U42" s="94">
        <f t="shared" si="58"/>
        <v>-419</v>
      </c>
      <c r="V42" s="75">
        <f t="shared" si="1"/>
        <v>0.47841471242844957</v>
      </c>
      <c r="W42" s="77">
        <f t="shared" si="88"/>
        <v>-2.1583643510576289</v>
      </c>
      <c r="X42" s="74">
        <f t="shared" si="59"/>
        <v>1.1689332481109671</v>
      </c>
      <c r="Y42" s="77">
        <f t="shared" si="88"/>
        <v>-2.8124412106148493</v>
      </c>
      <c r="Z42" s="72">
        <f t="shared" si="2"/>
        <v>23087.089039999999</v>
      </c>
      <c r="AA42" s="77">
        <f t="shared" si="89"/>
        <v>-1.3193904371758713</v>
      </c>
      <c r="AB42" s="74">
        <f t="shared" si="3"/>
        <v>0.38954655653105763</v>
      </c>
      <c r="AC42" s="77">
        <f t="shared" si="89"/>
        <v>-1.9993453238801195</v>
      </c>
      <c r="AD42" s="74">
        <f t="shared" si="60"/>
        <v>0.95179748821874544</v>
      </c>
      <c r="AE42" s="77">
        <f t="shared" si="136"/>
        <v>-2.6382531763298966</v>
      </c>
      <c r="AF42" s="72">
        <v>18220</v>
      </c>
      <c r="AG42" s="72">
        <v>9261</v>
      </c>
      <c r="AH42" s="72">
        <f t="shared" si="4"/>
        <v>27481</v>
      </c>
      <c r="AI42" s="72">
        <f t="shared" si="139"/>
        <v>18080</v>
      </c>
      <c r="AJ42" s="72">
        <v>9980</v>
      </c>
      <c r="AK42" s="72">
        <v>28060</v>
      </c>
      <c r="AL42" s="72">
        <f t="shared" si="5"/>
        <v>18150</v>
      </c>
      <c r="AM42" s="72">
        <f t="shared" si="6"/>
        <v>9620.5</v>
      </c>
      <c r="AN42" s="72">
        <f t="shared" si="7"/>
        <v>27770.5</v>
      </c>
      <c r="AO42" s="74">
        <f t="shared" si="8"/>
        <v>0.4734540745835612</v>
      </c>
      <c r="AP42" s="74">
        <f t="shared" si="9"/>
        <v>0.4705867241487236</v>
      </c>
      <c r="AQ42" s="74">
        <f t="shared" si="62"/>
        <v>1.1448776457172043</v>
      </c>
      <c r="AR42" s="67">
        <v>2133884</v>
      </c>
      <c r="AS42" s="72">
        <v>781704.00100000005</v>
      </c>
      <c r="AT42" s="77">
        <f t="shared" si="63"/>
        <v>5.9986009829237963</v>
      </c>
      <c r="AU42" s="72">
        <v>909004.69200000004</v>
      </c>
      <c r="AV42" s="72">
        <f t="shared" si="10"/>
        <v>909.00469200000009</v>
      </c>
      <c r="AW42" s="78">
        <f t="shared" si="11"/>
        <v>15.337561484068964</v>
      </c>
      <c r="AX42" s="74">
        <f t="shared" si="64"/>
        <v>2.880989352919805E-2</v>
      </c>
      <c r="AY42" s="78">
        <f t="shared" si="65"/>
        <v>37.474987908854807</v>
      </c>
      <c r="AZ42" s="74">
        <f t="shared" si="66"/>
        <v>2.2269124933626205E-2</v>
      </c>
      <c r="BA42" s="79">
        <f t="shared" si="67"/>
        <v>0.14753027031778188</v>
      </c>
      <c r="BB42" s="80">
        <v>916987.4</v>
      </c>
      <c r="BC42" s="81">
        <f t="shared" si="106"/>
        <v>1066314.0146053305</v>
      </c>
      <c r="BD42" s="82">
        <f t="shared" si="68"/>
        <v>3.3921933958615869</v>
      </c>
      <c r="BE42" s="81">
        <f t="shared" si="107"/>
        <v>17991.828759816421</v>
      </c>
      <c r="BF42" s="81">
        <f t="shared" si="108"/>
        <v>43960.28442543748</v>
      </c>
      <c r="BG42" s="72">
        <v>1485.3031020000003</v>
      </c>
      <c r="BH42" s="77">
        <f t="shared" si="103"/>
        <v>5.478336353732427</v>
      </c>
      <c r="BI42" s="130">
        <f t="shared" si="109"/>
        <v>1771.7011837580183</v>
      </c>
      <c r="BJ42" s="77">
        <f t="shared" si="91"/>
        <v>3.8751833231742694</v>
      </c>
      <c r="BK42" s="83">
        <f t="shared" si="110"/>
        <v>29.893768510147986</v>
      </c>
      <c r="BL42" s="83">
        <f t="shared" si="111"/>
        <v>73.040855590474209</v>
      </c>
      <c r="BM42" s="81">
        <v>24470.625</v>
      </c>
      <c r="BN42" s="81">
        <f t="shared" si="112"/>
        <v>11467.645382785569</v>
      </c>
      <c r="BO42" s="82">
        <v>92.048000000000002</v>
      </c>
      <c r="BP42" s="82">
        <f t="shared" si="113"/>
        <v>107.03753662961067</v>
      </c>
      <c r="BQ42" s="81">
        <f t="shared" si="114"/>
        <v>12458.33193853812</v>
      </c>
      <c r="BR42" s="82">
        <v>81.497</v>
      </c>
      <c r="BS42" s="82">
        <f t="shared" si="115"/>
        <v>94.768361319131131</v>
      </c>
      <c r="BT42" s="82">
        <v>94.504999999999995</v>
      </c>
      <c r="BU42" s="82">
        <f t="shared" si="116"/>
        <v>109.89464626261687</v>
      </c>
      <c r="BV42" s="82">
        <v>76.846000000000004</v>
      </c>
      <c r="BW42" s="82">
        <f t="shared" si="117"/>
        <v>89.359970231173548</v>
      </c>
      <c r="BX42" s="82">
        <f t="shared" si="118"/>
        <v>100.62723427658544</v>
      </c>
      <c r="BY42" s="84">
        <v>85.995999999999995</v>
      </c>
      <c r="BZ42" s="77">
        <v>83.834854072257897</v>
      </c>
      <c r="CA42" s="78">
        <v>1.1071584889777524</v>
      </c>
      <c r="CB42" s="78">
        <v>0.84680000000000011</v>
      </c>
      <c r="CC42" s="86">
        <f t="shared" si="119"/>
        <v>0.99574812194780715</v>
      </c>
      <c r="CD42" s="86">
        <f t="shared" si="92"/>
        <v>0.16466272101261925</v>
      </c>
      <c r="CE42" s="86">
        <f t="shared" si="69"/>
        <v>0.13599309022872363</v>
      </c>
      <c r="CF42" s="86">
        <f t="shared" si="26"/>
        <v>1.2874534733914977</v>
      </c>
      <c r="CG42" s="86">
        <f t="shared" si="70"/>
        <v>0.16404995979500148</v>
      </c>
      <c r="CH42" s="86">
        <f t="shared" si="27"/>
        <v>0.98469696264942574</v>
      </c>
      <c r="CI42" s="86">
        <f t="shared" si="93"/>
        <v>0.14105115229551313</v>
      </c>
      <c r="CJ42" s="86">
        <f t="shared" si="120"/>
        <v>1.157900509265323</v>
      </c>
      <c r="CK42" s="86">
        <f t="shared" si="94"/>
        <v>0.13871391207429462</v>
      </c>
      <c r="CL42" s="87">
        <v>1098</v>
      </c>
      <c r="CM42" s="77">
        <f t="shared" si="71"/>
        <v>72.23684210526315</v>
      </c>
      <c r="CN42" s="77">
        <f t="shared" si="121"/>
        <v>84.000235017050969</v>
      </c>
      <c r="CO42" s="77">
        <f t="shared" si="72"/>
        <v>94.591698122570151</v>
      </c>
      <c r="CP42" s="103">
        <v>0.97849999999999993</v>
      </c>
      <c r="CQ42" s="74">
        <f t="shared" si="137"/>
        <v>8.4181733445542972E-2</v>
      </c>
      <c r="CR42" s="137">
        <v>0.48792270531400966</v>
      </c>
      <c r="CS42" s="74">
        <f t="shared" si="138"/>
        <v>8.8362068965517127E-2</v>
      </c>
      <c r="CT42" s="77">
        <f t="shared" si="74"/>
        <v>48.792270531400966</v>
      </c>
      <c r="CU42" s="77">
        <f t="shared" si="122"/>
        <v>56.73783726150166</v>
      </c>
      <c r="CV42" s="78">
        <f t="shared" si="123"/>
        <v>156.51454455445545</v>
      </c>
      <c r="CW42" s="74">
        <f t="shared" si="75"/>
        <v>7.667415117136045E-2</v>
      </c>
      <c r="CX42" s="88">
        <f t="shared" si="76"/>
        <v>63.891825698797859</v>
      </c>
      <c r="CY42" s="77">
        <f t="shared" si="124"/>
        <v>88.802967579887451</v>
      </c>
      <c r="CZ42" s="89">
        <v>76.367000000000004</v>
      </c>
      <c r="DA42" s="74">
        <f t="shared" si="77"/>
        <v>0.16134802822046446</v>
      </c>
      <c r="DB42" s="125">
        <v>72.778000000000006</v>
      </c>
      <c r="DC42" s="125">
        <v>78.062335026975859</v>
      </c>
      <c r="DD42" s="74">
        <f t="shared" si="78"/>
        <v>1.1877495738103918</v>
      </c>
      <c r="DE42" s="74">
        <f t="shared" si="79"/>
        <v>1.1827299785714027</v>
      </c>
      <c r="DF42" s="75">
        <f t="shared" si="125"/>
        <v>1.157900509265323</v>
      </c>
      <c r="DG42" s="75">
        <f t="shared" si="126"/>
        <v>1.1530070603332512</v>
      </c>
      <c r="DH42" s="74">
        <f t="shared" si="80"/>
        <v>0.14105115229551313</v>
      </c>
      <c r="DI42" s="75">
        <f t="shared" si="95"/>
        <v>0.15218740429043942</v>
      </c>
      <c r="DJ42" s="77">
        <f t="shared" si="96"/>
        <v>12.989947826597561</v>
      </c>
      <c r="DK42" s="75">
        <f t="shared" si="127"/>
        <v>1.1530070603332512</v>
      </c>
      <c r="DL42" s="77">
        <f t="shared" si="97"/>
        <v>10.398183616513542</v>
      </c>
      <c r="DM42" s="72">
        <v>25089</v>
      </c>
      <c r="DN42" s="72">
        <v>32446</v>
      </c>
      <c r="DO42" s="72">
        <v>25089</v>
      </c>
      <c r="DP42" s="92">
        <f t="shared" si="98"/>
        <v>313</v>
      </c>
      <c r="DQ42" s="72">
        <v>32446</v>
      </c>
      <c r="DR42" s="72">
        <v>25091</v>
      </c>
      <c r="DS42" s="72">
        <v>32447</v>
      </c>
      <c r="DT42" s="72">
        <v>33625</v>
      </c>
      <c r="DU42" s="72">
        <v>1977</v>
      </c>
      <c r="DV42" s="72">
        <v>16064</v>
      </c>
      <c r="DW42" s="93">
        <v>2.649</v>
      </c>
      <c r="DX42" s="75"/>
      <c r="DY42" s="75"/>
      <c r="DZ42" s="67">
        <v>8.1300000000000008</v>
      </c>
      <c r="EA42" s="67">
        <v>6.76</v>
      </c>
      <c r="EB42" s="101">
        <v>13538.847175632825</v>
      </c>
      <c r="EC42" s="78">
        <v>7.4580736600646498</v>
      </c>
      <c r="ED42" s="72">
        <v>27770</v>
      </c>
      <c r="EE42" s="72">
        <f t="shared" si="38"/>
        <v>28040.40190743488</v>
      </c>
      <c r="EF42" s="72">
        <f t="shared" si="39"/>
        <v>375973786067.32355</v>
      </c>
      <c r="EG42" s="74">
        <f t="shared" si="81"/>
        <v>0.99574812194780715</v>
      </c>
      <c r="EH42" s="74">
        <f t="shared" si="104"/>
        <v>7.4263628403577835</v>
      </c>
      <c r="EI42" s="75">
        <f t="shared" si="128"/>
        <v>1.157900509265323</v>
      </c>
      <c r="EJ42" s="75">
        <f t="shared" si="129"/>
        <v>7.4263628403577817</v>
      </c>
      <c r="EK42" s="78">
        <f t="shared" si="130"/>
        <v>8.6357072891271489</v>
      </c>
      <c r="EL42" s="72">
        <f t="shared" si="131"/>
        <v>6343.774802216054</v>
      </c>
      <c r="EM42" s="72">
        <f t="shared" si="132"/>
        <v>15500.044401222203</v>
      </c>
      <c r="EN42" s="72">
        <f t="shared" si="133"/>
        <v>236.20649635327408</v>
      </c>
      <c r="EO42" s="72">
        <f t="shared" si="134"/>
        <v>182.65655376460074</v>
      </c>
      <c r="EP42" s="75">
        <f t="shared" si="135"/>
        <v>7.5414832232273785E-2</v>
      </c>
      <c r="EQ42" s="77">
        <f t="shared" si="82"/>
        <v>13.259991044202707</v>
      </c>
      <c r="ER42" s="78">
        <v>42.99</v>
      </c>
      <c r="ES42" s="74">
        <f t="shared" si="102"/>
        <v>2.5524809160305306E-2</v>
      </c>
      <c r="ET42" s="95">
        <f t="shared" si="99"/>
        <v>49.990697241732178</v>
      </c>
      <c r="EU42" s="74">
        <f t="shared" si="102"/>
        <v>2.6760076538265842E-3</v>
      </c>
      <c r="EV42" s="77">
        <f t="shared" si="100"/>
        <v>43.173568749400417</v>
      </c>
      <c r="EW42" s="74">
        <f t="shared" si="101"/>
        <v>-0.11946627065674431</v>
      </c>
      <c r="EX42" s="78">
        <v>6.31</v>
      </c>
      <c r="EY42" s="78">
        <v>5.5297594599906814</v>
      </c>
      <c r="EZ42" s="173">
        <f t="shared" si="105"/>
        <v>3.715320522928923</v>
      </c>
      <c r="FA42" s="72">
        <f t="shared" si="83"/>
        <v>10.804247047116423</v>
      </c>
      <c r="FB42" s="78">
        <f t="shared" si="84"/>
        <v>1.3429811719821712</v>
      </c>
      <c r="FC42" s="78">
        <f t="shared" si="85"/>
        <v>1.3429811719821712</v>
      </c>
      <c r="FD42" s="78">
        <f t="shared" si="86"/>
        <v>74.461207711799219</v>
      </c>
      <c r="FE42" s="72">
        <f t="shared" si="87"/>
        <v>270.62104318025223</v>
      </c>
    </row>
    <row r="43" spans="1:161" s="67" customFormat="1" x14ac:dyDescent="0.2">
      <c r="A43" s="68">
        <v>2001</v>
      </c>
      <c r="B43" s="104">
        <v>59266.572</v>
      </c>
      <c r="C43" s="72">
        <v>59685.898999999998</v>
      </c>
      <c r="D43" s="72">
        <v>59393.072999999997</v>
      </c>
      <c r="E43" s="72">
        <v>59476.235500000003</v>
      </c>
      <c r="F43" s="117">
        <v>76.126999999999995</v>
      </c>
      <c r="G43" s="72">
        <f t="shared" si="50"/>
        <v>45277.473799085004</v>
      </c>
      <c r="H43" s="72">
        <v>24590.758634428013</v>
      </c>
      <c r="I43" s="100">
        <f>(I42+I44)/2</f>
        <v>80.25</v>
      </c>
      <c r="J43" s="100"/>
      <c r="K43" s="67">
        <f t="shared" si="51"/>
        <v>-342</v>
      </c>
      <c r="L43" s="102">
        <v>15879</v>
      </c>
      <c r="M43" s="67">
        <f t="shared" si="52"/>
        <v>1103</v>
      </c>
      <c r="N43" s="102">
        <v>13236</v>
      </c>
      <c r="O43" s="67">
        <f t="shared" si="0"/>
        <v>29115</v>
      </c>
      <c r="P43" s="74">
        <f t="shared" si="53"/>
        <v>0.54538897475528081</v>
      </c>
      <c r="Q43" s="74">
        <f t="shared" si="54"/>
        <v>0.45461102524471919</v>
      </c>
      <c r="R43" s="77">
        <f t="shared" si="55"/>
        <v>-2.1083780284815945</v>
      </c>
      <c r="S43" s="77">
        <f t="shared" si="56"/>
        <v>9.0909090909090828</v>
      </c>
      <c r="T43" s="77">
        <f t="shared" si="57"/>
        <v>2.6485391593642049</v>
      </c>
      <c r="U43" s="67">
        <f t="shared" si="58"/>
        <v>761</v>
      </c>
      <c r="V43" s="75">
        <f t="shared" si="1"/>
        <v>0.48780366029168803</v>
      </c>
      <c r="W43" s="77">
        <f t="shared" si="88"/>
        <v>1.9435033859169115</v>
      </c>
      <c r="X43" s="74">
        <f t="shared" si="59"/>
        <v>1.1839813660420331</v>
      </c>
      <c r="Y43" s="77">
        <f t="shared" si="88"/>
        <v>1.2791219039708563</v>
      </c>
      <c r="Z43" s="72">
        <f t="shared" si="2"/>
        <v>23748.519960000001</v>
      </c>
      <c r="AA43" s="77">
        <f t="shared" si="89"/>
        <v>2.8649385760761259</v>
      </c>
      <c r="AB43" s="74">
        <f t="shared" si="3"/>
        <v>0.39789163534254551</v>
      </c>
      <c r="AC43" s="77">
        <f t="shared" si="89"/>
        <v>2.1422545448229524</v>
      </c>
      <c r="AD43" s="74">
        <f t="shared" si="60"/>
        <v>0.9657497888963521</v>
      </c>
      <c r="AE43" s="77">
        <f t="shared" si="136"/>
        <v>1.465889629916739</v>
      </c>
      <c r="AF43" s="72">
        <v>18079</v>
      </c>
      <c r="AG43" s="72">
        <v>9981</v>
      </c>
      <c r="AH43" s="72">
        <f t="shared" si="4"/>
        <v>28060</v>
      </c>
      <c r="AI43" s="72">
        <f t="shared" si="139"/>
        <v>17811</v>
      </c>
      <c r="AJ43" s="72">
        <v>10889</v>
      </c>
      <c r="AK43" s="72">
        <v>28700</v>
      </c>
      <c r="AL43" s="72">
        <f t="shared" si="5"/>
        <v>17945</v>
      </c>
      <c r="AM43" s="72">
        <f t="shared" si="6"/>
        <v>10435</v>
      </c>
      <c r="AN43" s="72">
        <f t="shared" si="7"/>
        <v>28380</v>
      </c>
      <c r="AO43" s="74">
        <f t="shared" si="8"/>
        <v>0.48085059420818982</v>
      </c>
      <c r="AP43" s="74">
        <f t="shared" si="9"/>
        <v>0.47783350088654281</v>
      </c>
      <c r="AQ43" s="74">
        <f t="shared" si="62"/>
        <v>1.154092088898262</v>
      </c>
      <c r="AR43" s="67">
        <v>2255203</v>
      </c>
      <c r="AS43" s="72">
        <v>816548.43599999999</v>
      </c>
      <c r="AT43" s="77">
        <f t="shared" si="63"/>
        <v>4.4574973334439827</v>
      </c>
      <c r="AU43" s="72">
        <v>931645.55900000001</v>
      </c>
      <c r="AV43" s="72">
        <f t="shared" si="10"/>
        <v>931.64555900000005</v>
      </c>
      <c r="AW43" s="78">
        <f t="shared" si="11"/>
        <v>15.609140091866591</v>
      </c>
      <c r="AX43" s="74">
        <f t="shared" si="64"/>
        <v>1.7551827235686268E-2</v>
      </c>
      <c r="AY43" s="78">
        <f t="shared" si="65"/>
        <v>37.886003146550351</v>
      </c>
      <c r="AZ43" s="74">
        <f t="shared" si="66"/>
        <v>1.0908012416225521E-2</v>
      </c>
      <c r="BA43" s="79">
        <f t="shared" si="67"/>
        <v>0.15335634532924602</v>
      </c>
      <c r="BB43" s="80">
        <v>964453.5</v>
      </c>
      <c r="BC43" s="81">
        <f t="shared" si="106"/>
        <v>1100396.481299774</v>
      </c>
      <c r="BD43" s="82">
        <f t="shared" si="68"/>
        <v>3.1962879815528034</v>
      </c>
      <c r="BE43" s="81">
        <f t="shared" si="107"/>
        <v>18436.45651211141</v>
      </c>
      <c r="BF43" s="81">
        <f t="shared" si="108"/>
        <v>44748.374690611468</v>
      </c>
      <c r="BG43" s="72">
        <v>1544.6293429999996</v>
      </c>
      <c r="BH43" s="77">
        <f t="shared" si="103"/>
        <v>3.9942178078073765</v>
      </c>
      <c r="BI43" s="130">
        <f t="shared" si="109"/>
        <v>1806.3281933964902</v>
      </c>
      <c r="BJ43" s="77">
        <f t="shared" si="91"/>
        <v>1.9544497659037097</v>
      </c>
      <c r="BK43" s="83">
        <f t="shared" si="110"/>
        <v>30.263901920895758</v>
      </c>
      <c r="BL43" s="83">
        <f t="shared" si="111"/>
        <v>73.45557004766664</v>
      </c>
      <c r="BM43" s="81">
        <v>25561.691999999999</v>
      </c>
      <c r="BN43" s="81">
        <f t="shared" si="112"/>
        <v>11334.541502472282</v>
      </c>
      <c r="BO43" s="82">
        <v>92.665999999999997</v>
      </c>
      <c r="BP43" s="82">
        <f t="shared" si="113"/>
        <v>105.72758597083724</v>
      </c>
      <c r="BQ43" s="81">
        <f t="shared" si="114"/>
        <v>12231.607604161487</v>
      </c>
      <c r="BR43" s="82">
        <v>81.486000000000004</v>
      </c>
      <c r="BS43" s="82">
        <f t="shared" si="115"/>
        <v>92.971727175227628</v>
      </c>
      <c r="BT43" s="82">
        <v>96.481999999999999</v>
      </c>
      <c r="BU43" s="82">
        <f t="shared" si="116"/>
        <v>110.08146407137805</v>
      </c>
      <c r="BV43" s="82">
        <v>77.326999999999998</v>
      </c>
      <c r="BW43" s="82">
        <f t="shared" si="117"/>
        <v>88.226502065125615</v>
      </c>
      <c r="BX43" s="82">
        <f t="shared" si="118"/>
        <v>106.24029676444323</v>
      </c>
      <c r="BY43" s="84">
        <v>87.646000000000001</v>
      </c>
      <c r="BZ43" s="77">
        <v>85.512109518458502</v>
      </c>
      <c r="CA43" s="78">
        <v>1.0468628207067703</v>
      </c>
      <c r="CB43" s="78">
        <v>0.79599999999999993</v>
      </c>
      <c r="CC43" s="86">
        <f t="shared" si="119"/>
        <v>0.93281781658948326</v>
      </c>
      <c r="CD43" s="86">
        <f t="shared" si="92"/>
        <v>-6.3199019883888319E-2</v>
      </c>
      <c r="CE43" s="86">
        <f t="shared" si="69"/>
        <v>-9.3031799034687168E-2</v>
      </c>
      <c r="CF43" s="86">
        <f t="shared" si="26"/>
        <v>1.1944216743568106</v>
      </c>
      <c r="CG43" s="86">
        <f t="shared" si="70"/>
        <v>-7.6498071656111777E-2</v>
      </c>
      <c r="CH43" s="86">
        <f t="shared" si="27"/>
        <v>0.90819889099331397</v>
      </c>
      <c r="CI43" s="86">
        <f t="shared" si="93"/>
        <v>-9.3598867901788729E-2</v>
      </c>
      <c r="CJ43" s="86">
        <f t="shared" si="120"/>
        <v>1.0643016413635342</v>
      </c>
      <c r="CK43" s="86">
        <f t="shared" si="94"/>
        <v>-8.0834982930594212E-2</v>
      </c>
      <c r="CL43" s="87">
        <v>1137.25</v>
      </c>
      <c r="CM43" s="77">
        <f t="shared" si="71"/>
        <v>74.819078947368425</v>
      </c>
      <c r="CN43" s="77">
        <f t="shared" si="121"/>
        <v>85.365081061735196</v>
      </c>
      <c r="CO43" s="77">
        <f t="shared" si="72"/>
        <v>102.794640306888</v>
      </c>
      <c r="CP43" s="103">
        <v>1.05525</v>
      </c>
      <c r="CQ43" s="74">
        <f t="shared" si="137"/>
        <v>7.5512197826477306E-2</v>
      </c>
      <c r="CR43" s="137">
        <v>0.52657004830917875</v>
      </c>
      <c r="CS43" s="74">
        <f t="shared" si="138"/>
        <v>7.9207920792079278E-2</v>
      </c>
      <c r="CT43" s="77">
        <f t="shared" si="74"/>
        <v>52.657004830917877</v>
      </c>
      <c r="CU43" s="77">
        <f t="shared" si="122"/>
        <v>60.079187676468834</v>
      </c>
      <c r="CV43" s="78">
        <f t="shared" si="123"/>
        <v>138.22472477064218</v>
      </c>
      <c r="CW43" s="74">
        <f t="shared" si="75"/>
        <v>-0.12426814105922901</v>
      </c>
      <c r="CX43" s="88">
        <f t="shared" si="76"/>
        <v>72.345957039112292</v>
      </c>
      <c r="CY43" s="77">
        <f t="shared" si="124"/>
        <v>83.044291810236629</v>
      </c>
      <c r="CZ43" s="89">
        <v>72.784999999999997</v>
      </c>
      <c r="DA43" s="74">
        <f t="shared" si="77"/>
        <v>-4.8040775671344349E-2</v>
      </c>
      <c r="DB43" s="125">
        <v>68.677000000000007</v>
      </c>
      <c r="DC43" s="125">
        <v>74.6974070120188</v>
      </c>
      <c r="DD43" s="74">
        <f t="shared" si="78"/>
        <v>1.0908604896340754</v>
      </c>
      <c r="DE43" s="74">
        <f t="shared" si="79"/>
        <v>1.0860665285447562</v>
      </c>
      <c r="DF43" s="75">
        <f t="shared" si="125"/>
        <v>1.0643016413635342</v>
      </c>
      <c r="DG43" s="75">
        <f t="shared" si="126"/>
        <v>1.0596243973855191</v>
      </c>
      <c r="DH43" s="74">
        <f t="shared" si="80"/>
        <v>-9.3598867901788729E-2</v>
      </c>
      <c r="DI43" s="75">
        <f t="shared" si="95"/>
        <v>-9.6889084176316365E-2</v>
      </c>
      <c r="DJ43" s="77">
        <f t="shared" si="96"/>
        <v>-8.4289611190303919</v>
      </c>
      <c r="DK43" s="75">
        <f t="shared" si="127"/>
        <v>1.0596243973855191</v>
      </c>
      <c r="DL43" s="77">
        <f t="shared" si="97"/>
        <v>8.1900946129441579</v>
      </c>
      <c r="DM43" s="72">
        <v>25445</v>
      </c>
      <c r="DN43" s="72">
        <v>32942</v>
      </c>
      <c r="DO43" s="72">
        <v>25445</v>
      </c>
      <c r="DP43" s="92">
        <f t="shared" si="98"/>
        <v>356</v>
      </c>
      <c r="DQ43" s="72">
        <v>32942</v>
      </c>
      <c r="DR43" s="72">
        <v>25433</v>
      </c>
      <c r="DS43" s="72">
        <v>32932</v>
      </c>
      <c r="DT43" s="72">
        <v>33766</v>
      </c>
      <c r="DU43" s="72">
        <v>2038.18</v>
      </c>
      <c r="DV43" s="72">
        <v>16537</v>
      </c>
      <c r="DW43" s="93">
        <v>2.7290000000000001</v>
      </c>
      <c r="DX43" s="75"/>
      <c r="DY43" s="75"/>
      <c r="DZ43" s="67">
        <v>8.19</v>
      </c>
      <c r="EA43" s="67">
        <v>6.76</v>
      </c>
      <c r="EB43" s="101">
        <v>13801.60977638341</v>
      </c>
      <c r="EC43" s="78">
        <v>7.379176383063017</v>
      </c>
      <c r="ED43" s="72">
        <v>28380</v>
      </c>
      <c r="EE43" s="72">
        <f t="shared" si="38"/>
        <v>28903.472763897764</v>
      </c>
      <c r="EF43" s="72">
        <f t="shared" si="39"/>
        <v>391689685453.76117</v>
      </c>
      <c r="EG43" s="74">
        <f t="shared" si="81"/>
        <v>0.93281781658948326</v>
      </c>
      <c r="EH43" s="74">
        <f t="shared" si="104"/>
        <v>6.8834272018775238</v>
      </c>
      <c r="EI43" s="75">
        <f t="shared" si="128"/>
        <v>1.0643016413635342</v>
      </c>
      <c r="EJ43" s="75">
        <f t="shared" si="129"/>
        <v>6.8834272018775229</v>
      </c>
      <c r="EK43" s="78">
        <f t="shared" si="130"/>
        <v>7.8536695364049969</v>
      </c>
      <c r="EL43" s="72">
        <f t="shared" si="131"/>
        <v>6562.5163064689896</v>
      </c>
      <c r="EM43" s="72">
        <f t="shared" si="132"/>
        <v>15928.328656985004</v>
      </c>
      <c r="EN43" s="72">
        <f t="shared" si="133"/>
        <v>234.67895647387252</v>
      </c>
      <c r="EO43" s="72">
        <f t="shared" si="134"/>
        <v>181.23982448682131</v>
      </c>
      <c r="EP43" s="75">
        <f t="shared" si="135"/>
        <v>7.4331801630852526E-2</v>
      </c>
      <c r="EQ43" s="77">
        <f t="shared" si="82"/>
        <v>13.453192012837411</v>
      </c>
      <c r="ER43" s="78">
        <v>43.905000000000001</v>
      </c>
      <c r="ES43" s="74">
        <f t="shared" si="102"/>
        <v>2.1284019539427712E-2</v>
      </c>
      <c r="ET43" s="95">
        <f t="shared" si="99"/>
        <v>50.093558177212877</v>
      </c>
      <c r="EU43" s="74">
        <f t="shared" si="102"/>
        <v>2.0576015370081802E-3</v>
      </c>
      <c r="EV43" s="77">
        <f t="shared" si="100"/>
        <v>47.067068423417368</v>
      </c>
      <c r="EW43" s="74">
        <f t="shared" si="101"/>
        <v>9.0182484024349252E-2</v>
      </c>
      <c r="EX43" s="78">
        <v>6.54</v>
      </c>
      <c r="EY43" s="78">
        <v>5.732619927953774</v>
      </c>
      <c r="EZ43" s="173">
        <f t="shared" si="105"/>
        <v>3.8516178909007865</v>
      </c>
      <c r="FA43" s="72">
        <f t="shared" si="83"/>
        <v>9.7632617718905426</v>
      </c>
      <c r="FB43" s="78">
        <f t="shared" si="84"/>
        <v>1.2007471781466112</v>
      </c>
      <c r="FC43" s="78">
        <f t="shared" si="85"/>
        <v>1.2007471781466112</v>
      </c>
      <c r="FD43" s="78">
        <f t="shared" si="86"/>
        <v>83.281478249528732</v>
      </c>
      <c r="FE43" s="72">
        <f t="shared" si="87"/>
        <v>246.65576611037579</v>
      </c>
    </row>
    <row r="44" spans="1:161" s="67" customFormat="1" x14ac:dyDescent="0.2">
      <c r="A44" s="68">
        <v>2002</v>
      </c>
      <c r="B44" s="104">
        <v>59685.898999999998</v>
      </c>
      <c r="C44" s="72">
        <v>60101.841</v>
      </c>
      <c r="D44" s="72">
        <v>59777.898999999998</v>
      </c>
      <c r="E44" s="72">
        <v>59893.87</v>
      </c>
      <c r="F44" s="117">
        <v>76.38</v>
      </c>
      <c r="G44" s="72">
        <f t="shared" si="50"/>
        <v>45746.937905999999</v>
      </c>
      <c r="H44" s="72">
        <v>24928.04187889821</v>
      </c>
      <c r="I44" s="100">
        <v>80.2</v>
      </c>
      <c r="J44" s="84"/>
      <c r="K44" s="67">
        <f t="shared" si="51"/>
        <v>-669</v>
      </c>
      <c r="L44" s="102">
        <v>15210</v>
      </c>
      <c r="M44" s="67">
        <f t="shared" si="52"/>
        <v>580</v>
      </c>
      <c r="N44" s="102">
        <v>13816</v>
      </c>
      <c r="O44" s="67">
        <f t="shared" si="0"/>
        <v>29026</v>
      </c>
      <c r="P44" s="74">
        <f t="shared" si="53"/>
        <v>0.52401295390339697</v>
      </c>
      <c r="Q44" s="74">
        <f t="shared" si="54"/>
        <v>0.47598704609660303</v>
      </c>
      <c r="R44" s="77">
        <f t="shared" si="55"/>
        <v>-4.2131116569053439</v>
      </c>
      <c r="S44" s="77">
        <f t="shared" si="56"/>
        <v>4.3819885161680228</v>
      </c>
      <c r="T44" s="77">
        <f t="shared" si="57"/>
        <v>-0.30615252409109672</v>
      </c>
      <c r="U44" s="94">
        <f t="shared" si="58"/>
        <v>-89</v>
      </c>
      <c r="V44" s="75">
        <f t="shared" si="1"/>
        <v>0.4829469366836866</v>
      </c>
      <c r="W44" s="77">
        <f t="shared" si="88"/>
        <v>-1.0006203747893849</v>
      </c>
      <c r="X44" s="74">
        <f t="shared" si="59"/>
        <v>1.1643914969739659</v>
      </c>
      <c r="Y44" s="77">
        <f t="shared" si="88"/>
        <v>-1.668416783086077</v>
      </c>
      <c r="Z44" s="72">
        <f t="shared" si="2"/>
        <v>23709.2804</v>
      </c>
      <c r="AA44" s="77">
        <f t="shared" si="89"/>
        <v>-0.16522949668481557</v>
      </c>
      <c r="AB44" s="74">
        <f t="shared" si="3"/>
        <v>0.3944850940589324</v>
      </c>
      <c r="AC44" s="77">
        <f t="shared" si="89"/>
        <v>-0.85614800137239211</v>
      </c>
      <c r="AD44" s="74">
        <f t="shared" si="60"/>
        <v>0.95110881613489662</v>
      </c>
      <c r="AE44" s="77">
        <f t="shared" si="136"/>
        <v>-1.5160213266199096</v>
      </c>
      <c r="AF44" s="72">
        <v>17811</v>
      </c>
      <c r="AG44" s="72">
        <v>10889</v>
      </c>
      <c r="AH44" s="72">
        <f t="shared" si="4"/>
        <v>28700</v>
      </c>
      <c r="AI44" s="72">
        <f t="shared" si="139"/>
        <v>17338</v>
      </c>
      <c r="AJ44" s="72">
        <v>11822</v>
      </c>
      <c r="AK44" s="72">
        <v>29160</v>
      </c>
      <c r="AL44" s="72">
        <f t="shared" si="5"/>
        <v>17574.5</v>
      </c>
      <c r="AM44" s="72">
        <f t="shared" si="6"/>
        <v>11355.5</v>
      </c>
      <c r="AN44" s="72">
        <f t="shared" si="7"/>
        <v>28930</v>
      </c>
      <c r="AO44" s="74">
        <f t="shared" si="8"/>
        <v>0.48517648569201066</v>
      </c>
      <c r="AP44" s="74">
        <f t="shared" si="9"/>
        <v>0.48395812639718239</v>
      </c>
      <c r="AQ44" s="74">
        <f t="shared" si="62"/>
        <v>1.1605404123012759</v>
      </c>
      <c r="AR44" s="67">
        <v>2145071</v>
      </c>
      <c r="AS44" s="72">
        <v>840252.13300000003</v>
      </c>
      <c r="AT44" s="77">
        <f t="shared" si="63"/>
        <v>2.9029137715475439</v>
      </c>
      <c r="AU44" s="72">
        <v>948758.85400000005</v>
      </c>
      <c r="AV44" s="72">
        <f t="shared" si="10"/>
        <v>948.75885400000004</v>
      </c>
      <c r="AW44" s="78">
        <f t="shared" si="11"/>
        <v>15.785853448316168</v>
      </c>
      <c r="AX44" s="74">
        <f t="shared" si="64"/>
        <v>1.1257541588137965E-2</v>
      </c>
      <c r="AY44" s="78">
        <f t="shared" si="65"/>
        <v>38.059902924149533</v>
      </c>
      <c r="AZ44" s="74">
        <f t="shared" si="66"/>
        <v>4.5795775051709064E-3</v>
      </c>
      <c r="BA44" s="79">
        <f t="shared" si="67"/>
        <v>0.16257609874171963</v>
      </c>
      <c r="BB44" s="80">
        <v>1003377.3</v>
      </c>
      <c r="BC44" s="81">
        <f t="shared" si="106"/>
        <v>1132953.1519934961</v>
      </c>
      <c r="BD44" s="82">
        <f t="shared" si="68"/>
        <v>2.9586309341217198</v>
      </c>
      <c r="BE44" s="81">
        <f t="shared" si="107"/>
        <v>18850.556541079935</v>
      </c>
      <c r="BF44" s="81">
        <f t="shared" si="108"/>
        <v>45448.942901229246</v>
      </c>
      <c r="BG44" s="72">
        <v>1594.258703</v>
      </c>
      <c r="BH44" s="77">
        <f t="shared" si="103"/>
        <v>3.2130271398062016</v>
      </c>
      <c r="BI44" s="130">
        <f t="shared" si="109"/>
        <v>1826.5312349274343</v>
      </c>
      <c r="BJ44" s="77">
        <f t="shared" si="91"/>
        <v>1.1184590709928388</v>
      </c>
      <c r="BK44" s="83">
        <f t="shared" si="110"/>
        <v>30.390603757502774</v>
      </c>
      <c r="BL44" s="83">
        <f t="shared" si="111"/>
        <v>73.272150448110722</v>
      </c>
      <c r="BM44" s="72">
        <v>24601.308000000001</v>
      </c>
      <c r="BN44" s="81">
        <f t="shared" si="112"/>
        <v>11468.761640057603</v>
      </c>
      <c r="BO44" s="82">
        <v>93.614000000000004</v>
      </c>
      <c r="BP44" s="82">
        <f t="shared" si="113"/>
        <v>105.70328466741189</v>
      </c>
      <c r="BQ44" s="81">
        <f t="shared" si="114"/>
        <v>12251.118037961844</v>
      </c>
      <c r="BR44" s="82">
        <v>82.245999999999995</v>
      </c>
      <c r="BS44" s="82">
        <f t="shared" si="115"/>
        <v>92.867224461682639</v>
      </c>
      <c r="BT44" s="82">
        <v>97.932000000000002</v>
      </c>
      <c r="BU44" s="82">
        <f t="shared" si="116"/>
        <v>110.57890992852546</v>
      </c>
      <c r="BV44" s="82">
        <v>79.725999999999999</v>
      </c>
      <c r="BW44" s="82">
        <f t="shared" si="117"/>
        <v>90.021792396373201</v>
      </c>
      <c r="BX44" s="82">
        <f t="shared" si="118"/>
        <v>112.47072764720821</v>
      </c>
      <c r="BY44" s="84">
        <v>88.563000000000002</v>
      </c>
      <c r="BZ44" s="77">
        <v>87.283407615163938</v>
      </c>
      <c r="CA44" s="78">
        <v>1.0240872535132735</v>
      </c>
      <c r="CB44" s="78">
        <v>0.77239999999999998</v>
      </c>
      <c r="CC44" s="86">
        <f t="shared" si="119"/>
        <v>0.90428738117332352</v>
      </c>
      <c r="CD44" s="86">
        <f t="shared" si="92"/>
        <v>-3.0585217079655669E-2</v>
      </c>
      <c r="CE44" s="86">
        <f t="shared" si="69"/>
        <v>-3.8084091491196848E-2</v>
      </c>
      <c r="CF44" s="86">
        <f t="shared" si="26"/>
        <v>1.1563375828656137</v>
      </c>
      <c r="CG44" s="86">
        <f t="shared" si="70"/>
        <v>-3.6051380181801318E-2</v>
      </c>
      <c r="CH44" s="86">
        <f t="shared" si="27"/>
        <v>0.87214751081151265</v>
      </c>
      <c r="CI44" s="86">
        <f t="shared" si="93"/>
        <v>-4.3234851424932774E-2</v>
      </c>
      <c r="CJ44" s="86">
        <f t="shared" si="120"/>
        <v>1.0210667899386014</v>
      </c>
      <c r="CK44" s="86">
        <f t="shared" si="94"/>
        <v>-4.0622742411204338E-2</v>
      </c>
      <c r="CL44" s="87">
        <v>1166</v>
      </c>
      <c r="CM44" s="77">
        <f t="shared" si="71"/>
        <v>76.71052631578948</v>
      </c>
      <c r="CN44" s="77">
        <f t="shared" si="121"/>
        <v>86.616901319726608</v>
      </c>
      <c r="CO44" s="77">
        <f t="shared" si="72"/>
        <v>108.21675128486513</v>
      </c>
      <c r="CP44" s="103">
        <v>1.1425000000000001</v>
      </c>
      <c r="CQ44" s="74">
        <f t="shared" si="137"/>
        <v>7.944113810575168E-2</v>
      </c>
      <c r="CR44" s="137">
        <v>0.57246376811594202</v>
      </c>
      <c r="CS44" s="74">
        <f t="shared" si="138"/>
        <v>8.7155963302752326E-2</v>
      </c>
      <c r="CT44" s="77">
        <f t="shared" si="74"/>
        <v>57.246376811594203</v>
      </c>
      <c r="CU44" s="77">
        <f t="shared" si="122"/>
        <v>64.639157223213076</v>
      </c>
      <c r="CV44" s="78">
        <f t="shared" si="123"/>
        <v>123.82617721518986</v>
      </c>
      <c r="CW44" s="74">
        <f t="shared" si="75"/>
        <v>-0.11000201553559297</v>
      </c>
      <c r="CX44" s="88">
        <f t="shared" si="76"/>
        <v>80.758368100321931</v>
      </c>
      <c r="CY44" s="77">
        <f t="shared" si="124"/>
        <v>80.040197373621027</v>
      </c>
      <c r="CZ44" s="89">
        <v>70.885999999999996</v>
      </c>
      <c r="DA44" s="74">
        <f t="shared" si="77"/>
        <v>-2.6436937189550314E-2</v>
      </c>
      <c r="DB44" s="125">
        <v>66.308000000000007</v>
      </c>
      <c r="DC44" s="125">
        <v>73.113197665394281</v>
      </c>
      <c r="DD44" s="74">
        <f t="shared" si="78"/>
        <v>1.0360358353106045</v>
      </c>
      <c r="DE44" s="74">
        <f t="shared" si="79"/>
        <v>1.0313022003550658</v>
      </c>
      <c r="DF44" s="75">
        <f t="shared" si="125"/>
        <v>1.0210667899386014</v>
      </c>
      <c r="DG44" s="75">
        <f t="shared" si="126"/>
        <v>1.0164015483667748</v>
      </c>
      <c r="DH44" s="74">
        <f t="shared" si="80"/>
        <v>-4.3234851424932774E-2</v>
      </c>
      <c r="DI44" s="75">
        <f t="shared" si="95"/>
        <v>-5.4824654323470945E-2</v>
      </c>
      <c r="DJ44" s="77">
        <f t="shared" si="96"/>
        <v>-4.1470895022325482</v>
      </c>
      <c r="DK44" s="75">
        <f t="shared" si="127"/>
        <v>1.0164015483667748</v>
      </c>
      <c r="DL44" s="77">
        <f t="shared" si="97"/>
        <v>8.5920927346955107</v>
      </c>
      <c r="DM44" s="72">
        <v>25723</v>
      </c>
      <c r="DN44" s="72">
        <v>33252</v>
      </c>
      <c r="DO44" s="92">
        <v>25723</v>
      </c>
      <c r="DP44" s="92">
        <f t="shared" si="98"/>
        <v>278</v>
      </c>
      <c r="DQ44" s="72">
        <v>33252</v>
      </c>
      <c r="DR44" s="72">
        <v>25723</v>
      </c>
      <c r="DS44" s="72">
        <v>33250</v>
      </c>
      <c r="DT44" s="72">
        <v>34068</v>
      </c>
      <c r="DU44" s="72">
        <v>2098.39</v>
      </c>
      <c r="DV44" s="72">
        <v>16875</v>
      </c>
      <c r="DW44" s="93">
        <v>2.7970000000000002</v>
      </c>
      <c r="DX44" s="75"/>
      <c r="DY44" s="75"/>
      <c r="DZ44" s="67">
        <v>8.09</v>
      </c>
      <c r="EA44" s="67">
        <v>6.73</v>
      </c>
      <c r="EB44" s="101">
        <v>13669.12212684893</v>
      </c>
      <c r="EC44" s="78">
        <v>7.3136007875975801</v>
      </c>
      <c r="ED44" s="72">
        <v>28930</v>
      </c>
      <c r="EE44" s="72">
        <f t="shared" si="38"/>
        <v>28921.466330633171</v>
      </c>
      <c r="EF44" s="72">
        <f t="shared" si="39"/>
        <v>395447703129.73956</v>
      </c>
      <c r="EG44" s="74">
        <f t="shared" si="81"/>
        <v>0.90428738117332352</v>
      </c>
      <c r="EH44" s="74">
        <f t="shared" si="104"/>
        <v>6.6135969031637725</v>
      </c>
      <c r="EI44" s="75">
        <f t="shared" si="128"/>
        <v>1.0210667899386014</v>
      </c>
      <c r="EJ44" s="75">
        <f t="shared" si="129"/>
        <v>6.6135969031637725</v>
      </c>
      <c r="EK44" s="78">
        <f t="shared" si="130"/>
        <v>7.4676748790846883</v>
      </c>
      <c r="EL44" s="72">
        <f t="shared" si="131"/>
        <v>6579.6271220666858</v>
      </c>
      <c r="EM44" s="72">
        <f t="shared" si="132"/>
        <v>15863.56862888975</v>
      </c>
      <c r="EN44" s="72">
        <f t="shared" si="133"/>
        <v>233.65020020992884</v>
      </c>
      <c r="EO44" s="72">
        <f t="shared" si="134"/>
        <v>180.75741654135336</v>
      </c>
      <c r="EP44" s="75">
        <f t="shared" si="135"/>
        <v>7.3400350464235903E-2</v>
      </c>
      <c r="EQ44" s="77">
        <f t="shared" si="82"/>
        <v>13.623913151303643</v>
      </c>
      <c r="ER44" s="78">
        <v>45.204999999999998</v>
      </c>
      <c r="ES44" s="74">
        <f t="shared" si="102"/>
        <v>2.9609383897050368E-2</v>
      </c>
      <c r="ET44" s="95">
        <f t="shared" si="99"/>
        <v>51.042760520759231</v>
      </c>
      <c r="EU44" s="74">
        <f t="shared" si="102"/>
        <v>1.8948590958310918E-2</v>
      </c>
      <c r="EV44" s="77">
        <f t="shared" si="100"/>
        <v>49.989639290715282</v>
      </c>
      <c r="EW44" s="74">
        <f t="shared" si="101"/>
        <v>6.2093751856528323E-2</v>
      </c>
      <c r="EX44" s="78">
        <v>6.75</v>
      </c>
      <c r="EY44" s="78">
        <v>5.9048081594623021</v>
      </c>
      <c r="EZ44" s="173">
        <f t="shared" si="105"/>
        <v>3.9673072757572392</v>
      </c>
      <c r="FA44" s="72">
        <f t="shared" si="83"/>
        <v>9.1886546362143164</v>
      </c>
      <c r="FB44" s="78">
        <f t="shared" si="84"/>
        <v>1.1200358630729865</v>
      </c>
      <c r="FC44" s="78">
        <f t="shared" si="85"/>
        <v>1.1200358630729865</v>
      </c>
      <c r="FD44" s="78">
        <f t="shared" si="86"/>
        <v>89.282855395036179</v>
      </c>
      <c r="FE44" s="72">
        <f t="shared" si="87"/>
        <v>227.8675622619638</v>
      </c>
    </row>
    <row r="45" spans="1:161" s="67" customFormat="1" x14ac:dyDescent="0.2">
      <c r="A45" s="68">
        <v>2003</v>
      </c>
      <c r="B45" s="104">
        <v>60101.841</v>
      </c>
      <c r="C45" s="72">
        <v>60505.421000000002</v>
      </c>
      <c r="D45" s="72">
        <v>60154.851000000002</v>
      </c>
      <c r="E45" s="72">
        <v>60303.631000000001</v>
      </c>
      <c r="F45" s="117">
        <v>76.632000000000005</v>
      </c>
      <c r="G45" s="72">
        <f t="shared" si="50"/>
        <v>46211.878507920002</v>
      </c>
      <c r="H45" s="72">
        <v>25258.110865534753</v>
      </c>
      <c r="I45" s="84">
        <v>79.7</v>
      </c>
      <c r="J45" s="84"/>
      <c r="K45" s="67">
        <f t="shared" si="51"/>
        <v>-908</v>
      </c>
      <c r="L45" s="102">
        <v>14302</v>
      </c>
      <c r="M45" s="67">
        <f t="shared" si="52"/>
        <v>644</v>
      </c>
      <c r="N45" s="102">
        <v>14460</v>
      </c>
      <c r="O45" s="67">
        <f t="shared" si="0"/>
        <v>28762</v>
      </c>
      <c r="P45" s="74">
        <f t="shared" si="53"/>
        <v>0.49725332035324388</v>
      </c>
      <c r="Q45" s="74">
        <f t="shared" si="54"/>
        <v>0.50274667964675612</v>
      </c>
      <c r="R45" s="77">
        <f t="shared" si="55"/>
        <v>-5.9697567389875079</v>
      </c>
      <c r="S45" s="77">
        <f t="shared" si="56"/>
        <v>4.6612623045743984</v>
      </c>
      <c r="T45" s="77">
        <f t="shared" si="57"/>
        <v>-0.91369085839829722</v>
      </c>
      <c r="U45" s="94">
        <f t="shared" si="58"/>
        <v>-264</v>
      </c>
      <c r="V45" s="75">
        <f t="shared" si="1"/>
        <v>0.47536236463836851</v>
      </c>
      <c r="W45" s="77">
        <f t="shared" si="88"/>
        <v>-1.5829399560890356</v>
      </c>
      <c r="X45" s="74">
        <f t="shared" si="59"/>
        <v>1.1387233254742888</v>
      </c>
      <c r="Y45" s="77">
        <f t="shared" si="88"/>
        <v>-2.2290885440660797</v>
      </c>
      <c r="Z45" s="72">
        <f t="shared" si="2"/>
        <v>23535.014479999998</v>
      </c>
      <c r="AA45" s="77">
        <f t="shared" si="89"/>
        <v>-0.73501142615868265</v>
      </c>
      <c r="AB45" s="74">
        <f t="shared" si="3"/>
        <v>0.38897365047670684</v>
      </c>
      <c r="AC45" s="77">
        <f t="shared" si="89"/>
        <v>-1.3971234059865889</v>
      </c>
      <c r="AD45" s="74">
        <f t="shared" si="60"/>
        <v>0.93178047262885533</v>
      </c>
      <c r="AE45" s="77">
        <f t="shared" si="136"/>
        <v>-2.0321905525581774</v>
      </c>
      <c r="AF45" s="72">
        <v>17337</v>
      </c>
      <c r="AG45" s="72">
        <v>11823</v>
      </c>
      <c r="AH45" s="72">
        <f t="shared" si="4"/>
        <v>29160</v>
      </c>
      <c r="AI45" s="72">
        <f t="shared" si="139"/>
        <v>16831</v>
      </c>
      <c r="AJ45" s="72">
        <v>12729</v>
      </c>
      <c r="AK45" s="72">
        <v>29560</v>
      </c>
      <c r="AL45" s="72">
        <f t="shared" si="5"/>
        <v>17084</v>
      </c>
      <c r="AM45" s="72">
        <f t="shared" si="6"/>
        <v>12276</v>
      </c>
      <c r="AN45" s="72">
        <f t="shared" si="7"/>
        <v>29360</v>
      </c>
      <c r="AO45" s="74">
        <f t="shared" si="8"/>
        <v>0.48855126551387851</v>
      </c>
      <c r="AP45" s="74">
        <f t="shared" si="9"/>
        <v>0.48807368835474296</v>
      </c>
      <c r="AQ45" s="74">
        <f t="shared" si="62"/>
        <v>1.1623988886699506</v>
      </c>
      <c r="AR45" s="67">
        <v>2009246</v>
      </c>
      <c r="AS45" s="72">
        <v>868521.29200000002</v>
      </c>
      <c r="AT45" s="77">
        <f t="shared" si="63"/>
        <v>3.3643662288685983</v>
      </c>
      <c r="AU45" s="72">
        <v>964721.228</v>
      </c>
      <c r="AV45" s="72">
        <f t="shared" si="10"/>
        <v>964.721228</v>
      </c>
      <c r="AW45" s="78">
        <f t="shared" si="11"/>
        <v>15.944376752621885</v>
      </c>
      <c r="AX45" s="74">
        <f t="shared" si="64"/>
        <v>9.9920247802121054E-3</v>
      </c>
      <c r="AY45" s="78">
        <f t="shared" si="65"/>
        <v>38.194512374097755</v>
      </c>
      <c r="AZ45" s="74">
        <f t="shared" si="66"/>
        <v>3.5305389004420817E-3</v>
      </c>
      <c r="BA45" s="79">
        <f t="shared" si="67"/>
        <v>0.15598182174209441</v>
      </c>
      <c r="BB45" s="80">
        <v>1029031.5</v>
      </c>
      <c r="BC45" s="81">
        <f t="shared" si="106"/>
        <v>1143012.7293730839</v>
      </c>
      <c r="BD45" s="82">
        <f t="shared" si="68"/>
        <v>0.88790762105983578</v>
      </c>
      <c r="BE45" s="81">
        <f t="shared" si="107"/>
        <v>18891.079683142503</v>
      </c>
      <c r="BF45" s="81">
        <f t="shared" si="108"/>
        <v>45253.294494512251</v>
      </c>
      <c r="BG45" s="72">
        <v>1637.438302</v>
      </c>
      <c r="BH45" s="77">
        <f t="shared" si="103"/>
        <v>2.7084436747151885</v>
      </c>
      <c r="BI45" s="130">
        <f t="shared" si="109"/>
        <v>1841.5001395073355</v>
      </c>
      <c r="BJ45" s="77">
        <f t="shared" si="91"/>
        <v>0.81952634007356195</v>
      </c>
      <c r="BK45" s="83">
        <f t="shared" si="110"/>
        <v>30.435291732080259</v>
      </c>
      <c r="BL45" s="83">
        <f t="shared" si="111"/>
        <v>72.907279143354415</v>
      </c>
      <c r="BM45" s="80">
        <v>22975.636999999999</v>
      </c>
      <c r="BN45" s="81">
        <f t="shared" si="112"/>
        <v>11434.954704401551</v>
      </c>
      <c r="BO45" s="83">
        <v>94.831999999999994</v>
      </c>
      <c r="BP45" s="82">
        <f t="shared" si="113"/>
        <v>105.33611765228594</v>
      </c>
      <c r="BQ45" s="81">
        <f t="shared" si="114"/>
        <v>12058.118255864636</v>
      </c>
      <c r="BR45" s="82">
        <v>84.05</v>
      </c>
      <c r="BS45" s="82">
        <f t="shared" si="115"/>
        <v>93.359843604212017</v>
      </c>
      <c r="BT45" s="82">
        <v>99.822000000000003</v>
      </c>
      <c r="BU45" s="82">
        <f t="shared" si="116"/>
        <v>110.87883769493935</v>
      </c>
      <c r="BV45" s="82">
        <v>82.18</v>
      </c>
      <c r="BW45" s="82">
        <f t="shared" si="117"/>
        <v>91.282712045141508</v>
      </c>
      <c r="BX45" s="82">
        <f t="shared" si="118"/>
        <v>113.30952610751858</v>
      </c>
      <c r="BY45" s="84">
        <v>90.028000000000006</v>
      </c>
      <c r="BZ45" s="77">
        <v>88.91871723876551</v>
      </c>
      <c r="CA45" s="78">
        <v>1.0239654625393182</v>
      </c>
      <c r="CB45" s="78">
        <v>0.79349999999999998</v>
      </c>
      <c r="CC45" s="86">
        <f t="shared" si="119"/>
        <v>0.90809971647442222</v>
      </c>
      <c r="CD45" s="86">
        <f t="shared" si="92"/>
        <v>4.2158448524982628E-3</v>
      </c>
      <c r="CE45" s="86">
        <f t="shared" si="69"/>
        <v>-1.8952033326228079E-2</v>
      </c>
      <c r="CF45" s="86">
        <f t="shared" si="26"/>
        <v>1.1373855495393856</v>
      </c>
      <c r="CG45" s="86">
        <f t="shared" si="70"/>
        <v>9.2449448689422287E-3</v>
      </c>
      <c r="CH45" s="86">
        <f t="shared" si="27"/>
        <v>0.88139245568045488</v>
      </c>
      <c r="CI45" s="86">
        <f t="shared" si="93"/>
        <v>-1.2380918349293557E-2</v>
      </c>
      <c r="CJ45" s="86">
        <f t="shared" si="120"/>
        <v>1.0086858715893079</v>
      </c>
      <c r="CK45" s="86">
        <f t="shared" si="94"/>
        <v>-1.2125473545210541E-2</v>
      </c>
      <c r="CL45" s="87">
        <v>1200.5</v>
      </c>
      <c r="CM45" s="77">
        <f t="shared" si="71"/>
        <v>78.98026315789474</v>
      </c>
      <c r="CN45" s="77">
        <f t="shared" si="121"/>
        <v>87.728554625110789</v>
      </c>
      <c r="CO45" s="77">
        <f t="shared" si="72"/>
        <v>108.89773899085132</v>
      </c>
      <c r="CP45" s="103">
        <v>1.2777500000000002</v>
      </c>
      <c r="CQ45" s="74">
        <f t="shared" si="137"/>
        <v>0.11188187488002924</v>
      </c>
      <c r="CR45" s="137">
        <v>0.64009661835748788</v>
      </c>
      <c r="CS45" s="74">
        <f t="shared" si="138"/>
        <v>0.1181434599156117</v>
      </c>
      <c r="CT45" s="77">
        <f t="shared" si="74"/>
        <v>64.009661835748787</v>
      </c>
      <c r="CU45" s="77">
        <f t="shared" si="122"/>
        <v>71.099726569232658</v>
      </c>
      <c r="CV45" s="78">
        <f t="shared" si="123"/>
        <v>113.3063320754717</v>
      </c>
      <c r="CW45" s="74">
        <f t="shared" si="75"/>
        <v>-8.8783731353236028E-2</v>
      </c>
      <c r="CX45" s="88">
        <f t="shared" si="76"/>
        <v>88.256320867744122</v>
      </c>
      <c r="CY45" s="77">
        <f t="shared" si="124"/>
        <v>80.560492291287147</v>
      </c>
      <c r="CZ45" s="89">
        <v>72.527000000000001</v>
      </c>
      <c r="DA45" s="74">
        <f t="shared" si="77"/>
        <v>2.2885953497854494E-2</v>
      </c>
      <c r="DB45" s="125">
        <v>68.704999999999998</v>
      </c>
      <c r="DC45" s="125">
        <v>74.414443663633918</v>
      </c>
      <c r="DD45" s="74">
        <f t="shared" si="78"/>
        <v>1.0212694747226088</v>
      </c>
      <c r="DE45" s="74">
        <f t="shared" si="79"/>
        <v>1.0170124768074575</v>
      </c>
      <c r="DF45" s="75">
        <f t="shared" si="125"/>
        <v>1.0086858715893079</v>
      </c>
      <c r="DG45" s="75">
        <f t="shared" si="126"/>
        <v>1.0044813264044394</v>
      </c>
      <c r="DH45" s="74">
        <f t="shared" si="80"/>
        <v>-1.2380918349293557E-2</v>
      </c>
      <c r="DI45" s="75">
        <f t="shared" si="95"/>
        <v>-1.4766360587995742E-2</v>
      </c>
      <c r="DJ45" s="77">
        <f t="shared" si="96"/>
        <v>-1.2199586814531795</v>
      </c>
      <c r="DK45" s="75">
        <f t="shared" si="127"/>
        <v>1.0044813264044394</v>
      </c>
      <c r="DL45" s="77">
        <f t="shared" si="97"/>
        <v>8.8827213321202674</v>
      </c>
      <c r="DM45" s="72">
        <v>26019</v>
      </c>
      <c r="DN45" s="72">
        <v>33714</v>
      </c>
      <c r="DO45" s="92">
        <v>26019</v>
      </c>
      <c r="DP45" s="92">
        <f t="shared" si="98"/>
        <v>296</v>
      </c>
      <c r="DQ45" s="72">
        <v>33714</v>
      </c>
      <c r="DR45" s="72">
        <v>26020</v>
      </c>
      <c r="DS45" s="72">
        <v>33714</v>
      </c>
      <c r="DT45" s="72">
        <v>34230</v>
      </c>
      <c r="DU45" s="72">
        <v>2131.11</v>
      </c>
      <c r="DV45" s="72">
        <v>17057</v>
      </c>
      <c r="DW45" s="93">
        <v>2.8319999999999999</v>
      </c>
      <c r="DX45" s="75"/>
      <c r="DY45" s="75"/>
      <c r="EB45" s="101">
        <v>13588.076930517738</v>
      </c>
      <c r="EC45" s="78">
        <v>7.21324721918878</v>
      </c>
      <c r="ED45" s="72">
        <v>29360</v>
      </c>
      <c r="EE45" s="72">
        <f t="shared" si="38"/>
        <v>28776.956827901737</v>
      </c>
      <c r="EF45" s="72">
        <f t="shared" si="39"/>
        <v>398945938680.00079</v>
      </c>
      <c r="EG45" s="74">
        <f t="shared" si="81"/>
        <v>0.90809971647442222</v>
      </c>
      <c r="EH45" s="74">
        <f t="shared" si="104"/>
        <v>6.5503477546052453</v>
      </c>
      <c r="EI45" s="75">
        <f t="shared" si="128"/>
        <v>1.0086858715893079</v>
      </c>
      <c r="EJ45" s="75">
        <f t="shared" si="129"/>
        <v>6.5503477546052444</v>
      </c>
      <c r="EK45" s="78">
        <f t="shared" si="130"/>
        <v>7.2759005582765859</v>
      </c>
      <c r="EL45" s="72">
        <f t="shared" si="131"/>
        <v>6593.5569422779618</v>
      </c>
      <c r="EM45" s="72">
        <f t="shared" si="132"/>
        <v>15794.765523195612</v>
      </c>
      <c r="EN45" s="72">
        <f t="shared" si="133"/>
        <v>232.53428516525753</v>
      </c>
      <c r="EO45" s="72">
        <f t="shared" si="134"/>
        <v>179.46675268434481</v>
      </c>
      <c r="EP45" s="75">
        <f t="shared" si="135"/>
        <v>7.2094981327959662E-2</v>
      </c>
      <c r="EQ45" s="77">
        <f t="shared" si="82"/>
        <v>13.870591011751646</v>
      </c>
      <c r="ER45" s="78">
        <v>47.325000000000003</v>
      </c>
      <c r="ES45" s="74">
        <f t="shared" si="102"/>
        <v>4.6897467094348055E-2</v>
      </c>
      <c r="ET45" s="95">
        <f t="shared" si="99"/>
        <v>52.566979162038471</v>
      </c>
      <c r="EU45" s="74">
        <f t="shared" si="102"/>
        <v>2.9861602815532295E-2</v>
      </c>
      <c r="EV45" s="77">
        <f t="shared" si="100"/>
        <v>52.114320863057962</v>
      </c>
      <c r="EW45" s="74">
        <f t="shared" si="101"/>
        <v>4.250243855504876E-2</v>
      </c>
      <c r="EX45" s="78">
        <v>7.01</v>
      </c>
      <c r="EY45" s="78">
        <v>6.1158427690668455</v>
      </c>
      <c r="EZ45" s="173">
        <f t="shared" si="105"/>
        <v>4.1090966649313891</v>
      </c>
      <c r="FA45" s="72">
        <f t="shared" si="83"/>
        <v>8.9089901499836621</v>
      </c>
      <c r="FB45" s="78">
        <f t="shared" si="84"/>
        <v>1.0710458070858313</v>
      </c>
      <c r="FC45" s="78">
        <f t="shared" si="85"/>
        <v>1.0710458070858313</v>
      </c>
      <c r="FD45" s="78">
        <f t="shared" si="86"/>
        <v>93.366688276467158</v>
      </c>
      <c r="FE45" s="72">
        <f t="shared" si="87"/>
        <v>216.60874997377647</v>
      </c>
    </row>
    <row r="46" spans="1:161" s="67" customFormat="1" x14ac:dyDescent="0.2">
      <c r="A46" s="68">
        <v>2004</v>
      </c>
      <c r="B46" s="104">
        <v>60505.421000000002</v>
      </c>
      <c r="C46" s="72">
        <v>60963.264000000003</v>
      </c>
      <c r="D46" s="72">
        <v>60521.142</v>
      </c>
      <c r="E46" s="72">
        <v>60734.342499999999</v>
      </c>
      <c r="F46" s="117">
        <v>76.882999999999996</v>
      </c>
      <c r="G46" s="72">
        <f t="shared" si="50"/>
        <v>46694.384544274995</v>
      </c>
      <c r="H46" s="72">
        <v>25581.834106246788</v>
      </c>
      <c r="I46" s="84">
        <v>80.5</v>
      </c>
      <c r="J46" s="84">
        <v>31.76</v>
      </c>
      <c r="K46" s="67">
        <f t="shared" si="51"/>
        <v>-926</v>
      </c>
      <c r="L46" s="102">
        <v>13376</v>
      </c>
      <c r="M46" s="67">
        <f t="shared" si="52"/>
        <v>411</v>
      </c>
      <c r="N46" s="102">
        <v>14871</v>
      </c>
      <c r="O46" s="67">
        <f t="shared" si="0"/>
        <v>28247</v>
      </c>
      <c r="P46" s="74">
        <f t="shared" si="53"/>
        <v>0.47353701278011823</v>
      </c>
      <c r="Q46" s="74">
        <f t="shared" si="54"/>
        <v>0.52646298721988172</v>
      </c>
      <c r="R46" s="77">
        <f t="shared" si="55"/>
        <v>-6.4746189344147664</v>
      </c>
      <c r="S46" s="77">
        <f t="shared" si="56"/>
        <v>2.8423236514522721</v>
      </c>
      <c r="T46" s="77">
        <f t="shared" si="57"/>
        <v>-1.8067814201058852</v>
      </c>
      <c r="U46" s="94">
        <f t="shared" si="58"/>
        <v>-515</v>
      </c>
      <c r="V46" s="75">
        <f t="shared" si="1"/>
        <v>0.46334461356924717</v>
      </c>
      <c r="W46" s="77">
        <f t="shared" si="88"/>
        <v>-2.5606303124700136</v>
      </c>
      <c r="X46" s="74">
        <f t="shared" si="59"/>
        <v>1.1041819707955345</v>
      </c>
      <c r="Y46" s="77">
        <f t="shared" si="88"/>
        <v>-3.0802982034968966</v>
      </c>
      <c r="Z46" s="72">
        <f t="shared" si="2"/>
        <v>23149.62124</v>
      </c>
      <c r="AA46" s="77">
        <f t="shared" si="89"/>
        <v>-1.637531348567911</v>
      </c>
      <c r="AB46" s="74">
        <f t="shared" si="3"/>
        <v>0.37973067255716492</v>
      </c>
      <c r="AC46" s="77">
        <f t="shared" si="89"/>
        <v>-2.3762478276392773</v>
      </c>
      <c r="AD46" s="74">
        <f t="shared" si="60"/>
        <v>0.90492421864103678</v>
      </c>
      <c r="AE46" s="77">
        <f t="shared" si="136"/>
        <v>-2.8822512143926282</v>
      </c>
      <c r="AF46" s="80">
        <f t="shared" ref="AF46:AF52" si="140">AH46-AG46</f>
        <v>16831</v>
      </c>
      <c r="AG46" s="80">
        <v>12729</v>
      </c>
      <c r="AH46" s="80">
        <v>29560</v>
      </c>
      <c r="AI46" s="80">
        <f t="shared" si="139"/>
        <v>16310</v>
      </c>
      <c r="AJ46" s="80">
        <v>13590</v>
      </c>
      <c r="AK46" s="80">
        <v>29900</v>
      </c>
      <c r="AL46" s="72">
        <f t="shared" si="5"/>
        <v>16570.5</v>
      </c>
      <c r="AM46" s="72">
        <f t="shared" si="6"/>
        <v>13159.5</v>
      </c>
      <c r="AN46" s="72">
        <f t="shared" si="7"/>
        <v>29730</v>
      </c>
      <c r="AO46" s="74">
        <f t="shared" si="8"/>
        <v>0.49045930349136158</v>
      </c>
      <c r="AP46" s="74">
        <f t="shared" si="9"/>
        <v>0.49123329496988011</v>
      </c>
      <c r="AQ46" s="74">
        <f t="shared" si="62"/>
        <v>1.1621527946950558</v>
      </c>
      <c r="AR46" s="72">
        <v>2013709</v>
      </c>
      <c r="AS46" s="80">
        <v>905537.03500000003</v>
      </c>
      <c r="AT46" s="77">
        <f t="shared" si="63"/>
        <v>4.2619269488214151</v>
      </c>
      <c r="AU46" s="80">
        <v>985182.11199999996</v>
      </c>
      <c r="AV46" s="72">
        <f t="shared" si="10"/>
        <v>985.18211199999996</v>
      </c>
      <c r="AW46" s="78">
        <f t="shared" si="11"/>
        <v>16.160258610825036</v>
      </c>
      <c r="AX46" s="74">
        <f t="shared" si="64"/>
        <v>1.3448843735730076E-2</v>
      </c>
      <c r="AY46" s="78">
        <f t="shared" si="65"/>
        <v>38.511003859548516</v>
      </c>
      <c r="AZ46" s="74">
        <f t="shared" si="66"/>
        <v>8.2521648254609836E-3</v>
      </c>
      <c r="BA46" s="79">
        <f t="shared" si="67"/>
        <v>0.1576202204926106</v>
      </c>
      <c r="BB46" s="80">
        <v>1074974.8</v>
      </c>
      <c r="BC46" s="81">
        <f t="shared" si="106"/>
        <v>1169518.6909787199</v>
      </c>
      <c r="BD46" s="82">
        <f t="shared" si="68"/>
        <v>2.3189559420019545</v>
      </c>
      <c r="BE46" s="81">
        <f t="shared" si="107"/>
        <v>19183.990722326151</v>
      </c>
      <c r="BF46" s="81">
        <f t="shared" si="108"/>
        <v>45716.764721460568</v>
      </c>
      <c r="BG46" s="72">
        <v>1710.759575</v>
      </c>
      <c r="BH46" s="77">
        <f t="shared" si="103"/>
        <v>4.4778037078065047</v>
      </c>
      <c r="BI46" s="130">
        <f t="shared" si="109"/>
        <v>1892.8117186853001</v>
      </c>
      <c r="BJ46" s="77">
        <f t="shared" si="91"/>
        <v>2.786401047555298</v>
      </c>
      <c r="BK46" s="83">
        <f t="shared" si="110"/>
        <v>31.048398568116365</v>
      </c>
      <c r="BL46" s="83">
        <f t="shared" si="111"/>
        <v>73.990461779403745</v>
      </c>
      <c r="BM46" s="80">
        <v>24172.36</v>
      </c>
      <c r="BN46" s="81">
        <f t="shared" si="112"/>
        <v>12003.89927243708</v>
      </c>
      <c r="BO46" s="83">
        <v>96.454999999999998</v>
      </c>
      <c r="BP46" s="82">
        <f t="shared" si="113"/>
        <v>104.93820444753906</v>
      </c>
      <c r="BQ46" s="81">
        <f t="shared" si="114"/>
        <v>12445.077261352008</v>
      </c>
      <c r="BR46" s="82">
        <v>86.858999999999995</v>
      </c>
      <c r="BS46" s="82">
        <f t="shared" si="115"/>
        <v>94.498237521215017</v>
      </c>
      <c r="BT46" s="82">
        <v>101.786</v>
      </c>
      <c r="BU46" s="82">
        <f t="shared" si="116"/>
        <v>110.73806518995606</v>
      </c>
      <c r="BV46" s="82">
        <v>84.899000000000001</v>
      </c>
      <c r="BW46" s="82">
        <f t="shared" si="117"/>
        <v>92.365855781365596</v>
      </c>
      <c r="BX46" s="82">
        <f t="shared" si="118"/>
        <v>108.82533904171046</v>
      </c>
      <c r="BY46" s="84">
        <v>91.915999999999997</v>
      </c>
      <c r="BZ46" s="77">
        <v>90.38192008808204</v>
      </c>
      <c r="CA46" s="78">
        <v>1.0633255534858617</v>
      </c>
      <c r="CB46" s="78">
        <v>0.88470000000000004</v>
      </c>
      <c r="CC46" s="86">
        <f t="shared" si="119"/>
        <v>0.96928581100389022</v>
      </c>
      <c r="CD46" s="86">
        <f t="shared" si="92"/>
        <v>6.7378167198438144E-2</v>
      </c>
      <c r="CE46" s="86">
        <f t="shared" si="69"/>
        <v>1.9459345240480319E-2</v>
      </c>
      <c r="CF46" s="86">
        <f t="shared" si="26"/>
        <v>1.156844894779866</v>
      </c>
      <c r="CG46" s="86">
        <f t="shared" si="70"/>
        <v>8.1116791893417028E-2</v>
      </c>
      <c r="CH46" s="86">
        <f t="shared" si="27"/>
        <v>0.96250924757387191</v>
      </c>
      <c r="CI46" s="86">
        <f t="shared" si="93"/>
        <v>4.5848497839181324E-2</v>
      </c>
      <c r="CJ46" s="86">
        <f t="shared" si="120"/>
        <v>1.0545343694284892</v>
      </c>
      <c r="CK46" s="86">
        <f t="shared" si="94"/>
        <v>4.545369289939738E-2</v>
      </c>
      <c r="CL46" s="87">
        <v>1258.25</v>
      </c>
      <c r="CM46" s="77">
        <f t="shared" si="71"/>
        <v>82.77960526315789</v>
      </c>
      <c r="CN46" s="77">
        <f t="shared" si="121"/>
        <v>90.060060558725226</v>
      </c>
      <c r="CO46" s="77">
        <f t="shared" si="72"/>
        <v>106.10865391232072</v>
      </c>
      <c r="CP46" s="103">
        <v>1.472</v>
      </c>
      <c r="CQ46" s="74">
        <f t="shared" si="137"/>
        <v>0.14152130164043245</v>
      </c>
      <c r="CR46" s="137">
        <v>0.73695652173913051</v>
      </c>
      <c r="CS46" s="74">
        <f t="shared" si="138"/>
        <v>0.15132075471698125</v>
      </c>
      <c r="CT46" s="77">
        <f t="shared" si="74"/>
        <v>73.695652173913047</v>
      </c>
      <c r="CU46" s="77">
        <f t="shared" si="122"/>
        <v>80.177175000993344</v>
      </c>
      <c r="CV46" s="78">
        <f t="shared" si="123"/>
        <v>105.85970501474925</v>
      </c>
      <c r="CW46" s="74">
        <f t="shared" si="75"/>
        <v>-6.7980374298147517E-2</v>
      </c>
      <c r="CX46" s="88">
        <f t="shared" si="76"/>
        <v>94.464650157552555</v>
      </c>
      <c r="CY46" s="77">
        <f t="shared" si="124"/>
        <v>84.875320945210845</v>
      </c>
      <c r="CZ46" s="89">
        <v>78.013999999999996</v>
      </c>
      <c r="DA46" s="74">
        <f t="shared" si="77"/>
        <v>7.2929391438254498E-2</v>
      </c>
      <c r="DB46" s="125">
        <v>76.429000000000002</v>
      </c>
      <c r="DC46" s="125">
        <v>78.521966363756277</v>
      </c>
      <c r="DD46" s="74">
        <f t="shared" si="78"/>
        <v>1.0724333030978641</v>
      </c>
      <c r="DE46" s="74">
        <f t="shared" si="79"/>
        <v>1.0692013020101703</v>
      </c>
      <c r="DF46" s="75">
        <f t="shared" si="125"/>
        <v>1.0545343694284892</v>
      </c>
      <c r="DG46" s="75">
        <f t="shared" si="126"/>
        <v>1.0513563105047701</v>
      </c>
      <c r="DH46" s="74">
        <f t="shared" si="80"/>
        <v>4.5848497839181324E-2</v>
      </c>
      <c r="DI46" s="75">
        <f t="shared" si="95"/>
        <v>5.1163828375255349E-2</v>
      </c>
      <c r="DJ46" s="77">
        <f t="shared" si="96"/>
        <v>4.4450947082968328</v>
      </c>
      <c r="DK46" s="75">
        <f t="shared" si="127"/>
        <v>1.0513563105047701</v>
      </c>
      <c r="DL46" s="77">
        <f t="shared" si="97"/>
        <v>9.4666585915352019</v>
      </c>
      <c r="DM46" s="72">
        <v>26420</v>
      </c>
      <c r="DN46" s="72">
        <v>34200</v>
      </c>
      <c r="DO46" s="72">
        <v>26420</v>
      </c>
      <c r="DP46" s="92">
        <f t="shared" si="98"/>
        <v>401</v>
      </c>
      <c r="DQ46" s="105">
        <v>34182.418982316856</v>
      </c>
      <c r="DR46" s="72">
        <v>26555</v>
      </c>
      <c r="DS46" s="72">
        <v>34258</v>
      </c>
      <c r="DT46" s="93">
        <v>34481</v>
      </c>
      <c r="DU46" s="72">
        <v>2174.915</v>
      </c>
      <c r="DV46" s="67">
        <f>DV$12*DW46</f>
        <v>17458.256000000001</v>
      </c>
      <c r="DW46" s="93">
        <v>2.879</v>
      </c>
      <c r="EB46" s="101">
        <v>13413.355260395268</v>
      </c>
      <c r="EC46" s="78">
        <v>7.1162624708101818</v>
      </c>
      <c r="ED46" s="72">
        <v>29730</v>
      </c>
      <c r="EE46" s="72">
        <f t="shared" si="38"/>
        <v>28378.164011211127</v>
      </c>
      <c r="EF46" s="72">
        <f t="shared" si="39"/>
        <v>398779051891.55133</v>
      </c>
      <c r="EG46" s="74">
        <f t="shared" si="81"/>
        <v>0.96928581100389022</v>
      </c>
      <c r="EH46" s="74">
        <f t="shared" si="104"/>
        <v>6.897692240335795</v>
      </c>
      <c r="EI46" s="75">
        <f t="shared" si="128"/>
        <v>1.0545343694284892</v>
      </c>
      <c r="EJ46" s="75">
        <f t="shared" si="129"/>
        <v>6.8976922403357932</v>
      </c>
      <c r="EK46" s="78">
        <f t="shared" si="130"/>
        <v>7.5043433573434379</v>
      </c>
      <c r="EL46" s="72">
        <f t="shared" si="131"/>
        <v>6541.3008708252783</v>
      </c>
      <c r="EM46" s="72">
        <f t="shared" si="132"/>
        <v>15588.36830210599</v>
      </c>
      <c r="EN46" s="72">
        <f t="shared" si="133"/>
        <v>229.57357936358503</v>
      </c>
      <c r="EO46" s="72">
        <f t="shared" si="134"/>
        <v>177.95336563722344</v>
      </c>
      <c r="EP46" s="75">
        <f t="shared" si="135"/>
        <v>7.0833710712772904E-2</v>
      </c>
      <c r="EQ46" s="77">
        <f t="shared" si="82"/>
        <v>14.117571844498578</v>
      </c>
      <c r="ER46" s="78">
        <v>49.5</v>
      </c>
      <c r="ES46" s="74">
        <f t="shared" si="102"/>
        <v>4.5958795562599075E-2</v>
      </c>
      <c r="ET46" s="95">
        <f t="shared" si="99"/>
        <v>53.853518429870753</v>
      </c>
      <c r="EU46" s="74">
        <f t="shared" si="102"/>
        <v>2.4474285727291045E-2</v>
      </c>
      <c r="EV46" s="77">
        <f t="shared" si="100"/>
        <v>51.068528434077464</v>
      </c>
      <c r="EW46" s="74">
        <f t="shared" si="101"/>
        <v>-2.0067275398801598E-2</v>
      </c>
      <c r="EX46" s="78">
        <v>7.4</v>
      </c>
      <c r="EY46" s="78">
        <v>6.4555854227362364</v>
      </c>
      <c r="EZ46" s="173">
        <f t="shared" si="105"/>
        <v>4.3373620827718868</v>
      </c>
      <c r="FA46" s="72">
        <f t="shared" si="83"/>
        <v>9.0088109523587061</v>
      </c>
      <c r="FB46" s="78">
        <f t="shared" si="84"/>
        <v>1.0684843881149</v>
      </c>
      <c r="FC46" s="78">
        <f t="shared" si="85"/>
        <v>1.0684843881149</v>
      </c>
      <c r="FD46" s="78">
        <f t="shared" si="86"/>
        <v>93.590511113061254</v>
      </c>
      <c r="FE46" s="72">
        <f t="shared" si="87"/>
        <v>213.31213472813883</v>
      </c>
    </row>
    <row r="47" spans="1:161" s="68" customFormat="1" x14ac:dyDescent="0.2">
      <c r="A47" s="68">
        <v>2005</v>
      </c>
      <c r="B47" s="118">
        <v>60963.264000000003</v>
      </c>
      <c r="C47" s="80">
        <v>61399.733</v>
      </c>
      <c r="D47" s="80">
        <v>60873.483999999997</v>
      </c>
      <c r="E47" s="80">
        <v>61181.498500000002</v>
      </c>
      <c r="F47" s="119">
        <v>77.13</v>
      </c>
      <c r="G47" s="80">
        <f t="shared" si="50"/>
        <v>47189.289793050004</v>
      </c>
      <c r="H47" s="80">
        <v>25895.011259190873</v>
      </c>
      <c r="I47" s="83">
        <v>81.2</v>
      </c>
      <c r="J47" s="83">
        <v>33.700000000000003</v>
      </c>
      <c r="K47" s="68">
        <f t="shared" si="51"/>
        <v>-802</v>
      </c>
      <c r="L47" s="68">
        <v>12574</v>
      </c>
      <c r="M47" s="68">
        <f t="shared" si="52"/>
        <v>161</v>
      </c>
      <c r="N47" s="68">
        <v>15032</v>
      </c>
      <c r="O47" s="68">
        <f t="shared" si="0"/>
        <v>27606</v>
      </c>
      <c r="P47" s="110">
        <f t="shared" si="53"/>
        <v>0.45548069260305729</v>
      </c>
      <c r="Q47" s="110">
        <f t="shared" si="54"/>
        <v>0.54451930739694265</v>
      </c>
      <c r="R47" s="83">
        <f t="shared" si="55"/>
        <v>-5.99581339712919</v>
      </c>
      <c r="S47" s="83">
        <f t="shared" si="56"/>
        <v>1.0826440723555875</v>
      </c>
      <c r="T47" s="83">
        <f t="shared" ref="T47:T53" si="141">100*(LN(O47)-LN(O46))</f>
        <v>-2.2954116861743756</v>
      </c>
      <c r="U47" s="68">
        <f t="shared" si="58"/>
        <v>-641</v>
      </c>
      <c r="V47" s="109">
        <f t="shared" si="1"/>
        <v>0.44961107567031278</v>
      </c>
      <c r="W47" s="83">
        <f t="shared" si="88"/>
        <v>-3.008815021909661</v>
      </c>
      <c r="X47" s="110">
        <f t="shared" si="59"/>
        <v>1.0660740682320364</v>
      </c>
      <c r="Y47" s="83">
        <f t="shared" si="88"/>
        <v>-3.5121957167409317</v>
      </c>
      <c r="Z47" s="80">
        <f t="shared" si="2"/>
        <v>22651.091760000003</v>
      </c>
      <c r="AA47" s="83">
        <f t="shared" si="89"/>
        <v>-2.1535103094412311</v>
      </c>
      <c r="AB47" s="110">
        <f t="shared" si="3"/>
        <v>0.36891189347680065</v>
      </c>
      <c r="AC47" s="83">
        <f t="shared" si="89"/>
        <v>-2.8490664205524818</v>
      </c>
      <c r="AD47" s="110">
        <f t="shared" si="60"/>
        <v>0.87472801356518004</v>
      </c>
      <c r="AE47" s="83">
        <f t="shared" si="136"/>
        <v>-3.3368766636839076</v>
      </c>
      <c r="AF47" s="80">
        <f t="shared" si="140"/>
        <v>16310</v>
      </c>
      <c r="AG47" s="80">
        <v>13590</v>
      </c>
      <c r="AH47" s="80">
        <v>29900</v>
      </c>
      <c r="AI47" s="80">
        <f t="shared" si="139"/>
        <v>15752</v>
      </c>
      <c r="AJ47" s="80">
        <v>14348</v>
      </c>
      <c r="AK47" s="80">
        <v>30100</v>
      </c>
      <c r="AL47" s="80">
        <f t="shared" si="5"/>
        <v>16031</v>
      </c>
      <c r="AM47" s="80">
        <f t="shared" si="6"/>
        <v>13969</v>
      </c>
      <c r="AN47" s="80">
        <f t="shared" si="7"/>
        <v>30000</v>
      </c>
      <c r="AO47" s="110">
        <f t="shared" si="8"/>
        <v>0.4902301448118675</v>
      </c>
      <c r="AP47" s="110">
        <f t="shared" si="9"/>
        <v>0.49282541475694081</v>
      </c>
      <c r="AQ47" s="110">
        <f t="shared" si="62"/>
        <v>1.1585243080113414</v>
      </c>
      <c r="AR47" s="116">
        <v>2067789</v>
      </c>
      <c r="AS47" s="80">
        <v>945812.402</v>
      </c>
      <c r="AT47" s="83">
        <f t="shared" si="63"/>
        <v>4.4476775044324901</v>
      </c>
      <c r="AU47" s="80">
        <v>1010654.966</v>
      </c>
      <c r="AV47" s="80">
        <f t="shared" si="10"/>
        <v>1010.6549660000001</v>
      </c>
      <c r="AW47" s="88">
        <f t="shared" si="11"/>
        <v>16.460250177309405</v>
      </c>
      <c r="AX47" s="110">
        <f t="shared" si="64"/>
        <v>1.8393338130902048E-2</v>
      </c>
      <c r="AY47" s="88">
        <f t="shared" si="65"/>
        <v>39.028944837445856</v>
      </c>
      <c r="AZ47" s="110">
        <f t="shared" si="66"/>
        <v>1.3359531182588924E-2</v>
      </c>
      <c r="BA47" s="110">
        <f t="shared" si="67"/>
        <v>0.14456909160090559</v>
      </c>
      <c r="BB47" s="80">
        <v>1105656.1000000001</v>
      </c>
      <c r="BC47" s="115">
        <f t="shared" si="106"/>
        <v>1181458.4758078305</v>
      </c>
      <c r="BD47" s="114">
        <f t="shared" ref="BD47:BD56" si="142">100*(BC47/BC46-1)</f>
        <v>1.0209144087401256</v>
      </c>
      <c r="BE47" s="115">
        <f t="shared" si="107"/>
        <v>19242.078394833257</v>
      </c>
      <c r="BF47" s="115">
        <f t="shared" si="108"/>
        <v>45624.945437646704</v>
      </c>
      <c r="BG47" s="80">
        <v>1771.9783640000001</v>
      </c>
      <c r="BH47" s="83">
        <f t="shared" si="103"/>
        <v>3.578456604575786</v>
      </c>
      <c r="BI47" s="130">
        <f t="shared" si="109"/>
        <v>1923.2427185724409</v>
      </c>
      <c r="BJ47" s="83">
        <f t="shared" si="91"/>
        <v>1.607714047136044</v>
      </c>
      <c r="BK47" s="83">
        <f t="shared" si="110"/>
        <v>31.323307522728822</v>
      </c>
      <c r="BL47" s="83">
        <f t="shared" si="111"/>
        <v>74.270781322399614</v>
      </c>
      <c r="BM47" s="80">
        <v>25324.334999999999</v>
      </c>
      <c r="BN47" s="115">
        <f t="shared" si="112"/>
        <v>12247.059540407652</v>
      </c>
      <c r="BO47" s="83">
        <v>97.77</v>
      </c>
      <c r="BP47" s="114">
        <f t="shared" si="113"/>
        <v>104.47298683535647</v>
      </c>
      <c r="BQ47" s="115">
        <f t="shared" si="114"/>
        <v>12526.398220729929</v>
      </c>
      <c r="BR47" s="114">
        <v>90.491</v>
      </c>
      <c r="BS47" s="114">
        <f t="shared" si="115"/>
        <v>96.694947854334075</v>
      </c>
      <c r="BT47" s="114">
        <v>102.75700000000001</v>
      </c>
      <c r="BU47" s="114">
        <f t="shared" si="116"/>
        <v>109.80188921183108</v>
      </c>
      <c r="BV47" s="114">
        <v>88.236000000000004</v>
      </c>
      <c r="BW47" s="114">
        <f t="shared" si="117"/>
        <v>94.28534792272184</v>
      </c>
      <c r="BX47" s="114">
        <f t="shared" si="118"/>
        <v>100.51948051948052</v>
      </c>
      <c r="BY47" s="84">
        <v>93.584000000000003</v>
      </c>
      <c r="BZ47" s="83">
        <v>92.13493163854433</v>
      </c>
      <c r="CA47" s="88">
        <v>1.16446397408056</v>
      </c>
      <c r="CB47" s="88">
        <v>1.0268000000000002</v>
      </c>
      <c r="CC47" s="86">
        <f t="shared" si="119"/>
        <v>1.0895032822607029</v>
      </c>
      <c r="CD47" s="86">
        <f t="shared" si="92"/>
        <v>0.12402685553841275</v>
      </c>
      <c r="CE47" s="86">
        <f t="shared" si="69"/>
        <v>8.7453248151147855E-2</v>
      </c>
      <c r="CF47" s="86">
        <f t="shared" si="26"/>
        <v>1.2442981429310138</v>
      </c>
      <c r="CG47" s="86">
        <f t="shared" si="70"/>
        <v>0.13468685432388861</v>
      </c>
      <c r="CH47" s="86">
        <f t="shared" si="27"/>
        <v>1.0971961018977605</v>
      </c>
      <c r="CI47" s="86">
        <f t="shared" si="93"/>
        <v>0.10966387200242078</v>
      </c>
      <c r="CJ47" s="86">
        <f t="shared" si="120"/>
        <v>1.16419824143091</v>
      </c>
      <c r="CK47" s="86">
        <f t="shared" si="94"/>
        <v>0.10399269590601756</v>
      </c>
      <c r="CL47" s="123">
        <v>1289</v>
      </c>
      <c r="CM47" s="83">
        <f t="shared" si="71"/>
        <v>84.80263157894737</v>
      </c>
      <c r="CN47" s="83">
        <f t="shared" si="121"/>
        <v>90.616592130008726</v>
      </c>
      <c r="CO47" s="83">
        <f t="shared" si="72"/>
        <v>96.608147162163775</v>
      </c>
      <c r="CP47" s="124">
        <v>1.6952500000000001</v>
      </c>
      <c r="CQ47" s="110">
        <f t="shared" si="137"/>
        <v>0.14120820227513009</v>
      </c>
      <c r="CR47" s="138">
        <v>0.85048309178743964</v>
      </c>
      <c r="CS47" s="110">
        <f t="shared" si="138"/>
        <v>0.15404785316289726</v>
      </c>
      <c r="CT47" s="83">
        <f t="shared" si="74"/>
        <v>85.048309178743963</v>
      </c>
      <c r="CU47" s="83">
        <f t="shared" si="122"/>
        <v>90.879113073542442</v>
      </c>
      <c r="CV47" s="88">
        <f t="shared" si="123"/>
        <v>103.21192842942345</v>
      </c>
      <c r="CW47" s="110">
        <f t="shared" si="75"/>
        <v>-2.5330247941477424E-2</v>
      </c>
      <c r="CX47" s="88">
        <f t="shared" si="76"/>
        <v>96.888025949810853</v>
      </c>
      <c r="CY47" s="83">
        <f t="shared" si="124"/>
        <v>93.798085142759447</v>
      </c>
      <c r="CZ47" s="125">
        <v>87.78</v>
      </c>
      <c r="DA47" s="110">
        <f t="shared" si="77"/>
        <v>0.11794538649690534</v>
      </c>
      <c r="DB47" s="125">
        <v>88.959000000000003</v>
      </c>
      <c r="DC47" s="125">
        <v>86.586140778766534</v>
      </c>
      <c r="DD47" s="74">
        <f t="shared" si="78"/>
        <v>1.1825083742775722</v>
      </c>
      <c r="DE47" s="74">
        <f t="shared" si="79"/>
        <v>1.1800803510071414</v>
      </c>
      <c r="DF47" s="109">
        <f t="shared" si="125"/>
        <v>1.16419824143091</v>
      </c>
      <c r="DG47" s="109">
        <f t="shared" si="126"/>
        <v>1.1618078140283847</v>
      </c>
      <c r="DH47" s="110">
        <f t="shared" si="80"/>
        <v>0.10966387200242078</v>
      </c>
      <c r="DI47" s="109">
        <f t="shared" si="95"/>
        <v>0.11007507117970805</v>
      </c>
      <c r="DJ47" s="83">
        <f t="shared" si="96"/>
        <v>9.8933331805859481</v>
      </c>
      <c r="DK47" s="109">
        <f t="shared" si="127"/>
        <v>1.1618078140283847</v>
      </c>
      <c r="DL47" s="83">
        <f t="shared" si="97"/>
        <v>10.050562044665766</v>
      </c>
      <c r="DM47" s="80">
        <v>27787.453249999999</v>
      </c>
      <c r="DN47" s="80">
        <v>38120</v>
      </c>
      <c r="DO47" s="80">
        <v>27787.453249999999</v>
      </c>
      <c r="DP47" s="80">
        <f t="shared" ref="DP47" si="143">(DP46+DP48)/2</f>
        <v>884.2233750000014</v>
      </c>
      <c r="DQ47" s="80">
        <v>38111.209491158428</v>
      </c>
      <c r="DR47" s="80">
        <v>27992.5</v>
      </c>
      <c r="DS47" s="80">
        <v>38149</v>
      </c>
      <c r="DT47" s="126">
        <v>10800</v>
      </c>
      <c r="DU47" s="80">
        <v>2181.4810000000002</v>
      </c>
      <c r="DV47" s="68">
        <f>DV$12*DW47</f>
        <v>17512.831999999999</v>
      </c>
      <c r="DW47" s="126">
        <v>2.8879999999999999</v>
      </c>
      <c r="EB47" s="80">
        <v>13131.873376440235</v>
      </c>
      <c r="EC47" s="88">
        <v>7.0673705758884138</v>
      </c>
      <c r="ED47" s="80">
        <v>30000</v>
      </c>
      <c r="EE47" s="80">
        <f t="shared" ref="EE47:EE56" si="144">O47</f>
        <v>27606</v>
      </c>
      <c r="EF47" s="80">
        <f t="shared" si="39"/>
        <v>393956201293.20703</v>
      </c>
      <c r="EG47" s="110">
        <f t="shared" si="81"/>
        <v>1.0895032822607029</v>
      </c>
      <c r="EH47" s="110">
        <f t="shared" si="104"/>
        <v>7.6999234393831406</v>
      </c>
      <c r="EI47" s="109">
        <f t="shared" si="128"/>
        <v>1.16419824143091</v>
      </c>
      <c r="EJ47" s="109">
        <f t="shared" si="129"/>
        <v>7.6999234393831406</v>
      </c>
      <c r="EK47" s="88">
        <f t="shared" si="130"/>
        <v>8.2278203959898484</v>
      </c>
      <c r="EL47" s="80">
        <f t="shared" si="131"/>
        <v>6416.2526780565486</v>
      </c>
      <c r="EM47" s="80">
        <f t="shared" si="132"/>
        <v>15213.59451633298</v>
      </c>
      <c r="EN47" s="80">
        <f t="shared" si="133"/>
        <v>219.3435134411003</v>
      </c>
      <c r="EO47" s="80">
        <f t="shared" si="134"/>
        <v>160.94716244200373</v>
      </c>
      <c r="EP47" s="109">
        <f t="shared" si="135"/>
        <v>7.0073779545492862E-2</v>
      </c>
      <c r="EQ47" s="83">
        <f t="shared" si="82"/>
        <v>14.270673088937443</v>
      </c>
      <c r="ER47" s="88">
        <v>50.95</v>
      </c>
      <c r="ES47" s="110">
        <f t="shared" si="102"/>
        <v>2.9292929292929371E-2</v>
      </c>
      <c r="ET47" s="127">
        <f t="shared" si="99"/>
        <v>54.443067190972812</v>
      </c>
      <c r="EU47" s="110">
        <f t="shared" si="102"/>
        <v>1.0947265439486209E-2</v>
      </c>
      <c r="EV47" s="83">
        <f t="shared" si="100"/>
        <v>46.764430020145987</v>
      </c>
      <c r="EW47" s="110">
        <f t="shared" si="101"/>
        <v>-8.4280838824002613E-2</v>
      </c>
      <c r="EX47" s="88">
        <v>7.82</v>
      </c>
      <c r="EY47" s="88">
        <v>6.8065432143663944</v>
      </c>
      <c r="EZ47" s="173">
        <f t="shared" si="105"/>
        <v>4.5731626985779741</v>
      </c>
      <c r="FA47" s="80">
        <f t="shared" si="83"/>
        <v>9.6040229051461825</v>
      </c>
      <c r="FB47" s="88">
        <f t="shared" si="84"/>
        <v>1.1312531481664749</v>
      </c>
      <c r="FC47" s="78">
        <f t="shared" si="85"/>
        <v>1.1312531481664749</v>
      </c>
      <c r="FD47" s="88">
        <f t="shared" si="86"/>
        <v>88.397544052875446</v>
      </c>
      <c r="FE47" s="80">
        <f t="shared" si="87"/>
        <v>221.1039192760519</v>
      </c>
    </row>
    <row r="48" spans="1:161" s="67" customFormat="1" ht="13.5" x14ac:dyDescent="0.2">
      <c r="A48" s="68">
        <v>2006</v>
      </c>
      <c r="B48" s="104">
        <v>61399.733</v>
      </c>
      <c r="C48" s="72">
        <v>61795.237999999998</v>
      </c>
      <c r="D48" s="72">
        <v>61352.572</v>
      </c>
      <c r="E48" s="72">
        <v>61597.485500000003</v>
      </c>
      <c r="F48" s="117">
        <v>77.376999999999995</v>
      </c>
      <c r="G48" s="72">
        <f t="shared" si="50"/>
        <v>47662.286355334996</v>
      </c>
      <c r="H48" s="72">
        <v>26199.7855827243</v>
      </c>
      <c r="I48" s="84">
        <v>82</v>
      </c>
      <c r="J48" s="84">
        <v>35.700000000000003</v>
      </c>
      <c r="K48" s="67">
        <f t="shared" si="51"/>
        <v>-1041</v>
      </c>
      <c r="L48" s="102">
        <v>11533</v>
      </c>
      <c r="M48" s="67">
        <f t="shared" si="52"/>
        <v>553</v>
      </c>
      <c r="N48" s="102">
        <v>15585</v>
      </c>
      <c r="O48" s="67">
        <f t="shared" si="0"/>
        <v>27118</v>
      </c>
      <c r="P48" s="74">
        <f t="shared" si="53"/>
        <v>0.4252894756250461</v>
      </c>
      <c r="Q48" s="74">
        <f t="shared" si="54"/>
        <v>0.57471052437495396</v>
      </c>
      <c r="R48" s="77">
        <f t="shared" si="55"/>
        <v>-8.2789883887386608</v>
      </c>
      <c r="S48" s="77">
        <f t="shared" si="56"/>
        <v>3.6788185204896129</v>
      </c>
      <c r="T48" s="77">
        <f t="shared" si="141"/>
        <v>-1.7835426361267892</v>
      </c>
      <c r="U48" s="94">
        <f t="shared" si="58"/>
        <v>-488</v>
      </c>
      <c r="V48" s="75">
        <f t="shared" si="1"/>
        <v>0.43883640354293968</v>
      </c>
      <c r="W48" s="77">
        <f t="shared" si="88"/>
        <v>-2.4256246230402789</v>
      </c>
      <c r="X48" s="74">
        <f t="shared" si="59"/>
        <v>1.0350466386213921</v>
      </c>
      <c r="Y48" s="77">
        <f t="shared" si="88"/>
        <v>-2.9536318551854555</v>
      </c>
      <c r="Z48" s="72">
        <f t="shared" si="2"/>
        <v>22294.695919999998</v>
      </c>
      <c r="AA48" s="77">
        <f t="shared" si="89"/>
        <v>-1.5734157266069193</v>
      </c>
      <c r="AB48" s="74">
        <f t="shared" si="3"/>
        <v>0.36078339758154176</v>
      </c>
      <c r="AC48" s="77">
        <f t="shared" si="89"/>
        <v>-2.2033705171855766</v>
      </c>
      <c r="AD48" s="74">
        <f t="shared" si="60"/>
        <v>0.8509495564231162</v>
      </c>
      <c r="AE48" s="77">
        <f t="shared" si="136"/>
        <v>-2.7183829457054443</v>
      </c>
      <c r="AF48" s="80">
        <f t="shared" si="140"/>
        <v>15752</v>
      </c>
      <c r="AG48" s="67">
        <v>14348</v>
      </c>
      <c r="AH48" s="67">
        <v>30100</v>
      </c>
      <c r="AI48" s="80">
        <f t="shared" si="139"/>
        <v>15257</v>
      </c>
      <c r="AJ48" s="67">
        <v>15143</v>
      </c>
      <c r="AK48" s="106">
        <v>30400</v>
      </c>
      <c r="AL48" s="72">
        <f t="shared" ref="AL48:AN49" si="145">0.5*(AF48+AI48)</f>
        <v>15504.5</v>
      </c>
      <c r="AM48" s="72">
        <f t="shared" si="145"/>
        <v>14745.5</v>
      </c>
      <c r="AN48" s="72">
        <f t="shared" si="145"/>
        <v>30250</v>
      </c>
      <c r="AO48" s="74">
        <f t="shared" si="8"/>
        <v>0.49194729211982324</v>
      </c>
      <c r="AP48" s="74">
        <f t="shared" si="9"/>
        <v>0.49305186423154357</v>
      </c>
      <c r="AQ48" s="74">
        <f t="shared" si="62"/>
        <v>1.1545896016777459</v>
      </c>
      <c r="AR48" s="67">
        <v>2000549</v>
      </c>
      <c r="AS48" s="72">
        <v>987164.12199999997</v>
      </c>
      <c r="AT48" s="77">
        <f t="shared" si="63"/>
        <v>4.3720847720497558</v>
      </c>
      <c r="AU48" s="80">
        <v>1032975.253</v>
      </c>
      <c r="AV48" s="72">
        <f t="shared" si="10"/>
        <v>1032.9752530000001</v>
      </c>
      <c r="AW48" s="78">
        <f t="shared" si="11"/>
        <v>16.716097978294055</v>
      </c>
      <c r="AX48" s="74">
        <f t="shared" ref="AX48:AX53" si="146">LN(AW48)-LN(AW47)</f>
        <v>1.5423811675628674E-2</v>
      </c>
      <c r="AY48" s="78">
        <f t="shared" si="65"/>
        <v>39.426859038156657</v>
      </c>
      <c r="AZ48" s="74">
        <f t="shared" ref="AZ48:AZ53" si="147">LN(AY48)-LN(AY47)</f>
        <v>1.0143739354177228E-2</v>
      </c>
      <c r="BA48" s="79">
        <f t="shared" si="67"/>
        <v>0.14597311776560729</v>
      </c>
      <c r="BB48" s="80">
        <v>1155893.5</v>
      </c>
      <c r="BC48" s="81">
        <f t="shared" si="106"/>
        <v>1209536.4411656987</v>
      </c>
      <c r="BD48" s="82">
        <f t="shared" si="142"/>
        <v>2.376551180833486</v>
      </c>
      <c r="BE48" s="81">
        <f t="shared" si="107"/>
        <v>19573.295294464257</v>
      </c>
      <c r="BF48" s="81">
        <f t="shared" si="108"/>
        <v>46165.890837032151</v>
      </c>
      <c r="BG48" s="72">
        <v>1853.266607</v>
      </c>
      <c r="BH48" s="77">
        <f t="shared" si="103"/>
        <v>4.587428641989888</v>
      </c>
      <c r="BI48" s="130">
        <f t="shared" si="109"/>
        <v>1968.9185716409579</v>
      </c>
      <c r="BJ48" s="77">
        <f t="shared" si="91"/>
        <v>2.3749396073325935</v>
      </c>
      <c r="BK48" s="83">
        <f t="shared" si="110"/>
        <v>31.861978938263139</v>
      </c>
      <c r="BL48" s="83">
        <f t="shared" si="111"/>
        <v>75.150178822044623</v>
      </c>
      <c r="BM48" s="72">
        <v>24549.861000000001</v>
      </c>
      <c r="BN48" s="72">
        <f t="shared" si="112"/>
        <v>12271.561956243011</v>
      </c>
      <c r="BO48" s="107">
        <v>98.944999999999993</v>
      </c>
      <c r="BP48" s="82">
        <f t="shared" si="113"/>
        <v>103.53685972898028</v>
      </c>
      <c r="BQ48" s="81">
        <f t="shared" si="114"/>
        <v>12402.407353825876</v>
      </c>
      <c r="BR48" s="107">
        <v>93.052999999999997</v>
      </c>
      <c r="BS48" s="82">
        <f t="shared" si="115"/>
        <v>97.37142259195312</v>
      </c>
      <c r="BT48" s="107">
        <v>102.36799999999999</v>
      </c>
      <c r="BU48" s="82">
        <f t="shared" si="116"/>
        <v>107.11871501072568</v>
      </c>
      <c r="BV48" s="107">
        <v>91.516000000000005</v>
      </c>
      <c r="BW48" s="82">
        <f t="shared" si="117"/>
        <v>95.763093182650564</v>
      </c>
      <c r="BX48" s="82">
        <f t="shared" si="118"/>
        <v>98.604691254269426</v>
      </c>
      <c r="BY48" s="84">
        <v>95.564999999999998</v>
      </c>
      <c r="BZ48" s="77">
        <v>94.126117437930915</v>
      </c>
      <c r="CA48" s="78">
        <v>1.35</v>
      </c>
      <c r="CB48" s="78">
        <v>1.0774999999999999</v>
      </c>
      <c r="CC48" s="86">
        <f t="shared" si="119"/>
        <v>1.193391382107825</v>
      </c>
      <c r="CD48" s="86">
        <f t="shared" si="92"/>
        <v>9.5353636412692344E-2</v>
      </c>
      <c r="CE48" s="86">
        <f t="shared" si="69"/>
        <v>0.16835293225341563</v>
      </c>
      <c r="CF48" s="86">
        <f t="shared" si="26"/>
        <v>1.4126510751844295</v>
      </c>
      <c r="CG48" s="86">
        <f t="shared" ref="CG48:CG53" si="148">CH48-CH47</f>
        <v>3.0308737740182057E-2</v>
      </c>
      <c r="CH48" s="86">
        <f t="shared" ref="CH48:CH53" si="149">CB48/($BY48/100)</f>
        <v>1.1275048396379426</v>
      </c>
      <c r="CI48" s="86">
        <f t="shared" si="93"/>
        <v>8.4576291199053744E-2</v>
      </c>
      <c r="CJ48" s="86">
        <f t="shared" si="120"/>
        <v>1.2487745326299637</v>
      </c>
      <c r="CK48" s="86">
        <f t="shared" si="94"/>
        <v>7.2647671323658347E-2</v>
      </c>
      <c r="CL48" s="87">
        <v>1378.75</v>
      </c>
      <c r="CM48" s="77">
        <f t="shared" si="71"/>
        <v>90.70723684210526</v>
      </c>
      <c r="CN48" s="77">
        <f t="shared" si="121"/>
        <v>94.916796779265709</v>
      </c>
      <c r="CO48" s="77">
        <f t="shared" si="72"/>
        <v>97.733282522659238</v>
      </c>
      <c r="CP48" s="103">
        <v>1.9012500000000001</v>
      </c>
      <c r="CQ48" s="74">
        <f t="shared" si="137"/>
        <v>0.11468134200955105</v>
      </c>
      <c r="CR48" s="137">
        <v>0.95289855072463769</v>
      </c>
      <c r="CS48" s="74">
        <f t="shared" si="138"/>
        <v>0.12042033513206474</v>
      </c>
      <c r="CT48" s="77">
        <f t="shared" si="74"/>
        <v>95.289855072463766</v>
      </c>
      <c r="CU48" s="77">
        <f t="shared" si="122"/>
        <v>99.712086090581039</v>
      </c>
      <c r="CV48" s="78">
        <f t="shared" si="123"/>
        <v>97.398615969581755</v>
      </c>
      <c r="CW48" s="74">
        <f t="shared" si="75"/>
        <v>-5.7972431134753144E-2</v>
      </c>
      <c r="CX48" s="88">
        <f t="shared" si="76"/>
        <v>102.67086344556546</v>
      </c>
      <c r="CY48" s="77">
        <f t="shared" si="124"/>
        <v>97.11819180662377</v>
      </c>
      <c r="CZ48" s="89">
        <v>92.811000000000007</v>
      </c>
      <c r="DA48" s="74">
        <f t="shared" si="77"/>
        <v>5.5731482990168502E-2</v>
      </c>
      <c r="DB48" s="125">
        <v>93.694000000000003</v>
      </c>
      <c r="DC48" s="125">
        <v>92.18009183486997</v>
      </c>
      <c r="DD48" s="74">
        <f t="shared" si="78"/>
        <v>1.267864238525271</v>
      </c>
      <c r="DE48" s="74">
        <f t="shared" si="79"/>
        <v>1.2632371744831308</v>
      </c>
      <c r="DF48" s="75">
        <f t="shared" si="125"/>
        <v>1.2487745326299637</v>
      </c>
      <c r="DG48" s="75">
        <f t="shared" si="126"/>
        <v>1.2442171363716754</v>
      </c>
      <c r="DH48" s="74">
        <f t="shared" ref="DH48:DH53" si="150">DF48-DF47</f>
        <v>8.4576291199053744E-2</v>
      </c>
      <c r="DI48" s="75">
        <f t="shared" si="95"/>
        <v>8.5355864247698809E-2</v>
      </c>
      <c r="DJ48" s="77">
        <f t="shared" ref="DJ48:DJ53" si="151">100*(LN(DF48)-LN(DF47))</f>
        <v>7.0130051221659082</v>
      </c>
      <c r="DK48" s="75">
        <f t="shared" si="127"/>
        <v>1.2442171363716754</v>
      </c>
      <c r="DL48" s="77">
        <f t="shared" si="97"/>
        <v>9.7093197459014284</v>
      </c>
      <c r="DM48" s="153">
        <v>29154.9</v>
      </c>
      <c r="DN48" s="153">
        <v>45684.78</v>
      </c>
      <c r="DO48" s="153">
        <v>29154.9</v>
      </c>
      <c r="DP48" s="153">
        <f t="shared" si="98"/>
        <v>1367.4467500000028</v>
      </c>
      <c r="DQ48" s="153">
        <v>45684.78</v>
      </c>
      <c r="DR48" s="153">
        <v>29154.9</v>
      </c>
      <c r="DS48" s="153">
        <v>45684.78</v>
      </c>
      <c r="DT48" s="67">
        <v>21213</v>
      </c>
      <c r="EB48" s="101">
        <v>12990.548540991718</v>
      </c>
      <c r="EC48" s="78">
        <v>6.9935100105564674</v>
      </c>
      <c r="ED48" s="106">
        <v>30250</v>
      </c>
      <c r="EE48" s="72">
        <f t="shared" si="144"/>
        <v>27118</v>
      </c>
      <c r="EF48" s="72">
        <f t="shared" si="39"/>
        <v>392964093364.99945</v>
      </c>
      <c r="EG48" s="74">
        <f t="shared" si="81"/>
        <v>1.193391382107825</v>
      </c>
      <c r="EH48" s="74">
        <f t="shared" si="104"/>
        <v>8.3459945772828927</v>
      </c>
      <c r="EI48" s="75">
        <f t="shared" si="128"/>
        <v>1.2487745326299637</v>
      </c>
      <c r="EJ48" s="75">
        <f t="shared" si="129"/>
        <v>8.345994577282891</v>
      </c>
      <c r="EK48" s="78">
        <f t="shared" si="130"/>
        <v>8.7333171948756245</v>
      </c>
      <c r="EL48" s="72">
        <f t="shared" si="131"/>
        <v>6359.1322905010811</v>
      </c>
      <c r="EM48" s="72">
        <f t="shared" si="132"/>
        <v>14998.752265519051</v>
      </c>
      <c r="EN48" s="153">
        <f t="shared" si="133"/>
        <v>211.95489608950808</v>
      </c>
      <c r="EO48" s="153">
        <f t="shared" si="134"/>
        <v>135.26438783332216</v>
      </c>
      <c r="EP48" s="75">
        <f t="shared" si="135"/>
        <v>6.9008849556164945E-2</v>
      </c>
      <c r="EQ48" s="77">
        <f t="shared" si="82"/>
        <v>14.490895101593017</v>
      </c>
      <c r="ER48" s="78">
        <v>52</v>
      </c>
      <c r="ES48" s="74">
        <f t="shared" si="102"/>
        <v>2.0608439646712329E-2</v>
      </c>
      <c r="ET48" s="95">
        <f t="shared" si="99"/>
        <v>54.413226599696543</v>
      </c>
      <c r="EU48" s="74">
        <f t="shared" si="102"/>
        <v>-5.4810635799773522E-4</v>
      </c>
      <c r="EV48" s="77">
        <f t="shared" si="100"/>
        <v>43.573299405057803</v>
      </c>
      <c r="EW48" s="74">
        <f t="shared" si="101"/>
        <v>-6.8238415687167708E-2</v>
      </c>
      <c r="EX48" s="78">
        <v>8.15</v>
      </c>
      <c r="EY48" s="151">
        <v>6.5</v>
      </c>
      <c r="EZ48" s="173">
        <f t="shared" si="105"/>
        <v>4.3672032343842124</v>
      </c>
      <c r="FA48" s="72">
        <f t="shared" si="83"/>
        <v>11.015920450226076</v>
      </c>
      <c r="FB48" s="78">
        <f t="shared" si="84"/>
        <v>1.2839991657358296</v>
      </c>
      <c r="FC48" s="78">
        <f t="shared" si="85"/>
        <v>1.2839991657358296</v>
      </c>
      <c r="FD48" s="78">
        <f t="shared" si="86"/>
        <v>77.881670540410639</v>
      </c>
      <c r="FE48" s="72">
        <f t="shared" si="87"/>
        <v>248.25739005099095</v>
      </c>
    </row>
    <row r="49" spans="1:161" s="67" customFormat="1" ht="13.5" x14ac:dyDescent="0.2">
      <c r="A49" s="68">
        <v>2007</v>
      </c>
      <c r="B49" s="104">
        <v>61795.237999999998</v>
      </c>
      <c r="C49" s="72">
        <v>62134.866000000002</v>
      </c>
      <c r="D49" s="72">
        <v>61707.072</v>
      </c>
      <c r="E49" s="72">
        <v>61965.052000000003</v>
      </c>
      <c r="F49" s="117">
        <v>77.620999999999995</v>
      </c>
      <c r="G49" s="72">
        <f t="shared" si="50"/>
        <v>48097.893012920002</v>
      </c>
      <c r="H49" s="72">
        <v>26484.16288</v>
      </c>
      <c r="I49" s="84">
        <v>82.4</v>
      </c>
      <c r="J49" s="84">
        <v>35.799999999999997</v>
      </c>
      <c r="K49" s="67">
        <f t="shared" si="51"/>
        <v>-675</v>
      </c>
      <c r="L49" s="102">
        <v>10858</v>
      </c>
      <c r="M49" s="67">
        <f t="shared" si="52"/>
        <v>702</v>
      </c>
      <c r="N49" s="102">
        <v>16287</v>
      </c>
      <c r="O49" s="68">
        <f t="shared" si="0"/>
        <v>27145</v>
      </c>
      <c r="P49" s="74">
        <f t="shared" si="53"/>
        <v>0.4</v>
      </c>
      <c r="Q49" s="74">
        <f t="shared" si="54"/>
        <v>0.6</v>
      </c>
      <c r="R49" s="77">
        <f>100*(L49/L48-1)</f>
        <v>-5.8527703112806755</v>
      </c>
      <c r="S49" s="77">
        <f>100*(N49/N48-1)</f>
        <v>4.5043310875842124</v>
      </c>
      <c r="T49" s="77">
        <f t="shared" si="141"/>
        <v>9.9515331729627121E-2</v>
      </c>
      <c r="U49" s="94">
        <f t="shared" si="58"/>
        <v>27</v>
      </c>
      <c r="V49" s="109">
        <f t="shared" si="1"/>
        <v>0.43687227071512474</v>
      </c>
      <c r="W49" s="77">
        <f t="shared" si="88"/>
        <v>-0.44858208652499565</v>
      </c>
      <c r="X49" s="74">
        <f t="shared" si="59"/>
        <v>1.0249521619012185</v>
      </c>
      <c r="Y49" s="77">
        <f t="shared" si="88"/>
        <v>-0.98005469866915584</v>
      </c>
      <c r="Z49" s="80">
        <f t="shared" si="2"/>
        <v>22353.798920000001</v>
      </c>
      <c r="AA49" s="83">
        <f t="shared" si="89"/>
        <v>0.26509892851682704</v>
      </c>
      <c r="AB49" s="110">
        <f t="shared" si="3"/>
        <v>0.35976256744482238</v>
      </c>
      <c r="AC49" s="83">
        <f t="shared" si="89"/>
        <v>-0.28294820204100013</v>
      </c>
      <c r="AD49" s="74">
        <f t="shared" si="60"/>
        <v>0.84404400551700587</v>
      </c>
      <c r="AE49" s="83">
        <f t="shared" si="136"/>
        <v>-0.81151119405210581</v>
      </c>
      <c r="AF49" s="80">
        <f t="shared" si="140"/>
        <v>15257</v>
      </c>
      <c r="AG49" s="67">
        <v>15143</v>
      </c>
      <c r="AH49" s="67">
        <v>30400</v>
      </c>
      <c r="AI49" s="80">
        <f t="shared" si="139"/>
        <v>14778</v>
      </c>
      <c r="AJ49" s="111">
        <v>15922</v>
      </c>
      <c r="AK49" s="80">
        <v>30700</v>
      </c>
      <c r="AL49" s="80">
        <f t="shared" si="145"/>
        <v>15017.5</v>
      </c>
      <c r="AM49" s="72">
        <f t="shared" si="145"/>
        <v>15532.5</v>
      </c>
      <c r="AN49" s="80">
        <f t="shared" si="145"/>
        <v>30550</v>
      </c>
      <c r="AO49" s="110">
        <f t="shared" si="8"/>
        <v>0.49408652462532066</v>
      </c>
      <c r="AP49" s="110">
        <f t="shared" si="9"/>
        <v>0.4950810176182075</v>
      </c>
      <c r="AQ49" s="74">
        <f t="shared" si="62"/>
        <v>1.153519563311189</v>
      </c>
      <c r="AR49" s="67">
        <v>2064543</v>
      </c>
      <c r="AS49" s="67">
        <v>1032729.947</v>
      </c>
      <c r="AT49" s="77">
        <f t="shared" si="63"/>
        <v>4.615830740250515</v>
      </c>
      <c r="AU49" s="72">
        <v>1058173.8899999999</v>
      </c>
      <c r="AV49" s="72">
        <f t="shared" si="10"/>
        <v>1058.1738899999998</v>
      </c>
      <c r="AW49" s="78">
        <f t="shared" si="11"/>
        <v>17.030275562194017</v>
      </c>
      <c r="AX49" s="74">
        <f t="shared" si="146"/>
        <v>1.8620469613284563E-2</v>
      </c>
      <c r="AY49" s="78">
        <f t="shared" si="65"/>
        <v>39.954968363342125</v>
      </c>
      <c r="AZ49" s="74">
        <f t="shared" si="147"/>
        <v>1.3305743491843103E-2</v>
      </c>
      <c r="BA49" s="79">
        <f t="shared" si="67"/>
        <v>0.15090278032427384</v>
      </c>
      <c r="BB49" s="80">
        <v>1216268.2</v>
      </c>
      <c r="BC49" s="81">
        <f t="shared" si="106"/>
        <v>1246240.2787028025</v>
      </c>
      <c r="BD49" s="82">
        <f t="shared" si="142"/>
        <v>3.0345375540508979</v>
      </c>
      <c r="BE49" s="81">
        <f t="shared" si="107"/>
        <v>20057.020460988882</v>
      </c>
      <c r="BF49" s="81">
        <f t="shared" si="108"/>
        <v>47056.057023570247</v>
      </c>
      <c r="BG49" s="80">
        <v>1945.6696420000001</v>
      </c>
      <c r="BH49" s="77">
        <f t="shared" si="103"/>
        <v>4.9859547811946348</v>
      </c>
      <c r="BI49" s="130">
        <f t="shared" si="109"/>
        <v>2015.4147325272925</v>
      </c>
      <c r="BJ49" s="77">
        <f t="shared" si="91"/>
        <v>2.3615075583132583</v>
      </c>
      <c r="BK49" s="83">
        <f t="shared" si="110"/>
        <v>32.436132275996094</v>
      </c>
      <c r="BL49" s="83">
        <f t="shared" si="111"/>
        <v>76.098864882350867</v>
      </c>
      <c r="BM49" s="112">
        <v>25884.850999999999</v>
      </c>
      <c r="BN49" s="72">
        <f t="shared" si="112"/>
        <v>12537.81151567199</v>
      </c>
      <c r="BO49" s="107">
        <v>100.913</v>
      </c>
      <c r="BP49" s="82">
        <f t="shared" si="113"/>
        <v>103.39976433218914</v>
      </c>
      <c r="BQ49" s="81">
        <f t="shared" si="114"/>
        <v>12424.376954081232</v>
      </c>
      <c r="BR49" s="77">
        <v>95.028999999999996</v>
      </c>
      <c r="BS49" s="82">
        <f t="shared" si="115"/>
        <v>97.370766945027924</v>
      </c>
      <c r="BT49" s="77">
        <v>102.51</v>
      </c>
      <c r="BU49" s="82">
        <f t="shared" si="116"/>
        <v>105.03611865361955</v>
      </c>
      <c r="BV49" s="77">
        <v>94.400999999999996</v>
      </c>
      <c r="BW49" s="82">
        <f t="shared" si="117"/>
        <v>96.727291357139208</v>
      </c>
      <c r="BX49" s="82">
        <f t="shared" si="118"/>
        <v>99.79702514985253</v>
      </c>
      <c r="BY49" s="84">
        <v>97.594999999999999</v>
      </c>
      <c r="BZ49" s="77">
        <v>96.539417450827443</v>
      </c>
      <c r="CA49" s="132">
        <v>1.2925499999999999</v>
      </c>
      <c r="CB49" s="78">
        <v>1.0949</v>
      </c>
      <c r="CC49" s="86">
        <f t="shared" si="119"/>
        <v>1.1739599999999999</v>
      </c>
      <c r="CD49" s="86">
        <f t="shared" si="92"/>
        <v>-1.6282489046891335E-2</v>
      </c>
      <c r="CE49" s="86">
        <f>CF49-CF48</f>
        <v>-8.8249210334795825E-2</v>
      </c>
      <c r="CF49" s="86">
        <f t="shared" si="26"/>
        <v>1.3244018648496336</v>
      </c>
      <c r="CG49" s="86">
        <f t="shared" si="148"/>
        <v>-5.623595721758301E-3</v>
      </c>
      <c r="CH49" s="86">
        <f t="shared" si="149"/>
        <v>1.1218812439161843</v>
      </c>
      <c r="CI49" s="86">
        <f t="shared" si="93"/>
        <v>-4.5885040340399863E-2</v>
      </c>
      <c r="CJ49" s="86">
        <f t="shared" si="120"/>
        <v>1.2028894922895639</v>
      </c>
      <c r="CK49" s="86">
        <f t="shared" si="94"/>
        <v>-3.6744055184857349E-2</v>
      </c>
      <c r="CL49" s="87">
        <v>1434.25</v>
      </c>
      <c r="CM49" s="77">
        <f t="shared" si="71"/>
        <v>94.358552631578945</v>
      </c>
      <c r="CN49" s="77">
        <f t="shared" si="121"/>
        <v>96.683797972825403</v>
      </c>
      <c r="CO49" s="77">
        <f t="shared" si="72"/>
        <v>99.752151461079521</v>
      </c>
      <c r="CP49" s="103">
        <v>2.0255000000000001</v>
      </c>
      <c r="CQ49" s="74">
        <f t="shared" si="137"/>
        <v>6.3305019069242685E-2</v>
      </c>
      <c r="CR49" s="137">
        <v>1.0154589371980676</v>
      </c>
      <c r="CS49" s="74">
        <f t="shared" si="138"/>
        <v>6.5652724968314313E-2</v>
      </c>
      <c r="CT49" s="77">
        <f t="shared" si="74"/>
        <v>101.54589371980676</v>
      </c>
      <c r="CU49" s="77">
        <f t="shared" si="122"/>
        <v>104.04825423413777</v>
      </c>
      <c r="CV49" s="78">
        <f t="shared" si="123"/>
        <v>93.152954329210289</v>
      </c>
      <c r="CW49" s="74">
        <f>LN(CV49)-LN(CV48)</f>
        <v>-4.4569188418783767E-2</v>
      </c>
      <c r="CX49" s="88">
        <f t="shared" si="76"/>
        <v>107.35032583785983</v>
      </c>
      <c r="CY49" s="77">
        <f t="shared" si="124"/>
        <v>96.924022747066971</v>
      </c>
      <c r="CZ49" s="89">
        <v>94.593000000000004</v>
      </c>
      <c r="DA49" s="74">
        <f t="shared" si="77"/>
        <v>1.9018310298084096E-2</v>
      </c>
      <c r="DB49" s="125">
        <v>94.707999999999998</v>
      </c>
      <c r="DC49" s="125">
        <v>94.740000000000009</v>
      </c>
      <c r="DD49" s="74">
        <f t="shared" si="78"/>
        <v>1.2160421421622509</v>
      </c>
      <c r="DE49" s="74">
        <f t="shared" si="79"/>
        <v>1.2128343874427279</v>
      </c>
      <c r="DF49" s="75">
        <f t="shared" si="125"/>
        <v>1.2028894922895639</v>
      </c>
      <c r="DG49" s="75">
        <f t="shared" si="126"/>
        <v>1.1997164324817062</v>
      </c>
      <c r="DH49" s="74">
        <f t="shared" si="150"/>
        <v>-4.5885040340399863E-2</v>
      </c>
      <c r="DI49" s="75">
        <f t="shared" si="95"/>
        <v>-5.1822096363020043E-2</v>
      </c>
      <c r="DJ49" s="77">
        <f t="shared" si="151"/>
        <v>-3.7436123872653768</v>
      </c>
      <c r="DK49" s="75">
        <f t="shared" si="127"/>
        <v>1.1997164324817062</v>
      </c>
      <c r="DL49" s="77">
        <f t="shared" si="97"/>
        <v>8.6423397284195911</v>
      </c>
      <c r="DM49" s="153">
        <v>29913.279999999999</v>
      </c>
      <c r="DN49" s="153">
        <v>46465.29</v>
      </c>
      <c r="DO49" s="153">
        <v>29913.279999999999</v>
      </c>
      <c r="DP49" s="153">
        <f>DO49-DO48</f>
        <v>758.37999999999738</v>
      </c>
      <c r="DQ49" s="153">
        <v>46465.29</v>
      </c>
      <c r="DR49" s="153">
        <v>29913.279999999999</v>
      </c>
      <c r="DS49" s="153">
        <v>46465.29</v>
      </c>
      <c r="DT49" s="67">
        <v>20819</v>
      </c>
      <c r="EB49" s="101">
        <v>12968.24239533422</v>
      </c>
      <c r="EC49" s="78">
        <v>6.9789639401014725</v>
      </c>
      <c r="ED49" s="67">
        <v>30550</v>
      </c>
      <c r="EE49" s="72">
        <f t="shared" si="144"/>
        <v>27145</v>
      </c>
      <c r="EF49" s="80">
        <f t="shared" si="39"/>
        <v>396179805177.46045</v>
      </c>
      <c r="EG49" s="110">
        <f t="shared" si="81"/>
        <v>1.1739599999999999</v>
      </c>
      <c r="EH49" s="110">
        <f t="shared" si="104"/>
        <v>8.1930245071215246</v>
      </c>
      <c r="EI49" s="75">
        <f t="shared" si="128"/>
        <v>1.2028894922895639</v>
      </c>
      <c r="EJ49" s="75">
        <f t="shared" si="129"/>
        <v>8.1930245071215229</v>
      </c>
      <c r="EK49" s="78">
        <f t="shared" si="130"/>
        <v>8.3949223906158341</v>
      </c>
      <c r="EL49" s="80">
        <f t="shared" si="131"/>
        <v>6376.1271357286014</v>
      </c>
      <c r="EM49" s="72">
        <f t="shared" si="132"/>
        <v>14959.121304779577</v>
      </c>
      <c r="EN49" s="153">
        <f t="shared" si="133"/>
        <v>207.71665962408673</v>
      </c>
      <c r="EO49" s="153">
        <f t="shared" si="134"/>
        <v>133.7231856295312</v>
      </c>
      <c r="EP49" s="109">
        <f t="shared" si="135"/>
        <v>6.8516869475063136E-2</v>
      </c>
      <c r="EQ49" s="77">
        <f t="shared" si="82"/>
        <v>14.59494585291805</v>
      </c>
      <c r="ER49" s="78">
        <v>53.083333333333336</v>
      </c>
      <c r="ES49" s="74">
        <f t="shared" si="102"/>
        <v>2.0833333333333481E-2</v>
      </c>
      <c r="ET49" s="95">
        <f t="shared" si="99"/>
        <v>54.391447649298982</v>
      </c>
      <c r="EU49" s="74">
        <f t="shared" si="102"/>
        <v>-4.0025103745056079E-4</v>
      </c>
      <c r="EV49" s="77">
        <f t="shared" si="100"/>
        <v>45.217327109384769</v>
      </c>
      <c r="EW49" s="74">
        <f t="shared" si="101"/>
        <v>3.7730163351736845E-2</v>
      </c>
      <c r="EX49" s="78">
        <v>8.3550000000000004</v>
      </c>
      <c r="EY49" s="151">
        <v>6.63</v>
      </c>
      <c r="EZ49" s="173">
        <f t="shared" si="105"/>
        <v>4.4545472990718968</v>
      </c>
      <c r="FA49" s="72">
        <f t="shared" si="83"/>
        <v>10.624072398190044</v>
      </c>
      <c r="FB49" s="78">
        <f t="shared" si="84"/>
        <v>1.2357503027332617</v>
      </c>
      <c r="FC49" s="78">
        <f t="shared" si="85"/>
        <v>1.2357503027332617</v>
      </c>
      <c r="FD49" s="78">
        <f t="shared" si="86"/>
        <v>80.922496865926433</v>
      </c>
      <c r="FE49" s="72">
        <f t="shared" si="87"/>
        <v>238.5183513067704</v>
      </c>
    </row>
    <row r="50" spans="1:161" s="67" customFormat="1" ht="13.5" x14ac:dyDescent="0.2">
      <c r="A50" s="68">
        <v>2008</v>
      </c>
      <c r="B50" s="104">
        <v>62134.866000000002</v>
      </c>
      <c r="C50" s="72">
        <v>62465.709000000003</v>
      </c>
      <c r="D50" s="72">
        <f t="shared" ref="D50:D59" si="152">(C50+B50)/2</f>
        <v>62300.287500000006</v>
      </c>
      <c r="E50" s="72">
        <v>62300.287499999999</v>
      </c>
      <c r="F50" s="117">
        <v>77.867999999999995</v>
      </c>
      <c r="G50" s="72">
        <f t="shared" si="50"/>
        <v>48511.987870499994</v>
      </c>
      <c r="H50" s="72">
        <v>26740.894704999999</v>
      </c>
      <c r="I50" s="84">
        <v>82.7</v>
      </c>
      <c r="J50" s="84">
        <v>35.799999999999997</v>
      </c>
      <c r="K50" s="67">
        <f t="shared" si="51"/>
        <v>-575</v>
      </c>
      <c r="L50" s="102">
        <v>10283</v>
      </c>
      <c r="M50" s="67">
        <f t="shared" si="52"/>
        <v>295</v>
      </c>
      <c r="N50" s="102">
        <v>16582</v>
      </c>
      <c r="O50" s="68">
        <f t="shared" si="0"/>
        <v>26865</v>
      </c>
      <c r="P50" s="110">
        <f t="shared" si="53"/>
        <v>0.38276568025311741</v>
      </c>
      <c r="Q50" s="110">
        <f t="shared" si="54"/>
        <v>0.61723431974688259</v>
      </c>
      <c r="R50" s="77">
        <f>100*(L50/L49-1)</f>
        <v>-5.2956345551666946</v>
      </c>
      <c r="S50" s="77">
        <f>100*(N50/N49-1)</f>
        <v>1.811260514520785</v>
      </c>
      <c r="T50" s="77">
        <f t="shared" si="141"/>
        <v>-1.0368543176630496</v>
      </c>
      <c r="U50" s="94">
        <f t="shared" si="58"/>
        <v>-280</v>
      </c>
      <c r="V50" s="109">
        <f>O50/C50</f>
        <v>0.43007596375797158</v>
      </c>
      <c r="W50" s="77">
        <f>100*(LN(V50)-LN(V49))</f>
        <v>-1.5679012691086402</v>
      </c>
      <c r="X50" s="74">
        <f t="shared" si="59"/>
        <v>1.0046410300167254</v>
      </c>
      <c r="Y50" s="77">
        <f t="shared" si="88"/>
        <v>-2.0015646542689449</v>
      </c>
      <c r="Z50" s="80">
        <f t="shared" si="2"/>
        <v>22148.110919999999</v>
      </c>
      <c r="AA50" s="83">
        <f t="shared" si="89"/>
        <v>-0.92014784930346538</v>
      </c>
      <c r="AB50" s="110">
        <f t="shared" si="3"/>
        <v>0.35456430855527465</v>
      </c>
      <c r="AC50" s="83">
        <f t="shared" si="89"/>
        <v>-1.4449137736779694</v>
      </c>
      <c r="AD50" s="74">
        <f t="shared" si="60"/>
        <v>0.82824868667759111</v>
      </c>
      <c r="AE50" s="83">
        <f t="shared" si="136"/>
        <v>-1.871385702187367</v>
      </c>
      <c r="AF50" s="80">
        <f t="shared" si="140"/>
        <v>14778</v>
      </c>
      <c r="AG50" s="80">
        <v>15922</v>
      </c>
      <c r="AH50" s="80">
        <v>30700</v>
      </c>
      <c r="AI50" s="80">
        <f t="shared" si="139"/>
        <v>14097</v>
      </c>
      <c r="AJ50" s="80">
        <v>16753</v>
      </c>
      <c r="AK50" s="80">
        <v>30850</v>
      </c>
      <c r="AL50" s="80">
        <f t="shared" ref="AL50:AN58" si="153">0.5*(AF50+AI50)</f>
        <v>14437.5</v>
      </c>
      <c r="AM50" s="72">
        <f t="shared" si="153"/>
        <v>16337.5</v>
      </c>
      <c r="AN50" s="80">
        <f t="shared" si="153"/>
        <v>30775</v>
      </c>
      <c r="AO50" s="110">
        <f>AK50/C50</f>
        <v>0.49387096526832025</v>
      </c>
      <c r="AP50" s="110">
        <f>AN50/D50</f>
        <v>0.49397845876714447</v>
      </c>
      <c r="AQ50" s="74">
        <f t="shared" si="62"/>
        <v>1.150859024707416</v>
      </c>
      <c r="AR50" s="68">
        <v>2050283</v>
      </c>
      <c r="AS50" s="113">
        <v>1066598.0970000001</v>
      </c>
      <c r="AT50" s="77">
        <f t="shared" si="63"/>
        <v>3.2794778633450372</v>
      </c>
      <c r="AU50" s="108">
        <v>1063129.973</v>
      </c>
      <c r="AV50" s="72">
        <f t="shared" si="10"/>
        <v>1063.1299730000001</v>
      </c>
      <c r="AW50" s="78">
        <f>AU50/C50</f>
        <v>17.019417373458452</v>
      </c>
      <c r="AX50" s="74">
        <f t="shared" si="146"/>
        <v>-6.3778484723187034E-4</v>
      </c>
      <c r="AY50" s="78">
        <f t="shared" si="65"/>
        <v>39.756709142615804</v>
      </c>
      <c r="AZ50" s="74">
        <f t="shared" si="147"/>
        <v>-4.9744186988349703E-3</v>
      </c>
      <c r="BA50" s="79">
        <f t="shared" si="67"/>
        <v>0.1495083454144136</v>
      </c>
      <c r="BB50" s="108">
        <v>1254095.8999999999</v>
      </c>
      <c r="BC50" s="81">
        <f t="shared" si="106"/>
        <v>1250020.832087395</v>
      </c>
      <c r="BD50" s="82">
        <f t="shared" si="142"/>
        <v>0.30335670008416749</v>
      </c>
      <c r="BE50" s="81">
        <f t="shared" si="107"/>
        <v>20011.31264014621</v>
      </c>
      <c r="BF50" s="81">
        <f t="shared" si="108"/>
        <v>46745.662247930195</v>
      </c>
      <c r="BG50" s="72">
        <v>1995.8497640000001</v>
      </c>
      <c r="BH50" s="77">
        <f t="shared" si="103"/>
        <v>2.5790669143821665</v>
      </c>
      <c r="BI50" s="130">
        <f t="shared" si="109"/>
        <v>2019.3506885340032</v>
      </c>
      <c r="BJ50" s="77">
        <f t="shared" si="91"/>
        <v>0.19529260867192644</v>
      </c>
      <c r="BK50" s="83">
        <f t="shared" si="110"/>
        <v>32.327347609774236</v>
      </c>
      <c r="BL50" s="83">
        <f t="shared" si="111"/>
        <v>75.515449681510702</v>
      </c>
      <c r="BM50" s="80">
        <v>24743.955999999998</v>
      </c>
      <c r="BN50" s="72">
        <f t="shared" si="112"/>
        <v>12068.556389532567</v>
      </c>
      <c r="BO50" s="83">
        <v>101.499</v>
      </c>
      <c r="BP50" s="114">
        <f t="shared" si="113"/>
        <v>101.16918844566713</v>
      </c>
      <c r="BQ50" s="115">
        <f t="shared" si="114"/>
        <v>11890.320485455586</v>
      </c>
      <c r="BR50" s="77">
        <v>99.771000000000001</v>
      </c>
      <c r="BS50" s="82">
        <f t="shared" si="115"/>
        <v>99.446803420848042</v>
      </c>
      <c r="BT50" s="77">
        <v>102.378</v>
      </c>
      <c r="BU50" s="82">
        <f t="shared" si="116"/>
        <v>102.04533221697267</v>
      </c>
      <c r="BV50" s="77">
        <v>96.462999999999994</v>
      </c>
      <c r="BW50" s="82">
        <f t="shared" si="117"/>
        <v>96.149552458983706</v>
      </c>
      <c r="BX50" s="82">
        <f t="shared" si="118"/>
        <v>90.725518227305216</v>
      </c>
      <c r="BY50" s="84">
        <v>100.32599999999999</v>
      </c>
      <c r="BZ50" s="77">
        <v>98.836213805385924</v>
      </c>
      <c r="CA50" s="132">
        <v>1.3733499999999998</v>
      </c>
      <c r="CB50" s="88">
        <v>1.2670999999999999</v>
      </c>
      <c r="CC50" s="86">
        <f t="shared" si="119"/>
        <v>1.3077688535268936</v>
      </c>
      <c r="CD50" s="86">
        <f t="shared" si="92"/>
        <v>0.11398076044063998</v>
      </c>
      <c r="CE50" s="86">
        <f>CF50-CF49</f>
        <v>4.4485562138385282E-2</v>
      </c>
      <c r="CF50" s="86">
        <f>CA50/($BY50/100)</f>
        <v>1.3688874269880189</v>
      </c>
      <c r="CG50" s="86">
        <f t="shared" si="148"/>
        <v>0.14110143255850804</v>
      </c>
      <c r="CH50" s="86">
        <f t="shared" si="149"/>
        <v>1.2629826764746923</v>
      </c>
      <c r="CI50" s="86">
        <f t="shared" si="93"/>
        <v>0.10062988805739859</v>
      </c>
      <c r="CJ50" s="86">
        <f t="shared" si="120"/>
        <v>1.3035193803469625</v>
      </c>
      <c r="CK50" s="86">
        <f t="shared" si="94"/>
        <v>8.3656801977595618E-2</v>
      </c>
      <c r="CL50" s="87">
        <v>1544</v>
      </c>
      <c r="CM50" s="83">
        <f t="shared" si="71"/>
        <v>101.57894736842105</v>
      </c>
      <c r="CN50" s="83">
        <f t="shared" si="121"/>
        <v>101.24887603255493</v>
      </c>
      <c r="CO50" s="77">
        <f t="shared" si="72"/>
        <v>95.537176336876954</v>
      </c>
      <c r="CP50" s="103">
        <v>2.05125</v>
      </c>
      <c r="CQ50" s="74">
        <f t="shared" si="137"/>
        <v>1.2632779761555302E-2</v>
      </c>
      <c r="CR50" s="137">
        <v>1.0239130434782608</v>
      </c>
      <c r="CS50" s="74">
        <f t="shared" si="138"/>
        <v>8.3254043767839736E-3</v>
      </c>
      <c r="CT50" s="77">
        <f t="shared" si="74"/>
        <v>102.39130434782608</v>
      </c>
      <c r="CU50" s="77">
        <f t="shared" si="122"/>
        <v>102.05859333355868</v>
      </c>
      <c r="CV50" s="78">
        <f t="shared" si="123"/>
        <v>103.84084925690021</v>
      </c>
      <c r="CW50" s="74">
        <f>LN(CV50)-LN(CV49)</f>
        <v>0.10861661906553977</v>
      </c>
      <c r="CX50" s="88">
        <f t="shared" si="76"/>
        <v>96.301215480819081</v>
      </c>
      <c r="CY50" s="77">
        <f t="shared" si="124"/>
        <v>105.97851005721348</v>
      </c>
      <c r="CZ50" s="89">
        <v>106.324</v>
      </c>
      <c r="DA50" s="74">
        <f t="shared" si="77"/>
        <v>0.11690755842133438</v>
      </c>
      <c r="DB50" s="83">
        <v>110.904</v>
      </c>
      <c r="DC50" s="83">
        <v>101.6</v>
      </c>
      <c r="DD50" s="74">
        <f t="shared" si="78"/>
        <v>1.3231676965104755</v>
      </c>
      <c r="DE50" s="74">
        <f t="shared" si="79"/>
        <v>1.3215115249968616</v>
      </c>
      <c r="DF50" s="109">
        <f t="shared" si="125"/>
        <v>1.3035193803469625</v>
      </c>
      <c r="DG50" s="109">
        <f t="shared" si="126"/>
        <v>1.3018878020739533</v>
      </c>
      <c r="DH50" s="74">
        <f t="shared" si="150"/>
        <v>0.10062988805739859</v>
      </c>
      <c r="DI50" s="75">
        <f t="shared" si="95"/>
        <v>0.10712555434822457</v>
      </c>
      <c r="DJ50" s="77">
        <f t="shared" si="151"/>
        <v>8.0341249546334002</v>
      </c>
      <c r="DK50" s="109">
        <f t="shared" si="127"/>
        <v>1.3018878020739533</v>
      </c>
      <c r="DL50" s="83">
        <f t="shared" si="97"/>
        <v>9.8516293252806211</v>
      </c>
      <c r="DM50" s="153">
        <v>30748.68</v>
      </c>
      <c r="DN50" s="153">
        <v>47401.54</v>
      </c>
      <c r="DO50" s="153">
        <v>30748.68</v>
      </c>
      <c r="DP50" s="153">
        <f>DO50-DO49</f>
        <v>835.40000000000146</v>
      </c>
      <c r="DQ50" s="153">
        <v>47401.54</v>
      </c>
      <c r="DR50" s="153">
        <v>30748.68</v>
      </c>
      <c r="DS50" s="153">
        <v>47401.54</v>
      </c>
      <c r="DT50" s="67">
        <v>20807</v>
      </c>
      <c r="EB50" s="101">
        <v>12749.156148354399</v>
      </c>
      <c r="EC50" s="78">
        <v>6.9818954866554543</v>
      </c>
      <c r="ED50" s="67">
        <v>30775</v>
      </c>
      <c r="EE50" s="72">
        <f t="shared" si="144"/>
        <v>26865</v>
      </c>
      <c r="EF50" s="80">
        <f t="shared" si="39"/>
        <v>392355280465.60663</v>
      </c>
      <c r="EG50" s="110">
        <f t="shared" si="81"/>
        <v>1.3077688535268936</v>
      </c>
      <c r="EH50" s="110">
        <f t="shared" si="104"/>
        <v>9.1307054560279965</v>
      </c>
      <c r="EI50" s="109">
        <f t="shared" si="128"/>
        <v>1.3035193803469625</v>
      </c>
      <c r="EJ50" s="75">
        <f t="shared" si="129"/>
        <v>9.1307054560279948</v>
      </c>
      <c r="EK50" s="78">
        <f t="shared" si="130"/>
        <v>9.1010360784123723</v>
      </c>
      <c r="EL50" s="80">
        <f t="shared" si="131"/>
        <v>6281.1306674772013</v>
      </c>
      <c r="EM50" s="72">
        <f t="shared" si="132"/>
        <v>14672.481410737699</v>
      </c>
      <c r="EN50" s="153">
        <f t="shared" si="133"/>
        <v>203.14923762581029</v>
      </c>
      <c r="EO50" s="153">
        <f t="shared" si="134"/>
        <v>131.77991474538592</v>
      </c>
      <c r="EP50" s="109">
        <f t="shared" si="135"/>
        <v>6.8471106004026241E-2</v>
      </c>
      <c r="EQ50" s="77">
        <f t="shared" si="82"/>
        <v>14.604700557067064</v>
      </c>
      <c r="ER50" s="78">
        <v>54.433333333333344</v>
      </c>
      <c r="ES50" s="74">
        <f t="shared" si="102"/>
        <v>2.543171114599696E-2</v>
      </c>
      <c r="ET50" s="95">
        <f t="shared" si="99"/>
        <v>54.256457282592102</v>
      </c>
      <c r="EU50" s="74">
        <f t="shared" si="102"/>
        <v>-2.4818307388555505E-3</v>
      </c>
      <c r="EV50" s="77">
        <f t="shared" si="100"/>
        <v>41.623053788544709</v>
      </c>
      <c r="EW50" s="74">
        <f t="shared" si="101"/>
        <v>-7.9488849753219348E-2</v>
      </c>
      <c r="EX50" s="78">
        <v>8.6066666666666691</v>
      </c>
      <c r="EY50" s="151">
        <v>6.84</v>
      </c>
      <c r="EZ50" s="173">
        <f t="shared" si="105"/>
        <v>4.5956415574135399</v>
      </c>
      <c r="FA50" s="72">
        <f t="shared" si="83"/>
        <v>11.471656609885031</v>
      </c>
      <c r="FB50" s="78">
        <f t="shared" si="84"/>
        <v>1.3348984584836252</v>
      </c>
      <c r="FC50" s="78">
        <f t="shared" si="85"/>
        <v>1.3348984584836252</v>
      </c>
      <c r="FD50" s="78">
        <f t="shared" si="86"/>
        <v>74.912064932335582</v>
      </c>
      <c r="FE50" s="72">
        <f t="shared" si="87"/>
        <v>253.30258713442416</v>
      </c>
    </row>
    <row r="51" spans="1:161" s="67" customFormat="1" ht="13.5" x14ac:dyDescent="0.2">
      <c r="A51" s="68">
        <v>2009</v>
      </c>
      <c r="B51" s="104">
        <v>62465.709000000003</v>
      </c>
      <c r="C51" s="72">
        <v>62765.235000000001</v>
      </c>
      <c r="D51" s="72">
        <f t="shared" si="152"/>
        <v>62615.472000000002</v>
      </c>
      <c r="E51" s="80">
        <v>62615.472000000002</v>
      </c>
      <c r="F51" s="117">
        <v>78.117000000000004</v>
      </c>
      <c r="G51" s="72">
        <f t="shared" si="50"/>
        <v>48913.32826224</v>
      </c>
      <c r="H51" s="72">
        <v>26986.638149999999</v>
      </c>
      <c r="I51" s="84">
        <v>83.2</v>
      </c>
      <c r="J51" s="84">
        <v>35.700000000000003</v>
      </c>
      <c r="K51" s="67">
        <f t="shared" si="51"/>
        <v>-650</v>
      </c>
      <c r="L51" s="102">
        <v>9633</v>
      </c>
      <c r="M51" s="67">
        <f t="shared" si="52"/>
        <v>651</v>
      </c>
      <c r="N51" s="102">
        <v>17233</v>
      </c>
      <c r="O51" s="68">
        <f t="shared" si="0"/>
        <v>26866</v>
      </c>
      <c r="P51" s="110">
        <f t="shared" si="53"/>
        <v>0.35855728429985856</v>
      </c>
      <c r="Q51" s="110">
        <f t="shared" si="54"/>
        <v>0.64144271570014144</v>
      </c>
      <c r="R51" s="77">
        <f>100*(L51/L50-1)</f>
        <v>-6.3211125158027848</v>
      </c>
      <c r="S51" s="77">
        <f>100*(N51/N50-1)</f>
        <v>3.9259437944759279</v>
      </c>
      <c r="T51" s="77">
        <f t="shared" si="141"/>
        <v>3.7222460036900884E-3</v>
      </c>
      <c r="U51" s="94">
        <f>O51-O50</f>
        <v>1</v>
      </c>
      <c r="V51" s="109">
        <f>O51/C51</f>
        <v>0.42803950307841593</v>
      </c>
      <c r="W51" s="77">
        <f>100*(LN(V51)-LN(V50))</f>
        <v>-0.47463647524590424</v>
      </c>
      <c r="X51" s="74">
        <f t="shared" si="59"/>
        <v>0.9955297080974127</v>
      </c>
      <c r="Y51" s="77">
        <f>100*(LN(X51)-LN(X50))</f>
        <v>-0.91106071776597863</v>
      </c>
      <c r="Z51" s="80">
        <f t="shared" si="2"/>
        <v>22183.89992</v>
      </c>
      <c r="AA51" s="83">
        <f t="shared" si="89"/>
        <v>0.16158940204549221</v>
      </c>
      <c r="AB51" s="110">
        <f t="shared" si="3"/>
        <v>0.35344247368786241</v>
      </c>
      <c r="AC51" s="83">
        <f t="shared" si="89"/>
        <v>-0.31639813719077647</v>
      </c>
      <c r="AD51" s="74">
        <f>Z51/H51</f>
        <v>0.82203273326210891</v>
      </c>
      <c r="AE51" s="83">
        <f t="shared" si="136"/>
        <v>-0.75049360360794903</v>
      </c>
      <c r="AF51" s="80">
        <f t="shared" si="140"/>
        <v>14097</v>
      </c>
      <c r="AG51" s="80">
        <v>16753</v>
      </c>
      <c r="AH51" s="80">
        <v>30850</v>
      </c>
      <c r="AI51" s="80">
        <f t="shared" ref="AI51:AK58" si="154">AF52</f>
        <v>13592</v>
      </c>
      <c r="AJ51" s="80">
        <f t="shared" si="154"/>
        <v>17458</v>
      </c>
      <c r="AK51" s="80">
        <f t="shared" si="154"/>
        <v>31050</v>
      </c>
      <c r="AL51" s="80">
        <f t="shared" si="153"/>
        <v>13844.5</v>
      </c>
      <c r="AM51" s="72">
        <f t="shared" si="153"/>
        <v>17105.5</v>
      </c>
      <c r="AN51" s="80">
        <f t="shared" si="153"/>
        <v>30950</v>
      </c>
      <c r="AO51" s="110">
        <f>AK51/C51</f>
        <v>0.49470060934209836</v>
      </c>
      <c r="AP51" s="110">
        <f>AN51/D51</f>
        <v>0.49428677947201294</v>
      </c>
      <c r="AQ51" s="74">
        <f>AN51/H51</f>
        <v>1.1468638601062653</v>
      </c>
      <c r="AR51" s="68">
        <v>2269011</v>
      </c>
      <c r="AS51" s="67">
        <v>1051463.202</v>
      </c>
      <c r="AT51" s="77">
        <f t="shared" si="63"/>
        <v>-1.4189876245391475</v>
      </c>
      <c r="AU51" s="72">
        <v>1063916.054</v>
      </c>
      <c r="AV51" s="72">
        <f t="shared" si="10"/>
        <v>1063.916054</v>
      </c>
      <c r="AW51" s="78">
        <f>AU51/C51</f>
        <v>16.950722067717901</v>
      </c>
      <c r="AX51" s="74">
        <f t="shared" si="146"/>
        <v>-4.0444578981237989E-3</v>
      </c>
      <c r="AY51" s="78">
        <f t="shared" si="65"/>
        <v>39.423808482050589</v>
      </c>
      <c r="AZ51" s="74">
        <f t="shared" si="147"/>
        <v>-8.408700323324414E-3</v>
      </c>
      <c r="BA51" s="79">
        <f t="shared" si="67"/>
        <v>0.16237974812565037</v>
      </c>
      <c r="BB51" s="72">
        <v>1255298.209</v>
      </c>
      <c r="BC51" s="115">
        <f t="shared" si="106"/>
        <v>1270159.0701204089</v>
      </c>
      <c r="BD51" s="82">
        <f t="shared" si="142"/>
        <v>1.6110321937103489</v>
      </c>
      <c r="BE51" s="115">
        <f t="shared" si="107"/>
        <v>20236.665570047</v>
      </c>
      <c r="BF51" s="81">
        <f t="shared" si="108"/>
        <v>47066.22081122057</v>
      </c>
      <c r="BG51" s="72">
        <v>1939.0170000000001</v>
      </c>
      <c r="BH51" s="77">
        <f t="shared" si="103"/>
        <v>-2.8475471964431898</v>
      </c>
      <c r="BI51" s="130">
        <f t="shared" si="109"/>
        <v>1959.9548013993615</v>
      </c>
      <c r="BJ51" s="77">
        <f>100*(BI51/BI50-1)</f>
        <v>-2.9413359191097999</v>
      </c>
      <c r="BK51" s="83">
        <f t="shared" si="110"/>
        <v>31.226757956046235</v>
      </c>
      <c r="BL51" s="83">
        <f t="shared" si="111"/>
        <v>72.626860393107606</v>
      </c>
      <c r="BM51" s="80">
        <v>28482.134999999998</v>
      </c>
      <c r="BN51" s="72">
        <f t="shared" si="112"/>
        <v>12552.665015727116</v>
      </c>
      <c r="BO51" s="83">
        <v>99.503</v>
      </c>
      <c r="BP51" s="114">
        <f t="shared" si="113"/>
        <v>100.68096731761611</v>
      </c>
      <c r="BQ51" s="115">
        <f t="shared" si="114"/>
        <v>12615.363371684389</v>
      </c>
      <c r="BR51" s="83">
        <v>96.715000000000003</v>
      </c>
      <c r="BS51" s="114">
        <f t="shared" si="115"/>
        <v>97.859961550136603</v>
      </c>
      <c r="BT51" s="83">
        <v>102.291</v>
      </c>
      <c r="BU51" s="114">
        <f t="shared" si="116"/>
        <v>103.50197308509563</v>
      </c>
      <c r="BV51" s="83">
        <v>98.518000000000001</v>
      </c>
      <c r="BW51" s="114">
        <f t="shared" si="117"/>
        <v>99.684306384701003</v>
      </c>
      <c r="BX51" s="82">
        <f t="shared" si="118"/>
        <v>110.96118757461761</v>
      </c>
      <c r="BY51" s="84">
        <v>98.83</v>
      </c>
      <c r="BZ51" s="77">
        <v>98.931720191485425</v>
      </c>
      <c r="CA51" s="132">
        <v>1.2261500000000001</v>
      </c>
      <c r="CB51" s="88">
        <v>1.0024</v>
      </c>
      <c r="CC51" s="86">
        <f t="shared" si="119"/>
        <v>1.0826271923620934</v>
      </c>
      <c r="CD51" s="86">
        <f t="shared" si="92"/>
        <v>-0.17215707543242109</v>
      </c>
      <c r="CE51" s="86">
        <f>CF51-CF50</f>
        <v>-0.12822163724806135</v>
      </c>
      <c r="CF51" s="86">
        <f>CA51/($BY51/100)</f>
        <v>1.2406657897399576</v>
      </c>
      <c r="CG51" s="86">
        <f t="shared" si="148"/>
        <v>-0.24871575347560304</v>
      </c>
      <c r="CH51" s="86">
        <f t="shared" si="149"/>
        <v>1.0142669229990893</v>
      </c>
      <c r="CI51" s="86">
        <f t="shared" si="93"/>
        <v>-0.20807549452070195</v>
      </c>
      <c r="CJ51" s="86">
        <f t="shared" si="120"/>
        <v>1.0954438858262605</v>
      </c>
      <c r="CK51" s="86">
        <f t="shared" si="94"/>
        <v>-0.15962593088974075</v>
      </c>
      <c r="CL51" s="87">
        <v>1502.5</v>
      </c>
      <c r="CM51" s="83">
        <f t="shared" si="71"/>
        <v>98.848684210526315</v>
      </c>
      <c r="CN51" s="83">
        <f t="shared" si="121"/>
        <v>100.0189054037502</v>
      </c>
      <c r="CO51" s="77">
        <f t="shared" si="72"/>
        <v>111.3336384233171</v>
      </c>
      <c r="CP51" s="103">
        <v>1.905</v>
      </c>
      <c r="CQ51" s="74">
        <f t="shared" si="137"/>
        <v>-7.3967354843499256E-2</v>
      </c>
      <c r="CR51" s="137">
        <v>0.95120772946859922</v>
      </c>
      <c r="CS51" s="74">
        <f t="shared" si="138"/>
        <v>-7.100731304552943E-2</v>
      </c>
      <c r="CT51" s="77">
        <f t="shared" si="74"/>
        <v>95.120772946859915</v>
      </c>
      <c r="CU51" s="77">
        <f t="shared" si="122"/>
        <v>96.246861223171024</v>
      </c>
      <c r="CV51" s="78">
        <f t="shared" si="123"/>
        <v>93.340284408329097</v>
      </c>
      <c r="CW51" s="74">
        <f>LN(CV51)-LN(CV50)</f>
        <v>-0.10660764390491728</v>
      </c>
      <c r="CX51" s="88">
        <f t="shared" si="76"/>
        <v>107.13487818671852</v>
      </c>
      <c r="CY51" s="77">
        <f t="shared" si="124"/>
        <v>89.837093999797631</v>
      </c>
      <c r="CZ51" s="77">
        <v>88.786000000000001</v>
      </c>
      <c r="DA51" s="74">
        <f t="shared" si="77"/>
        <v>-0.18026205605848311</v>
      </c>
      <c r="DB51" s="83">
        <v>87.281000000000006</v>
      </c>
      <c r="DC51" s="83">
        <v>89.97</v>
      </c>
      <c r="DD51" s="74">
        <f t="shared" si="78"/>
        <v>1.0943175659602751</v>
      </c>
      <c r="DE51" s="74">
        <f t="shared" si="79"/>
        <v>1.0909309318046603</v>
      </c>
      <c r="DF51" s="109">
        <f t="shared" si="125"/>
        <v>1.0954438858262605</v>
      </c>
      <c r="DG51" s="109">
        <f t="shared" si="126"/>
        <v>1.0920537659975222</v>
      </c>
      <c r="DH51" s="74">
        <f t="shared" si="150"/>
        <v>-0.20807549452070195</v>
      </c>
      <c r="DI51" s="75">
        <f t="shared" si="95"/>
        <v>-0.22885013055020043</v>
      </c>
      <c r="DJ51" s="77">
        <f t="shared" si="151"/>
        <v>-17.390816590110987</v>
      </c>
      <c r="DK51" s="109">
        <f t="shared" si="127"/>
        <v>1.0920537659975222</v>
      </c>
      <c r="DL51" s="83">
        <f t="shared" si="97"/>
        <v>7.3882325670295241</v>
      </c>
      <c r="DM51" s="153">
        <v>31226.14</v>
      </c>
      <c r="DN51" s="153">
        <v>48295.77</v>
      </c>
      <c r="DO51" s="153">
        <v>31226.14</v>
      </c>
      <c r="DP51" s="153">
        <f>DO51-DO50</f>
        <v>477.45999999999913</v>
      </c>
      <c r="DQ51" s="153">
        <v>48295.77</v>
      </c>
      <c r="DR51" s="153">
        <v>31226.14</v>
      </c>
      <c r="DS51" s="153">
        <v>48295.77</v>
      </c>
      <c r="DT51" s="67">
        <v>20931</v>
      </c>
      <c r="EB51" s="101">
        <v>12757.819179459715</v>
      </c>
      <c r="EC51" s="78">
        <v>6.9459825143006846</v>
      </c>
      <c r="ED51" s="67">
        <v>30950</v>
      </c>
      <c r="EE51" s="80">
        <f t="shared" si="144"/>
        <v>26866</v>
      </c>
      <c r="EF51" s="80">
        <f t="shared" si="39"/>
        <v>394854503604.2782</v>
      </c>
      <c r="EG51" s="110">
        <f t="shared" si="81"/>
        <v>1.0826271923620934</v>
      </c>
      <c r="EH51" s="110">
        <f t="shared" si="104"/>
        <v>7.519909547653544</v>
      </c>
      <c r="EI51" s="109">
        <f t="shared" si="128"/>
        <v>1.0954438858262605</v>
      </c>
      <c r="EJ51" s="75">
        <f t="shared" si="129"/>
        <v>7.5199095476535431</v>
      </c>
      <c r="EK51" s="78">
        <f t="shared" si="130"/>
        <v>7.6089340763468014</v>
      </c>
      <c r="EL51" s="80">
        <f t="shared" si="131"/>
        <v>6290.9746709986539</v>
      </c>
      <c r="EM51" s="72">
        <f t="shared" si="132"/>
        <v>14631.481750692916</v>
      </c>
      <c r="EN51" s="153">
        <f t="shared" si="133"/>
        <v>201.0022212159428</v>
      </c>
      <c r="EO51" s="153">
        <f t="shared" si="134"/>
        <v>129.96010830762199</v>
      </c>
      <c r="EP51" s="109">
        <f t="shared" si="135"/>
        <v>6.804025218090208E-2</v>
      </c>
      <c r="EQ51" s="77">
        <f t="shared" si="82"/>
        <v>14.697182446373789</v>
      </c>
      <c r="ER51" s="78">
        <v>55.85</v>
      </c>
      <c r="ES51" s="74">
        <f t="shared" si="102"/>
        <v>2.6025719534598757E-2</v>
      </c>
      <c r="ET51" s="95">
        <f t="shared" si="99"/>
        <v>56.511180815541842</v>
      </c>
      <c r="EU51" s="74">
        <f t="shared" si="102"/>
        <v>4.1556777679127244E-2</v>
      </c>
      <c r="EV51" s="77">
        <f t="shared" si="100"/>
        <v>51.587472025476821</v>
      </c>
      <c r="EW51" s="74">
        <f t="shared" si="101"/>
        <v>0.2393966162971557</v>
      </c>
      <c r="EX51" s="78">
        <v>8.7650000000000006</v>
      </c>
      <c r="EY51" s="151">
        <v>6.92</v>
      </c>
      <c r="EZ51" s="173">
        <f t="shared" si="105"/>
        <v>4.6493917510675002</v>
      </c>
      <c r="FA51" s="72">
        <f t="shared" si="83"/>
        <v>9.3869409742378043</v>
      </c>
      <c r="FB51" s="78">
        <f t="shared" si="84"/>
        <v>1.0866921311638069</v>
      </c>
      <c r="FC51" s="78">
        <f t="shared" si="85"/>
        <v>1.0866921311638069</v>
      </c>
      <c r="FD51" s="78">
        <f t="shared" si="86"/>
        <v>92.022383462833858</v>
      </c>
      <c r="FE51" s="72">
        <f t="shared" si="87"/>
        <v>206.34450997343757</v>
      </c>
    </row>
    <row r="52" spans="1:161" s="159" customFormat="1" ht="13.5" x14ac:dyDescent="0.2">
      <c r="A52" s="159">
        <v>2010</v>
      </c>
      <c r="B52" s="160">
        <v>62765.235000000001</v>
      </c>
      <c r="C52" s="152">
        <v>63070.343999999997</v>
      </c>
      <c r="D52" s="152">
        <f t="shared" si="152"/>
        <v>62917.789499999999</v>
      </c>
      <c r="E52" s="152">
        <v>62917.789499999999</v>
      </c>
      <c r="F52" s="161">
        <v>78.369</v>
      </c>
      <c r="G52" s="152">
        <f t="shared" si="50"/>
        <v>49308.042453255002</v>
      </c>
      <c r="H52" s="152">
        <v>27227.310874999999</v>
      </c>
      <c r="I52" s="162">
        <v>83.5</v>
      </c>
      <c r="J52" s="159">
        <v>35.9</v>
      </c>
      <c r="K52" s="159">
        <f t="shared" si="51"/>
        <v>-513</v>
      </c>
      <c r="L52" s="159">
        <v>9120</v>
      </c>
      <c r="M52" s="159">
        <f t="shared" si="52"/>
        <v>1222</v>
      </c>
      <c r="N52" s="159">
        <v>18455</v>
      </c>
      <c r="O52" s="152">
        <f t="shared" si="0"/>
        <v>27575</v>
      </c>
      <c r="P52" s="163">
        <f t="shared" si="53"/>
        <v>0.33073436083408886</v>
      </c>
      <c r="Q52" s="163">
        <f t="shared" si="54"/>
        <v>0.6692656391659112</v>
      </c>
      <c r="R52" s="164">
        <f>100*(L52/L51-1)</f>
        <v>-5.3254437869822535</v>
      </c>
      <c r="S52" s="164">
        <f>100*(N52/N51-1)</f>
        <v>7.0910462484767622</v>
      </c>
      <c r="T52" s="164">
        <f t="shared" si="141"/>
        <v>2.6048018498745051</v>
      </c>
      <c r="U52" s="159">
        <f>O52-O51</f>
        <v>709</v>
      </c>
      <c r="V52" s="165">
        <f>O52/C52</f>
        <v>0.43721023624034777</v>
      </c>
      <c r="W52" s="164">
        <f>100*(LN(V52)-LN(V51))</f>
        <v>2.1198680968957717</v>
      </c>
      <c r="X52" s="163">
        <f t="shared" si="59"/>
        <v>1.0127698664989808</v>
      </c>
      <c r="Y52" s="164">
        <f>100*(LN(X52)-LN(X51))</f>
        <v>1.7169332833274098</v>
      </c>
      <c r="Z52" s="152">
        <f t="shared" si="2"/>
        <v>22810.5838</v>
      </c>
      <c r="AA52" s="164">
        <f t="shared" si="89"/>
        <v>2.8249490948839551</v>
      </c>
      <c r="AB52" s="163">
        <f>Z52/C52</f>
        <v>0.36166892953683588</v>
      </c>
      <c r="AC52" s="164">
        <f t="shared" si="89"/>
        <v>2.3275232778725341</v>
      </c>
      <c r="AD52" s="163">
        <f>Z52/H52</f>
        <v>0.83778320616100876</v>
      </c>
      <c r="AE52" s="164">
        <f t="shared" si="136"/>
        <v>1.9160396248938394</v>
      </c>
      <c r="AF52" s="152">
        <f t="shared" si="140"/>
        <v>13592</v>
      </c>
      <c r="AG52" s="152">
        <v>17458</v>
      </c>
      <c r="AH52" s="152">
        <v>31050</v>
      </c>
      <c r="AI52" s="152">
        <f t="shared" si="154"/>
        <v>12910</v>
      </c>
      <c r="AJ52" s="152">
        <f t="shared" si="154"/>
        <v>18515</v>
      </c>
      <c r="AK52" s="152">
        <f t="shared" si="154"/>
        <v>31425</v>
      </c>
      <c r="AL52" s="152">
        <f>0.5*(AF52+AI52)</f>
        <v>13251</v>
      </c>
      <c r="AM52" s="152">
        <f>0.5*(AG52+AJ52)</f>
        <v>17986.5</v>
      </c>
      <c r="AN52" s="152">
        <f t="shared" si="153"/>
        <v>31237.5</v>
      </c>
      <c r="AO52" s="163">
        <f>AK52/C52</f>
        <v>0.49825318853501105</v>
      </c>
      <c r="AP52" s="163">
        <f>AN52/D52</f>
        <v>0.4964812058440165</v>
      </c>
      <c r="AQ52" s="163">
        <f>AN52/H52</f>
        <v>1.1472855377973497</v>
      </c>
      <c r="AR52" s="159">
        <v>2210186</v>
      </c>
      <c r="AS52" s="159">
        <v>1082393.7</v>
      </c>
      <c r="AT52" s="164">
        <f t="shared" si="63"/>
        <v>2.9416624320439011</v>
      </c>
      <c r="AU52" s="152">
        <v>1082393.7</v>
      </c>
      <c r="AV52" s="152">
        <f t="shared" si="10"/>
        <v>1082.3936999999999</v>
      </c>
      <c r="AW52" s="166">
        <f>AU52/C52</f>
        <v>17.161690128089361</v>
      </c>
      <c r="AX52" s="163">
        <f t="shared" si="146"/>
        <v>1.2369148738193392E-2</v>
      </c>
      <c r="AY52" s="166">
        <f>AU52/H52</f>
        <v>39.753970010819145</v>
      </c>
      <c r="AZ52" s="163">
        <f t="shared" si="147"/>
        <v>8.3398006025094951E-3</v>
      </c>
      <c r="BA52" s="163">
        <f t="shared" si="67"/>
        <v>0.15792601515756632</v>
      </c>
      <c r="BB52" s="152">
        <v>1285390.2620000001</v>
      </c>
      <c r="BC52" s="167">
        <f t="shared" si="106"/>
        <v>1285390.2620000001</v>
      </c>
      <c r="BD52" s="168">
        <f t="shared" si="142"/>
        <v>1.1991562504173103</v>
      </c>
      <c r="BE52" s="167">
        <f t="shared" si="107"/>
        <v>20380.264011244333</v>
      </c>
      <c r="BF52" s="167">
        <f t="shared" si="108"/>
        <v>47209.592893738169</v>
      </c>
      <c r="BG52" s="152">
        <v>1998.4810000000002</v>
      </c>
      <c r="BH52" s="164">
        <f t="shared" si="103"/>
        <v>3.0667085435558405</v>
      </c>
      <c r="BI52" s="169">
        <f t="shared" si="109"/>
        <v>1998.4810000000004</v>
      </c>
      <c r="BJ52" s="164">
        <v>3.6</v>
      </c>
      <c r="BK52" s="164">
        <f t="shared" si="110"/>
        <v>31.686540349296344</v>
      </c>
      <c r="BL52" s="164">
        <f t="shared" si="111"/>
        <v>73.399867110453314</v>
      </c>
      <c r="BM52" s="152">
        <v>28274.27</v>
      </c>
      <c r="BN52" s="152">
        <f t="shared" si="112"/>
        <v>12792.710658740938</v>
      </c>
      <c r="BO52" s="164">
        <v>100</v>
      </c>
      <c r="BP52" s="168">
        <f t="shared" si="113"/>
        <v>100</v>
      </c>
      <c r="BQ52" s="167">
        <f t="shared" si="114"/>
        <v>12792.710658740938</v>
      </c>
      <c r="BR52" s="164">
        <v>100</v>
      </c>
      <c r="BS52" s="168">
        <f t="shared" si="115"/>
        <v>100</v>
      </c>
      <c r="BT52" s="164">
        <v>100</v>
      </c>
      <c r="BU52" s="168">
        <f t="shared" si="116"/>
        <v>100</v>
      </c>
      <c r="BV52" s="164">
        <v>100</v>
      </c>
      <c r="BW52" s="168">
        <f t="shared" si="117"/>
        <v>100</v>
      </c>
      <c r="BX52" s="168">
        <f t="shared" si="118"/>
        <v>100</v>
      </c>
      <c r="BY52" s="164">
        <v>100</v>
      </c>
      <c r="BZ52" s="164">
        <v>100</v>
      </c>
      <c r="CA52" s="166">
        <v>1.3642745283000002</v>
      </c>
      <c r="CB52" s="166">
        <v>1.1467490566</v>
      </c>
      <c r="CC52" s="170">
        <f t="shared" si="119"/>
        <v>1.2186922044478332</v>
      </c>
      <c r="CD52" s="170">
        <f t="shared" si="92"/>
        <v>0.12568039399497355</v>
      </c>
      <c r="CE52" s="170">
        <f>CF52-CF51</f>
        <v>0.12360873856004262</v>
      </c>
      <c r="CF52" s="170">
        <f>CA52/($BY52/100)</f>
        <v>1.3642745283000002</v>
      </c>
      <c r="CG52" s="170">
        <f t="shared" si="148"/>
        <v>0.13248213360091077</v>
      </c>
      <c r="CH52" s="170">
        <f t="shared" si="149"/>
        <v>1.1467490566</v>
      </c>
      <c r="CI52" s="170">
        <f t="shared" si="93"/>
        <v>0.12324831862157271</v>
      </c>
      <c r="CJ52" s="170">
        <f t="shared" si="120"/>
        <v>1.2186922044478332</v>
      </c>
      <c r="CK52" s="170">
        <f t="shared" si="94"/>
        <v>0.11250993338523241</v>
      </c>
      <c r="CL52" s="164">
        <v>1520</v>
      </c>
      <c r="CM52" s="164">
        <f t="shared" si="71"/>
        <v>100</v>
      </c>
      <c r="CN52" s="164">
        <f t="shared" si="121"/>
        <v>100</v>
      </c>
      <c r="CO52" s="164">
        <f t="shared" si="72"/>
        <v>100</v>
      </c>
      <c r="CP52" s="163">
        <f>CP51*(1+INSEE_NOTAIRES!P27)</f>
        <v>2.0027171152869472</v>
      </c>
      <c r="CQ52" s="163">
        <f t="shared" si="137"/>
        <v>5.0022807620288878E-2</v>
      </c>
      <c r="CR52" s="163">
        <v>1</v>
      </c>
      <c r="CS52" s="163">
        <f t="shared" si="138"/>
        <v>5.1295073641442146E-2</v>
      </c>
      <c r="CT52" s="164">
        <f t="shared" si="74"/>
        <v>100</v>
      </c>
      <c r="CU52" s="164">
        <f t="shared" si="122"/>
        <v>100</v>
      </c>
      <c r="CV52" s="166">
        <f t="shared" si="123"/>
        <v>100</v>
      </c>
      <c r="CW52" s="163">
        <f>LN(CV52)-LN(CV51)</f>
        <v>6.8918398456610852E-2</v>
      </c>
      <c r="CX52" s="166">
        <f t="shared" si="76"/>
        <v>100</v>
      </c>
      <c r="CY52" s="164">
        <f t="shared" si="124"/>
        <v>100</v>
      </c>
      <c r="CZ52" s="164">
        <v>100</v>
      </c>
      <c r="DA52" s="163">
        <f t="shared" si="77"/>
        <v>0.11894120607689995</v>
      </c>
      <c r="DB52" s="164">
        <v>100</v>
      </c>
      <c r="DC52" s="164">
        <v>100</v>
      </c>
      <c r="DD52" s="163">
        <f t="shared" si="78"/>
        <v>1.2186922044478332</v>
      </c>
      <c r="DE52" s="163">
        <f t="shared" si="79"/>
        <v>1.2155630547125131</v>
      </c>
      <c r="DF52" s="165">
        <f t="shared" si="125"/>
        <v>1.2186922044478332</v>
      </c>
      <c r="DG52" s="165">
        <f t="shared" si="126"/>
        <v>1.2155630547125131</v>
      </c>
      <c r="DH52" s="163">
        <f t="shared" si="150"/>
        <v>0.12324831862157271</v>
      </c>
      <c r="DI52" s="165">
        <f t="shared" si="95"/>
        <v>0.12437463848755814</v>
      </c>
      <c r="DJ52" s="164">
        <f t="shared" si="151"/>
        <v>10.661866390399814</v>
      </c>
      <c r="DK52" s="165">
        <f t="shared" si="127"/>
        <v>1.2155630547125131</v>
      </c>
      <c r="DL52" s="164">
        <f t="shared" si="97"/>
        <v>10.130981757131464</v>
      </c>
      <c r="DM52" s="153">
        <v>31572.400000000001</v>
      </c>
      <c r="DN52" s="153">
        <v>48928.65</v>
      </c>
      <c r="DO52" s="153">
        <v>31572.400000000001</v>
      </c>
      <c r="DP52" s="153">
        <f>DO52-DO51</f>
        <v>346.26000000000204</v>
      </c>
      <c r="DQ52" s="153">
        <v>48928.65</v>
      </c>
      <c r="DR52" s="153">
        <v>31572.400000000001</v>
      </c>
      <c r="DS52" s="153">
        <v>48928.65</v>
      </c>
      <c r="DT52" s="159">
        <v>21146</v>
      </c>
      <c r="EB52" s="159">
        <v>12768.728522829348</v>
      </c>
      <c r="EC52" s="166">
        <v>6.9272139813421267</v>
      </c>
      <c r="ED52" s="159">
        <v>31175</v>
      </c>
      <c r="EE52" s="152">
        <f t="shared" si="144"/>
        <v>27575</v>
      </c>
      <c r="EF52" s="152">
        <f t="shared" si="39"/>
        <v>398065111699.2049</v>
      </c>
      <c r="EG52" s="163">
        <f t="shared" si="81"/>
        <v>1.2186922044478332</v>
      </c>
      <c r="EH52" s="163">
        <f t="shared" si="104"/>
        <v>8.4421416776036882</v>
      </c>
      <c r="EI52" s="165">
        <f t="shared" si="128"/>
        <v>1.2186922044478332</v>
      </c>
      <c r="EJ52" s="165">
        <f t="shared" si="129"/>
        <v>8.4421416776036882</v>
      </c>
      <c r="EK52" s="166">
        <f t="shared" si="130"/>
        <v>8.4421416776036882</v>
      </c>
      <c r="EL52" s="152">
        <f t="shared" si="131"/>
        <v>6311.4466554868468</v>
      </c>
      <c r="EM52" s="152">
        <f t="shared" si="132"/>
        <v>14620.067090970286</v>
      </c>
      <c r="EN52" s="153">
        <f t="shared" si="133"/>
        <v>199.7641737720287</v>
      </c>
      <c r="EO52" s="153">
        <f t="shared" si="134"/>
        <v>128.90268584970153</v>
      </c>
      <c r="EP52" s="165">
        <f t="shared" si="135"/>
        <v>6.9272586794385679E-2</v>
      </c>
      <c r="EQ52" s="164">
        <f t="shared" si="82"/>
        <v>14.435724812301174</v>
      </c>
      <c r="ER52" s="166">
        <v>58.5</v>
      </c>
      <c r="ES52" s="163">
        <f t="shared" si="102"/>
        <v>4.7448522829006246E-2</v>
      </c>
      <c r="ET52" s="171">
        <f t="shared" si="99"/>
        <v>58.5</v>
      </c>
      <c r="EU52" s="163">
        <f t="shared" si="102"/>
        <v>3.5193375111906899E-2</v>
      </c>
      <c r="EV52" s="164">
        <f t="shared" si="100"/>
        <v>48.00227636354272</v>
      </c>
      <c r="EW52" s="163">
        <f t="shared" si="101"/>
        <v>-6.9497409374189245E-2</v>
      </c>
      <c r="EX52" s="166">
        <v>8.86</v>
      </c>
      <c r="EY52" s="172">
        <v>6.96</v>
      </c>
      <c r="EZ52" s="173">
        <f t="shared" si="105"/>
        <v>4.67626684789448</v>
      </c>
      <c r="FA52" s="152">
        <f t="shared" si="83"/>
        <v>10.5059672797227</v>
      </c>
      <c r="FB52" s="166">
        <f t="shared" si="84"/>
        <v>1.2129513904603</v>
      </c>
      <c r="FC52" s="166">
        <f t="shared" si="85"/>
        <v>1.2129513904603</v>
      </c>
      <c r="FD52" s="166">
        <f t="shared" si="86"/>
        <v>82.443534659745296</v>
      </c>
      <c r="FE52" s="152">
        <f t="shared" si="87"/>
        <v>230.51596228115213</v>
      </c>
    </row>
    <row r="53" spans="1:161" s="68" customFormat="1" ht="13.5" x14ac:dyDescent="0.2">
      <c r="A53" s="68">
        <v>2011</v>
      </c>
      <c r="B53" s="116">
        <v>63070.343999999997</v>
      </c>
      <c r="C53" s="80">
        <v>63375.970999999998</v>
      </c>
      <c r="D53" s="80">
        <f t="shared" si="152"/>
        <v>63223.157500000001</v>
      </c>
      <c r="E53" s="80">
        <v>63223.157500000001</v>
      </c>
      <c r="F53" s="117">
        <v>78.622</v>
      </c>
      <c r="G53" s="72">
        <f t="shared" si="50"/>
        <v>49707.310889649998</v>
      </c>
      <c r="H53" s="80">
        <v>27457.46141</v>
      </c>
      <c r="I53" s="120">
        <v>83.5</v>
      </c>
      <c r="J53" s="68">
        <v>35.299999999999997</v>
      </c>
      <c r="K53" s="68">
        <f t="shared" si="51"/>
        <v>-670</v>
      </c>
      <c r="L53" s="68">
        <v>8450</v>
      </c>
      <c r="M53" s="68">
        <f t="shared" si="52"/>
        <v>158</v>
      </c>
      <c r="N53" s="68">
        <v>18613</v>
      </c>
      <c r="O53" s="68">
        <f t="shared" si="0"/>
        <v>27063</v>
      </c>
      <c r="P53" s="110">
        <f t="shared" si="53"/>
        <v>0.31223441599231422</v>
      </c>
      <c r="Q53" s="110">
        <f t="shared" si="54"/>
        <v>0.68776558400768573</v>
      </c>
      <c r="R53" s="83">
        <f>100*(L53/L52-1)</f>
        <v>-7.3464912280701729</v>
      </c>
      <c r="S53" s="83">
        <f>100*(N53/N52-1)</f>
        <v>0.85613654836087516</v>
      </c>
      <c r="T53" s="83">
        <f t="shared" si="141"/>
        <v>-1.8742083796954745</v>
      </c>
      <c r="U53" s="68">
        <f>O53-O52</f>
        <v>-512</v>
      </c>
      <c r="V53" s="109">
        <f>O53/C53</f>
        <v>0.42702304316568185</v>
      </c>
      <c r="W53" s="83">
        <f>100*(LN(V53)-LN(V52))</f>
        <v>-2.3576192172082844</v>
      </c>
      <c r="X53" s="110">
        <f t="shared" si="59"/>
        <v>0.98563372614424083</v>
      </c>
      <c r="Y53" s="83">
        <f>100*(LN(X53)-LN(X52))</f>
        <v>-2.7159487190258793</v>
      </c>
      <c r="Z53" s="80">
        <f t="shared" si="2"/>
        <v>22413.963</v>
      </c>
      <c r="AA53" s="83">
        <f t="shared" si="89"/>
        <v>-1.7387577778697705</v>
      </c>
      <c r="AB53" s="110">
        <f>Z53/C53</f>
        <v>0.35366658129782341</v>
      </c>
      <c r="AC53" s="83">
        <f t="shared" si="89"/>
        <v>-2.2126170056301242</v>
      </c>
      <c r="AD53" s="110">
        <f>Z53/H53</f>
        <v>0.81631592467018244</v>
      </c>
      <c r="AE53" s="83">
        <f t="shared" si="136"/>
        <v>-2.562391001986819</v>
      </c>
      <c r="AF53" s="68">
        <v>12910</v>
      </c>
      <c r="AG53" s="68">
        <v>18515</v>
      </c>
      <c r="AH53" s="80">
        <f>AG53+AF53</f>
        <v>31425</v>
      </c>
      <c r="AI53" s="80">
        <f t="shared" si="154"/>
        <v>12454</v>
      </c>
      <c r="AJ53" s="80">
        <f t="shared" si="154"/>
        <v>19121</v>
      </c>
      <c r="AK53" s="80">
        <f t="shared" si="154"/>
        <v>31575</v>
      </c>
      <c r="AL53" s="80">
        <f>0.5*(AF53+AI53)</f>
        <v>12682</v>
      </c>
      <c r="AM53" s="80">
        <f>0.5*(AG53+AJ53)</f>
        <v>18818</v>
      </c>
      <c r="AN53" s="80">
        <f t="shared" si="153"/>
        <v>31500</v>
      </c>
      <c r="AO53" s="110">
        <f>AK53/C53</f>
        <v>0.49821721863638191</v>
      </c>
      <c r="AP53" s="110">
        <f>AN53/D53</f>
        <v>0.49823516011518404</v>
      </c>
      <c r="AQ53" s="110">
        <f>AN53/H53</f>
        <v>1.1472291458280155</v>
      </c>
      <c r="AR53" s="68">
        <v>2160928</v>
      </c>
      <c r="AS53" s="68">
        <v>1106881</v>
      </c>
      <c r="AT53" s="83">
        <f t="shared" si="63"/>
        <v>2.2623283930791604</v>
      </c>
      <c r="AU53" s="80">
        <v>1087130</v>
      </c>
      <c r="AV53" s="80">
        <f t="shared" si="10"/>
        <v>1087.1300000000001</v>
      </c>
      <c r="AW53" s="88">
        <f>AU53/C53</f>
        <v>17.153662229490735</v>
      </c>
      <c r="AX53" s="110">
        <f t="shared" si="146"/>
        <v>-4.6788962919164234E-4</v>
      </c>
      <c r="AY53" s="88">
        <f>AU53/H53</f>
        <v>39.593245120762241</v>
      </c>
      <c r="AZ53" s="110">
        <f t="shared" si="147"/>
        <v>-4.0511846473676449E-3</v>
      </c>
      <c r="BA53" s="110">
        <f t="shared" si="67"/>
        <v>0.15594691442843689</v>
      </c>
      <c r="BB53" s="80">
        <v>1311387.8959999999</v>
      </c>
      <c r="BC53" s="115">
        <f t="shared" si="106"/>
        <v>1287985.2048282702</v>
      </c>
      <c r="BD53" s="114">
        <f t="shared" si="142"/>
        <v>0.20187976406733643</v>
      </c>
      <c r="BE53" s="115">
        <f t="shared" si="107"/>
        <v>20322.926568308834</v>
      </c>
      <c r="BF53" s="115">
        <f t="shared" si="108"/>
        <v>46908.386234103433</v>
      </c>
      <c r="BG53" s="80">
        <v>2059.2839999999997</v>
      </c>
      <c r="BH53" s="83">
        <f t="shared" si="103"/>
        <v>3.0424607489387911</v>
      </c>
      <c r="BI53" s="130">
        <f t="shared" si="109"/>
        <v>2040.0342379999997</v>
      </c>
      <c r="BJ53" s="83">
        <f>100*(BI53/BI52-1)</f>
        <v>2.0792410836029562</v>
      </c>
      <c r="BK53" s="83">
        <f t="shared" si="110"/>
        <v>32.189396167200336</v>
      </c>
      <c r="BL53" s="83">
        <f t="shared" si="111"/>
        <v>74.297991629226871</v>
      </c>
      <c r="BM53" s="80">
        <v>28925.584999999999</v>
      </c>
      <c r="BN53" s="80">
        <f t="shared" si="112"/>
        <v>13385.723633550031</v>
      </c>
      <c r="BO53" s="83">
        <v>103.69499999999999</v>
      </c>
      <c r="BP53" s="114">
        <f t="shared" si="113"/>
        <v>101.84448569492325</v>
      </c>
      <c r="BQ53" s="115">
        <f t="shared" si="114"/>
        <v>12908.745487776681</v>
      </c>
      <c r="BR53" s="83">
        <v>104.81100000000001</v>
      </c>
      <c r="BS53" s="114">
        <f t="shared" si="115"/>
        <v>102.9405698459</v>
      </c>
      <c r="BT53" s="83">
        <v>100.626</v>
      </c>
      <c r="BU53" s="114">
        <f t="shared" si="116"/>
        <v>98.83025427973719</v>
      </c>
      <c r="BV53" s="83">
        <v>100.92700000000001</v>
      </c>
      <c r="BW53" s="114">
        <f t="shared" si="117"/>
        <v>99.12588271113863</v>
      </c>
      <c r="BX53" s="82">
        <f t="shared" si="118"/>
        <v>88.560422589589706</v>
      </c>
      <c r="BY53" s="84">
        <v>101.81699999999999</v>
      </c>
      <c r="BZ53" s="83">
        <v>100.94359994756127</v>
      </c>
      <c r="CA53" s="132">
        <v>1.518481730765</v>
      </c>
      <c r="CB53" s="88">
        <v>1.3354423076899999</v>
      </c>
      <c r="CC53" s="86">
        <f t="shared" si="119"/>
        <v>1.3925935150573927</v>
      </c>
      <c r="CD53" s="86">
        <f t="shared" si="92"/>
        <v>0.14269502174123683</v>
      </c>
      <c r="CE53" s="86">
        <f>CF53-CF52</f>
        <v>0.1271087679717422</v>
      </c>
      <c r="CF53" s="86">
        <f>CA53/($BY53/100)</f>
        <v>1.4913832962717424</v>
      </c>
      <c r="CG53" s="86">
        <f t="shared" si="148"/>
        <v>0.16486129107278535</v>
      </c>
      <c r="CH53" s="86">
        <f t="shared" si="149"/>
        <v>1.3116103476727854</v>
      </c>
      <c r="CI53" s="86">
        <f t="shared" si="93"/>
        <v>0.1490494448419637</v>
      </c>
      <c r="CJ53" s="86">
        <f t="shared" si="120"/>
        <v>1.3677416492897969</v>
      </c>
      <c r="CK53" s="86">
        <f t="shared" si="94"/>
        <v>0.12230278022455665</v>
      </c>
      <c r="CL53" s="83">
        <v>1602</v>
      </c>
      <c r="CM53" s="83">
        <f t="shared" si="71"/>
        <v>105.39473684210525</v>
      </c>
      <c r="CN53" s="83">
        <f t="shared" si="121"/>
        <v>103.51388947042759</v>
      </c>
      <c r="CO53" s="83">
        <f t="shared" si="72"/>
        <v>92.480727986123028</v>
      </c>
      <c r="CP53" s="110">
        <f>CP52*(1+INSEE_NOTAIRES!P28)</f>
        <v>2.1217191467750123</v>
      </c>
      <c r="CQ53" s="110">
        <f t="shared" si="137"/>
        <v>5.7721862158473525E-2</v>
      </c>
      <c r="CR53" s="137">
        <v>1.0594202898550724</v>
      </c>
      <c r="CS53" s="110">
        <f t="shared" si="138"/>
        <v>5.9420289855072417E-2</v>
      </c>
      <c r="CT53" s="77">
        <f t="shared" si="74"/>
        <v>105.94202898550724</v>
      </c>
      <c r="CU53" s="83">
        <f t="shared" si="122"/>
        <v>104.05141477897328</v>
      </c>
      <c r="CV53" s="88">
        <f t="shared" si="123"/>
        <v>107.57203830369357</v>
      </c>
      <c r="CW53" s="74">
        <f>LN(CV53)-LN(CV52)</f>
        <v>7.2990560902250756E-2</v>
      </c>
      <c r="CX53" s="88">
        <f t="shared" si="76"/>
        <v>92.960960466030713</v>
      </c>
      <c r="CY53" s="77">
        <f t="shared" si="124"/>
        <v>111.93022776157224</v>
      </c>
      <c r="CZ53" s="83">
        <v>113.964</v>
      </c>
      <c r="DA53" s="74">
        <f t="shared" si="77"/>
        <v>0.13071242306072417</v>
      </c>
      <c r="DB53" s="83">
        <v>116.623</v>
      </c>
      <c r="DC53" s="83">
        <v>110.95699999999999</v>
      </c>
      <c r="DD53" s="74">
        <f t="shared" si="78"/>
        <v>1.3795758381718353</v>
      </c>
      <c r="DE53" s="74">
        <f t="shared" si="79"/>
        <v>1.3770482657540097</v>
      </c>
      <c r="DF53" s="109">
        <f t="shared" si="125"/>
        <v>1.3677416492897969</v>
      </c>
      <c r="DG53" s="109">
        <f t="shared" si="126"/>
        <v>1.3652357587314079</v>
      </c>
      <c r="DH53" s="74">
        <f t="shared" si="150"/>
        <v>0.1490494448419637</v>
      </c>
      <c r="DI53" s="75">
        <f t="shared" si="95"/>
        <v>0.16088363372400205</v>
      </c>
      <c r="DJ53" s="77">
        <f t="shared" si="151"/>
        <v>11.538262829313636</v>
      </c>
      <c r="DK53" s="109">
        <f t="shared" si="127"/>
        <v>1.3652357587314079</v>
      </c>
      <c r="DL53" s="83">
        <f t="shared" si="97"/>
        <v>10.23130349708015</v>
      </c>
      <c r="DM53" s="153">
        <v>32244.32</v>
      </c>
      <c r="DN53" s="153">
        <v>49416.955000000002</v>
      </c>
      <c r="DO53" s="153">
        <v>32244.32</v>
      </c>
      <c r="DP53" s="153">
        <f t="shared" ref="DP53:DP56" si="155">DO53-DO52</f>
        <v>671.91999999999825</v>
      </c>
      <c r="DQ53" s="153">
        <v>49416.955000000002</v>
      </c>
      <c r="DR53" s="153">
        <v>32244.32</v>
      </c>
      <c r="DS53" s="153">
        <v>49416.955000000002</v>
      </c>
      <c r="EB53" s="68">
        <v>12692.082858688451</v>
      </c>
      <c r="EC53" s="78">
        <v>6.7800784095415363</v>
      </c>
      <c r="ED53" s="68">
        <v>31425</v>
      </c>
      <c r="EE53" s="80">
        <f t="shared" si="144"/>
        <v>27063</v>
      </c>
      <c r="EF53" s="80">
        <f t="shared" si="39"/>
        <v>398848703834.28455</v>
      </c>
      <c r="EG53" s="110">
        <f t="shared" si="81"/>
        <v>1.3925935150573927</v>
      </c>
      <c r="EH53" s="110">
        <f t="shared" si="104"/>
        <v>9.4418932247081848</v>
      </c>
      <c r="EI53" s="109">
        <f t="shared" si="128"/>
        <v>1.3677416492897969</v>
      </c>
      <c r="EJ53" s="75">
        <f t="shared" si="129"/>
        <v>9.4418932247081813</v>
      </c>
      <c r="EK53" s="78">
        <f t="shared" si="130"/>
        <v>9.2733956261804842</v>
      </c>
      <c r="EL53" s="80">
        <f t="shared" si="131"/>
        <v>6293.374248014039</v>
      </c>
      <c r="EM53" s="72">
        <f t="shared" si="132"/>
        <v>14526.058978235473</v>
      </c>
      <c r="EN53" s="153">
        <f t="shared" si="133"/>
        <v>196.5492558069142</v>
      </c>
      <c r="EO53" s="153">
        <f t="shared" si="134"/>
        <v>128.247422367485</v>
      </c>
      <c r="EP53" s="109">
        <f t="shared" si="135"/>
        <v>6.7852796661573844E-2</v>
      </c>
      <c r="EQ53" s="77">
        <f t="shared" si="82"/>
        <v>14.737786048637792</v>
      </c>
      <c r="ER53" s="78">
        <v>62</v>
      </c>
      <c r="ES53" s="74">
        <f t="shared" si="102"/>
        <v>5.9829059829059839E-2</v>
      </c>
      <c r="ET53" s="95">
        <f t="shared" si="99"/>
        <v>60.893563943152913</v>
      </c>
      <c r="EU53" s="110">
        <f t="shared" si="102"/>
        <v>4.0915622959878828E-2</v>
      </c>
      <c r="EV53" s="77">
        <f t="shared" si="100"/>
        <v>44.521247104504006</v>
      </c>
      <c r="EW53" s="110">
        <f t="shared" si="101"/>
        <v>-7.2518003785389751E-2</v>
      </c>
      <c r="EX53" s="88">
        <v>9</v>
      </c>
      <c r="EY53" s="151">
        <v>7.23</v>
      </c>
      <c r="EZ53" s="173">
        <f t="shared" si="105"/>
        <v>4.857673751476594</v>
      </c>
      <c r="FA53" s="80">
        <f t="shared" si="83"/>
        <v>11.556792656077947</v>
      </c>
      <c r="FB53" s="78">
        <f t="shared" si="84"/>
        <v>1.3059326728503713</v>
      </c>
      <c r="FC53" s="78">
        <f t="shared" si="85"/>
        <v>1.3059326728503713</v>
      </c>
      <c r="FD53" s="88">
        <f t="shared" si="86"/>
        <v>76.573625944848089</v>
      </c>
      <c r="FE53" s="80">
        <f t="shared" si="87"/>
        <v>246.69687031669892</v>
      </c>
    </row>
    <row r="54" spans="1:161" ht="13.5" x14ac:dyDescent="0.2">
      <c r="A54" s="68">
        <v>2012</v>
      </c>
      <c r="B54" s="60">
        <v>63375.970999999998</v>
      </c>
      <c r="C54" s="108">
        <v>63697.864999999998</v>
      </c>
      <c r="D54" s="80">
        <f t="shared" si="152"/>
        <v>63536.917999999998</v>
      </c>
      <c r="E54" s="108">
        <v>63536.917999999998</v>
      </c>
      <c r="F54" s="117">
        <v>78.878</v>
      </c>
      <c r="G54" s="72">
        <f t="shared" si="50"/>
        <v>50116.65018004</v>
      </c>
      <c r="H54" s="108">
        <v>27686.358899999999</v>
      </c>
      <c r="I54" s="120">
        <v>83.3</v>
      </c>
      <c r="J54" s="60">
        <v>35.199999999999996</v>
      </c>
      <c r="K54" s="80">
        <f t="shared" si="51"/>
        <v>-643.00289328253621</v>
      </c>
      <c r="L54" s="108">
        <v>7806.9971067174638</v>
      </c>
      <c r="M54" s="80">
        <f t="shared" si="52"/>
        <v>351.49238358921866</v>
      </c>
      <c r="N54" s="108">
        <v>18964.492383589219</v>
      </c>
      <c r="O54" s="80">
        <f t="shared" si="0"/>
        <v>26771.489490306682</v>
      </c>
      <c r="P54" s="110">
        <f t="shared" ref="P54:P56" si="156">L54/O54</f>
        <v>0.29161609067527572</v>
      </c>
      <c r="Q54" s="110">
        <f t="shared" ref="Q54:Q56" si="157">N54/O54</f>
        <v>0.70838390932472428</v>
      </c>
      <c r="R54" s="83">
        <f t="shared" ref="R54:R56" si="158">100*(L54/L53-1)</f>
        <v>-7.6095016956513106</v>
      </c>
      <c r="S54" s="83">
        <f t="shared" ref="S54:S56" si="159">100*(N54/N53-1)</f>
        <v>1.8884241314630623</v>
      </c>
      <c r="T54" s="83">
        <f t="shared" ref="T54:T56" si="160">100*(LN(O54)-LN(O53))</f>
        <v>-1.0829985077798199</v>
      </c>
      <c r="U54" s="80">
        <f t="shared" ref="U54:U56" si="161">O54-O53</f>
        <v>-291.51050969331845</v>
      </c>
      <c r="V54" s="109">
        <f t="shared" ref="V54:V56" si="162">O54/C54</f>
        <v>0.42028864688489453</v>
      </c>
      <c r="W54" s="83">
        <f t="shared" ref="W54:W56" si="163">100*(LN(V54)-LN(V53))</f>
        <v>-1.5896247317722545</v>
      </c>
      <c r="X54" s="110">
        <f t="shared" ref="X54:X56" si="164">O54/H54</f>
        <v>0.9669559506543377</v>
      </c>
      <c r="Y54" s="83">
        <f t="shared" ref="Y54:Y56" si="165">100*(LN(X54)-LN(X53))</f>
        <v>-1.9131869255236169</v>
      </c>
      <c r="Z54" s="80">
        <f t="shared" ref="Z54:Z56" si="166">0.845*N54+L54*0.755*1.048</f>
        <v>22202.204454852013</v>
      </c>
      <c r="AA54" s="83">
        <f t="shared" ref="AA54:AA56" si="167">100*(Z54/Z53-1)</f>
        <v>-0.94476173244323336</v>
      </c>
      <c r="AB54" s="110">
        <f t="shared" ref="AB54:AB56" si="168">Z54/C54</f>
        <v>0.34855492338482641</v>
      </c>
      <c r="AC54" s="83">
        <f t="shared" ref="AC54:AC56" si="169">100*(AB54/AB53-1)</f>
        <v>-1.4453324637683118</v>
      </c>
      <c r="AD54" s="110">
        <f t="shared" ref="AD54:AD56" si="170">Z54/H54</f>
        <v>0.80191853811632896</v>
      </c>
      <c r="AE54" s="83">
        <f t="shared" ref="AE54:AE56" si="171">100*(AD54/AD53-1)</f>
        <v>-1.763702767365527</v>
      </c>
      <c r="AF54" s="108">
        <v>12454</v>
      </c>
      <c r="AG54" s="108">
        <v>19121</v>
      </c>
      <c r="AH54" s="80">
        <f t="shared" ref="AH54:AH59" si="172">AG54+AF54</f>
        <v>31575</v>
      </c>
      <c r="AI54" s="80">
        <f t="shared" si="154"/>
        <v>12114</v>
      </c>
      <c r="AJ54" s="80">
        <f t="shared" si="154"/>
        <v>19511</v>
      </c>
      <c r="AK54" s="80">
        <f t="shared" si="154"/>
        <v>31625</v>
      </c>
      <c r="AL54" s="80">
        <f t="shared" ref="AL54:AL58" si="173">0.5*(AF54+AI54)</f>
        <v>12284</v>
      </c>
      <c r="AM54" s="80">
        <f t="shared" ref="AM54:AM58" si="174">0.5*(AG54+AJ54)</f>
        <v>19316</v>
      </c>
      <c r="AN54" s="80">
        <f t="shared" si="153"/>
        <v>31600</v>
      </c>
      <c r="AO54" s="110">
        <f t="shared" ref="AO54:AO55" si="175">AK54/C54</f>
        <v>0.49648445830955246</v>
      </c>
      <c r="AP54" s="110">
        <f t="shared" ref="AP54:AP55" si="176">AN54/D54</f>
        <v>0.49734864382310773</v>
      </c>
      <c r="AQ54" s="110">
        <f t="shared" ref="AQ54:AQ55" si="177">AN54/H54</f>
        <v>1.1413562944168871</v>
      </c>
      <c r="AR54" s="60">
        <v>1857013</v>
      </c>
      <c r="AS54" s="60">
        <v>1119646</v>
      </c>
      <c r="AT54" s="83">
        <f t="shared" si="63"/>
        <v>1.1532405019148317</v>
      </c>
      <c r="AU54" s="60">
        <v>1084401.57</v>
      </c>
      <c r="AV54" s="80">
        <f t="shared" ref="AV54:AV56" si="178">AU54/1000</f>
        <v>1084.40157</v>
      </c>
      <c r="AW54" s="88">
        <f t="shared" ref="AW54:AW56" si="179">AU54/C54</f>
        <v>17.024143116884687</v>
      </c>
      <c r="AX54" s="110">
        <f t="shared" ref="AX54:AX56" si="180">LN(AW54)-LN(AW53)</f>
        <v>-7.5791719976860961E-3</v>
      </c>
      <c r="AY54" s="88">
        <f t="shared" ref="AY54:AY56" si="181">AU54/H54</f>
        <v>39.167359417565017</v>
      </c>
      <c r="AZ54" s="110">
        <f t="shared" ref="AZ54:AZ56" si="182">LN(AY54)-LN(AY53)</f>
        <v>-1.0814793935199685E-2</v>
      </c>
      <c r="BA54" s="110">
        <f t="shared" si="67"/>
        <v>0.15069850315934263</v>
      </c>
      <c r="BB54" s="60">
        <v>1318313.9369999999</v>
      </c>
      <c r="BC54" s="115">
        <f t="shared" si="106"/>
        <v>1276817.3723970943</v>
      </c>
      <c r="BD54" s="114">
        <f t="shared" si="142"/>
        <v>-0.86707769540450563</v>
      </c>
      <c r="BE54" s="115">
        <f t="shared" ref="BE54:BE56" si="183">1000*BC54/C54</f>
        <v>20044.900600626006</v>
      </c>
      <c r="BF54" s="115">
        <f t="shared" ref="BF54:BF56" si="184">1000*BC54/H54</f>
        <v>46117.200785008041</v>
      </c>
      <c r="BG54" s="108">
        <v>2086.9290000000001</v>
      </c>
      <c r="BH54" s="83">
        <f t="shared" si="103"/>
        <v>1.3424568927841163</v>
      </c>
      <c r="BI54" s="130">
        <f t="shared" si="109"/>
        <v>2043.7607803483561</v>
      </c>
      <c r="BJ54" s="83">
        <f t="shared" ref="BJ54:BJ56" si="185">100*(BI54/BI53-1)</f>
        <v>0.18267057870606784</v>
      </c>
      <c r="BK54" s="83">
        <f t="shared" si="110"/>
        <v>32.08523206151974</v>
      </c>
      <c r="BL54" s="83">
        <f t="shared" si="111"/>
        <v>73.818330092815359</v>
      </c>
      <c r="BM54" s="108">
        <v>25359.8</v>
      </c>
      <c r="BN54" s="80">
        <f t="shared" si="112"/>
        <v>13656.23180882417</v>
      </c>
      <c r="BO54" s="89">
        <v>107.107</v>
      </c>
      <c r="BP54" s="114">
        <f t="shared" si="113"/>
        <v>103.73559322033898</v>
      </c>
      <c r="BQ54" s="115">
        <f t="shared" si="114"/>
        <v>12750.083382808005</v>
      </c>
      <c r="BR54" s="89">
        <v>108</v>
      </c>
      <c r="BS54" s="114">
        <f t="shared" si="115"/>
        <v>104.60048426150121</v>
      </c>
      <c r="BT54" s="89">
        <v>101.13200000000001</v>
      </c>
      <c r="BU54" s="114">
        <f t="shared" si="116"/>
        <v>97.948668280871672</v>
      </c>
      <c r="BV54" s="89">
        <v>102.60899999999999</v>
      </c>
      <c r="BW54" s="114">
        <f t="shared" si="117"/>
        <v>99.379176755447943</v>
      </c>
      <c r="BX54" s="82">
        <f t="shared" si="118"/>
        <v>85.803522151422399</v>
      </c>
      <c r="BY54" s="84">
        <v>103.25</v>
      </c>
      <c r="BZ54" s="83">
        <v>102.11219532475255</v>
      </c>
      <c r="CA54" s="134">
        <v>1.5920000000000001</v>
      </c>
      <c r="CB54" s="95">
        <v>1.3958000000000002</v>
      </c>
      <c r="CC54" s="86">
        <f t="shared" si="119"/>
        <v>1.453015076990489</v>
      </c>
      <c r="CD54" s="86">
        <f t="shared" ref="CD54:CD56" si="186">CC54/CC53-1</f>
        <v>4.3387794988120509E-2</v>
      </c>
      <c r="CE54" s="86">
        <f t="shared" ref="CE54:CE56" si="187">CF54-CF53</f>
        <v>5.0505323582979322E-2</v>
      </c>
      <c r="CF54" s="86">
        <f t="shared" ref="CF54:CF56" si="188">CA54/($BY54/100)</f>
        <v>1.5418886198547217</v>
      </c>
      <c r="CG54" s="86">
        <f t="shared" ref="CG54:CG56" si="189">CH54-CH53</f>
        <v>4.025405910687585E-2</v>
      </c>
      <c r="CH54" s="86">
        <f t="shared" ref="CH54:CH56" si="190">CB54/($BY54/100)</f>
        <v>1.3518644067796612</v>
      </c>
      <c r="CI54" s="86">
        <f t="shared" ref="CI54:CI56" si="191">CJ54-CJ53</f>
        <v>3.9536875640459046E-2</v>
      </c>
      <c r="CJ54" s="86">
        <f t="shared" si="120"/>
        <v>1.407278524930256</v>
      </c>
      <c r="CK54" s="86">
        <f t="shared" ref="CK54:CK56" si="192">CJ54/CJ53-1</f>
        <v>2.8906683993273674E-2</v>
      </c>
      <c r="CL54" s="89">
        <v>1642.5</v>
      </c>
      <c r="CM54" s="83">
        <f t="shared" si="71"/>
        <v>108.05921052631579</v>
      </c>
      <c r="CN54" s="83">
        <f t="shared" ref="CN54:CN55" si="193">100*CM54/BY54</f>
        <v>104.65783101822353</v>
      </c>
      <c r="CO54" s="83">
        <f t="shared" si="72"/>
        <v>90.36108785837456</v>
      </c>
      <c r="CP54" s="110">
        <f>CP53*(1+INSEE_NOTAIRES!P29)</f>
        <v>2.1130116810563733</v>
      </c>
      <c r="CQ54" s="110">
        <f t="shared" si="137"/>
        <v>-4.1124115530926098E-3</v>
      </c>
      <c r="CR54" s="137">
        <v>1.0536231884057972</v>
      </c>
      <c r="CS54" s="110">
        <f t="shared" si="138"/>
        <v>-5.4719562243501496E-3</v>
      </c>
      <c r="CT54" s="77">
        <f t="shared" si="74"/>
        <v>105.36231884057972</v>
      </c>
      <c r="CU54" s="83">
        <f t="shared" si="122"/>
        <v>102.04582938554937</v>
      </c>
      <c r="CV54" s="88">
        <f t="shared" ref="CV54:CV56" si="194">100*CZ54/(100*CR54)</f>
        <v>113.49977991746904</v>
      </c>
      <c r="CW54" s="74">
        <f t="shared" ref="CW54:CW56" si="195">LN(CV54)-LN(CV53)</f>
        <v>5.3640150976098866E-2</v>
      </c>
      <c r="CX54" s="88">
        <f t="shared" ref="CX54:CX56" si="196">100*(100*CR54)/CZ54</f>
        <v>88.105897714263975</v>
      </c>
      <c r="CY54" s="77">
        <f t="shared" ref="CY54:CY56" si="197">100*CZ54/BY54</f>
        <v>115.82179176755449</v>
      </c>
      <c r="CZ54" s="89">
        <v>119.586</v>
      </c>
      <c r="DA54" s="74">
        <f t="shared" si="77"/>
        <v>4.8153168759839993E-2</v>
      </c>
      <c r="DB54" s="125">
        <v>122.28</v>
      </c>
      <c r="DC54" s="125">
        <v>116.715</v>
      </c>
      <c r="DD54" s="74">
        <f t="shared" si="78"/>
        <v>1.4229593951725279</v>
      </c>
      <c r="DE54" s="74">
        <f t="shared" si="79"/>
        <v>1.420386410148657</v>
      </c>
      <c r="DF54" s="109">
        <f t="shared" si="125"/>
        <v>1.407278524930256</v>
      </c>
      <c r="DG54" s="109">
        <f t="shared" si="126"/>
        <v>1.4047338939440559</v>
      </c>
      <c r="DH54" s="74">
        <f t="shared" ref="DH54:DH56" si="198">DF54-DF53</f>
        <v>3.9536875640459046E-2</v>
      </c>
      <c r="DI54" s="75">
        <f t="shared" ref="DI54:DI56" si="199">DD54-DD53</f>
        <v>4.338355700069263E-2</v>
      </c>
      <c r="DJ54" s="77">
        <f t="shared" ref="DJ54:DJ56" si="200">100*(LN(DF54)-LN(DF53))</f>
        <v>2.8496766630129233</v>
      </c>
      <c r="DK54" s="109">
        <f t="shared" si="127"/>
        <v>1.4047338939440559</v>
      </c>
      <c r="DL54" s="83">
        <f t="shared" ref="DL54:DL56" si="201">10*DK54/DK53-1</f>
        <v>9.2893136585387275</v>
      </c>
      <c r="DM54" s="182">
        <v>32916.239999999998</v>
      </c>
      <c r="DN54" s="182">
        <v>49905.26</v>
      </c>
      <c r="DO54" s="182">
        <v>32916.239999999998</v>
      </c>
      <c r="DP54" s="182">
        <f t="shared" si="155"/>
        <v>671.91999999999825</v>
      </c>
      <c r="DQ54" s="182">
        <v>49905.26</v>
      </c>
      <c r="DR54" s="182">
        <v>32916.239999999998</v>
      </c>
      <c r="DS54" s="182">
        <v>49905.26</v>
      </c>
      <c r="EB54" s="60">
        <v>12666.225076356928</v>
      </c>
      <c r="EC54" s="60">
        <v>6.6939424530641221</v>
      </c>
      <c r="ED54" s="60">
        <v>31575</v>
      </c>
      <c r="EE54" s="80">
        <f t="shared" si="144"/>
        <v>26771.489490306682</v>
      </c>
      <c r="EF54" s="80">
        <f t="shared" si="39"/>
        <v>399936056785.97003</v>
      </c>
      <c r="EG54" s="110">
        <f t="shared" si="81"/>
        <v>1.453015076990489</v>
      </c>
      <c r="EH54" s="110">
        <f t="shared" si="104"/>
        <v>9.7263993088088689</v>
      </c>
      <c r="EI54" s="109">
        <f t="shared" si="128"/>
        <v>1.407278524930256</v>
      </c>
      <c r="EJ54" s="75">
        <f t="shared" si="129"/>
        <v>9.7263993088088689</v>
      </c>
      <c r="EK54" s="78">
        <f t="shared" si="130"/>
        <v>9.4202414613160972</v>
      </c>
      <c r="EL54" s="80">
        <f t="shared" si="131"/>
        <v>6278.6414707301419</v>
      </c>
      <c r="EM54" s="72">
        <f t="shared" si="132"/>
        <v>14445.238473953686</v>
      </c>
      <c r="EN54" s="182">
        <f t="shared" si="133"/>
        <v>193.51500961227651</v>
      </c>
      <c r="EO54" s="182">
        <f t="shared" si="134"/>
        <v>127.63757768219222</v>
      </c>
      <c r="EP54" s="109">
        <f t="shared" si="135"/>
        <v>6.6939424530641223E-2</v>
      </c>
      <c r="EQ54" s="77">
        <f t="shared" si="82"/>
        <v>14.938879546869341</v>
      </c>
      <c r="ER54" s="95">
        <v>62.9</v>
      </c>
      <c r="ES54" s="74">
        <f t="shared" si="102"/>
        <v>1.4516129032257963E-2</v>
      </c>
      <c r="ET54" s="95">
        <f t="shared" si="99"/>
        <v>60.92009685230024</v>
      </c>
      <c r="EU54" s="110">
        <f t="shared" si="102"/>
        <v>4.3572600171826181E-4</v>
      </c>
      <c r="EV54" s="89">
        <f t="shared" si="100"/>
        <v>43.289296164964519</v>
      </c>
      <c r="EW54" s="110">
        <f t="shared" si="101"/>
        <v>-2.7671078859218601E-2</v>
      </c>
      <c r="EX54" s="151">
        <v>9.4</v>
      </c>
      <c r="EY54" s="151">
        <v>7.37</v>
      </c>
      <c r="EZ54" s="173">
        <f t="shared" si="105"/>
        <v>4.9517365903710227</v>
      </c>
      <c r="FA54" s="80">
        <f t="shared" si="83"/>
        <v>11.829159378484306</v>
      </c>
      <c r="FB54" s="78">
        <f t="shared" si="84"/>
        <v>1.3197285357949617</v>
      </c>
      <c r="FC54" s="78">
        <f t="shared" si="85"/>
        <v>1.3197285357949617</v>
      </c>
      <c r="FD54" s="95">
        <f t="shared" si="86"/>
        <v>75.773158863889549</v>
      </c>
      <c r="FE54" s="108">
        <f t="shared" si="87"/>
        <v>248.79506528570155</v>
      </c>
    </row>
    <row r="55" spans="1:161" ht="13.5" x14ac:dyDescent="0.2">
      <c r="A55" s="68">
        <v>2013</v>
      </c>
      <c r="B55" s="60">
        <v>63652.034</v>
      </c>
      <c r="C55" s="108">
        <v>64027.957999999999</v>
      </c>
      <c r="D55" s="80">
        <f t="shared" si="152"/>
        <v>63839.995999999999</v>
      </c>
      <c r="E55" s="108">
        <v>63862.824500000002</v>
      </c>
      <c r="F55" s="117">
        <v>79.135000000000005</v>
      </c>
      <c r="G55" s="72">
        <f t="shared" si="50"/>
        <v>50537.846168075012</v>
      </c>
      <c r="H55" s="108">
        <v>27925.023829999998</v>
      </c>
      <c r="I55" s="120">
        <v>83.1</v>
      </c>
      <c r="J55" s="60">
        <v>34.9</v>
      </c>
      <c r="K55" s="80">
        <f t="shared" si="51"/>
        <v>-335.43023432365135</v>
      </c>
      <c r="L55" s="108">
        <v>7471.5668723938124</v>
      </c>
      <c r="M55" s="80">
        <f t="shared" si="52"/>
        <v>-209.76573442068911</v>
      </c>
      <c r="N55" s="108">
        <v>18754.72664916853</v>
      </c>
      <c r="O55" s="80">
        <f t="shared" si="0"/>
        <v>26226.293521562344</v>
      </c>
      <c r="P55" s="110">
        <f t="shared" si="156"/>
        <v>0.28488840278749078</v>
      </c>
      <c r="Q55" s="110">
        <f t="shared" si="157"/>
        <v>0.71511159721250916</v>
      </c>
      <c r="R55" s="83">
        <f t="shared" si="158"/>
        <v>-4.2965333500000096</v>
      </c>
      <c r="S55" s="83">
        <f t="shared" si="159"/>
        <v>-1.1060972800000068</v>
      </c>
      <c r="T55" s="83">
        <f t="shared" si="160"/>
        <v>-2.0575019211715784</v>
      </c>
      <c r="U55" s="80">
        <f t="shared" si="161"/>
        <v>-545.19596874433773</v>
      </c>
      <c r="V55" s="109">
        <f t="shared" si="162"/>
        <v>0.40960690205929018</v>
      </c>
      <c r="W55" s="83">
        <f t="shared" si="163"/>
        <v>-2.5743805400022857</v>
      </c>
      <c r="X55" s="110">
        <f t="shared" si="164"/>
        <v>0.93916816978280604</v>
      </c>
      <c r="Y55" s="83">
        <f t="shared" si="165"/>
        <v>-2.9158384111786679</v>
      </c>
      <c r="Z55" s="80">
        <f t="shared" si="166"/>
        <v>21759.546590660284</v>
      </c>
      <c r="AA55" s="83">
        <f t="shared" si="167"/>
        <v>-1.9937563636614142</v>
      </c>
      <c r="AB55" s="110">
        <f t="shared" si="168"/>
        <v>0.33984445655224993</v>
      </c>
      <c r="AC55" s="83">
        <f t="shared" si="169"/>
        <v>-2.4990227502710072</v>
      </c>
      <c r="AD55" s="110">
        <f t="shared" si="170"/>
        <v>0.77921317894396536</v>
      </c>
      <c r="AE55" s="83">
        <f t="shared" si="171"/>
        <v>-2.8313797590585055</v>
      </c>
      <c r="AF55" s="108">
        <v>12114</v>
      </c>
      <c r="AG55" s="108">
        <v>19511</v>
      </c>
      <c r="AH55" s="80">
        <f t="shared" si="172"/>
        <v>31625</v>
      </c>
      <c r="AI55" s="80">
        <f t="shared" si="154"/>
        <v>11984.5</v>
      </c>
      <c r="AJ55" s="80">
        <f t="shared" si="154"/>
        <v>19740.5</v>
      </c>
      <c r="AK55" s="80">
        <f t="shared" si="154"/>
        <v>31725</v>
      </c>
      <c r="AL55" s="80">
        <f t="shared" si="173"/>
        <v>12049.25</v>
      </c>
      <c r="AM55" s="80">
        <f t="shared" si="174"/>
        <v>19625.75</v>
      </c>
      <c r="AN55" s="80">
        <f t="shared" si="153"/>
        <v>31675</v>
      </c>
      <c r="AO55" s="110">
        <f t="shared" si="175"/>
        <v>0.49548667474293029</v>
      </c>
      <c r="AP55" s="110">
        <f t="shared" si="176"/>
        <v>0.49616231178961856</v>
      </c>
      <c r="AQ55" s="110">
        <f t="shared" si="177"/>
        <v>1.1342873042053194</v>
      </c>
      <c r="AR55" s="60">
        <v>1756952</v>
      </c>
      <c r="AS55" s="60">
        <v>1132231</v>
      </c>
      <c r="AT55" s="83">
        <f t="shared" si="63"/>
        <v>1.1240159836233943</v>
      </c>
      <c r="AU55" s="60">
        <v>1089530.862</v>
      </c>
      <c r="AV55" s="80">
        <f t="shared" si="178"/>
        <v>1089.5308620000001</v>
      </c>
      <c r="AW55" s="88">
        <f t="shared" si="179"/>
        <v>17.016486173118313</v>
      </c>
      <c r="AX55" s="110">
        <f t="shared" si="180"/>
        <v>-4.4987087813685989E-4</v>
      </c>
      <c r="AY55" s="88">
        <f t="shared" si="181"/>
        <v>39.01629121725265</v>
      </c>
      <c r="AZ55" s="110">
        <f t="shared" si="182"/>
        <v>-3.8644495899005094E-3</v>
      </c>
      <c r="BA55" s="110">
        <f t="shared" si="67"/>
        <v>0.14349860737949938</v>
      </c>
      <c r="BB55" s="60">
        <v>1321925.463</v>
      </c>
      <c r="BC55" s="115">
        <f t="shared" si="106"/>
        <v>1272072.9250666385</v>
      </c>
      <c r="BD55" s="114">
        <f t="shared" si="142"/>
        <v>-0.3715838641471958</v>
      </c>
      <c r="BE55" s="115">
        <f t="shared" si="183"/>
        <v>19867.460478227942</v>
      </c>
      <c r="BF55" s="115">
        <f t="shared" si="184"/>
        <v>45553.154504385559</v>
      </c>
      <c r="BG55" s="108">
        <v>2115.2561000000001</v>
      </c>
      <c r="BH55" s="83">
        <f t="shared" si="103"/>
        <v>1.3573581084933783</v>
      </c>
      <c r="BI55" s="130">
        <f t="shared" si="109"/>
        <v>2055.5380220007883</v>
      </c>
      <c r="BJ55" s="83">
        <f t="shared" si="185"/>
        <v>0.57625343267546647</v>
      </c>
      <c r="BK55" s="83">
        <f t="shared" si="110"/>
        <v>32.103757268048255</v>
      </c>
      <c r="BL55" s="83">
        <f t="shared" si="111"/>
        <v>73.609177006055518</v>
      </c>
      <c r="BM55" s="108">
        <v>23378.875</v>
      </c>
      <c r="BN55" s="80">
        <f t="shared" si="112"/>
        <v>13306.496136490923</v>
      </c>
      <c r="BO55" s="89">
        <v>109.39100000000001</v>
      </c>
      <c r="BP55" s="114">
        <f t="shared" si="113"/>
        <v>105.26563958467653</v>
      </c>
      <c r="BQ55" s="115">
        <f t="shared" si="114"/>
        <v>12164.15988197468</v>
      </c>
      <c r="BR55" s="89">
        <v>108.42700000000001</v>
      </c>
      <c r="BS55" s="114">
        <f t="shared" si="115"/>
        <v>104.33799401456905</v>
      </c>
      <c r="BT55" s="89">
        <v>101.377</v>
      </c>
      <c r="BU55" s="114">
        <f t="shared" si="116"/>
        <v>97.553864067206177</v>
      </c>
      <c r="BV55" s="89">
        <v>104.17100000000001</v>
      </c>
      <c r="BW55" s="114">
        <f t="shared" si="117"/>
        <v>100.24249655982064</v>
      </c>
      <c r="BX55" s="82">
        <f t="shared" si="118"/>
        <v>89.234867823673525</v>
      </c>
      <c r="BY55" s="84">
        <v>103.919</v>
      </c>
      <c r="BZ55" s="83">
        <v>102.90522857568378</v>
      </c>
      <c r="CA55" s="134">
        <v>1.5655057692307692</v>
      </c>
      <c r="CB55" s="95">
        <v>1.3501807692307692</v>
      </c>
      <c r="CC55" s="86">
        <f t="shared" si="119"/>
        <v>1.4115243645609854</v>
      </c>
      <c r="CD55" s="86">
        <f t="shared" si="186"/>
        <v>-2.8554908401528745E-2</v>
      </c>
      <c r="CE55" s="86">
        <f t="shared" si="187"/>
        <v>-3.5421304704682521E-2</v>
      </c>
      <c r="CF55" s="86">
        <f t="shared" si="188"/>
        <v>1.5064673151500392</v>
      </c>
      <c r="CG55" s="86">
        <f t="shared" si="189"/>
        <v>-5.2601741404927793E-2</v>
      </c>
      <c r="CH55" s="86">
        <f t="shared" si="190"/>
        <v>1.2992626653747334</v>
      </c>
      <c r="CI55" s="86">
        <f t="shared" si="191"/>
        <v>-4.898565783089448E-2</v>
      </c>
      <c r="CJ55" s="86">
        <f t="shared" si="120"/>
        <v>1.3582928670993615</v>
      </c>
      <c r="CK55" s="86">
        <f t="shared" si="192"/>
        <v>-3.4808786578564566E-2</v>
      </c>
      <c r="CL55" s="89">
        <v>1627.5</v>
      </c>
      <c r="CM55" s="83">
        <f t="shared" si="71"/>
        <v>107.07236842105263</v>
      </c>
      <c r="CN55" s="83">
        <f t="shared" si="193"/>
        <v>103.0344483886995</v>
      </c>
      <c r="CO55" s="83">
        <f t="shared" si="72"/>
        <v>91.7202354169616</v>
      </c>
      <c r="CP55" s="110">
        <f>CP54*(1+INSEE_NOTAIRES!P30)</f>
        <v>2.0656043676993394</v>
      </c>
      <c r="CQ55" s="110">
        <f t="shared" si="137"/>
        <v>-2.2691411202070633E-2</v>
      </c>
      <c r="CR55" s="137">
        <v>1.0314009661835748</v>
      </c>
      <c r="CS55" s="110">
        <f t="shared" si="138"/>
        <v>-2.1091242549289402E-2</v>
      </c>
      <c r="CT55" s="77">
        <f t="shared" si="74"/>
        <v>103.14009661835748</v>
      </c>
      <c r="CU55" s="83">
        <f t="shared" si="122"/>
        <v>99.250470672694576</v>
      </c>
      <c r="CV55" s="88">
        <f t="shared" si="194"/>
        <v>113.18391569086651</v>
      </c>
      <c r="CW55" s="74">
        <f t="shared" si="195"/>
        <v>-2.7868297292643618E-3</v>
      </c>
      <c r="CX55" s="88">
        <f t="shared" si="196"/>
        <v>88.35177630108231</v>
      </c>
      <c r="CY55" s="77">
        <f t="shared" si="197"/>
        <v>112.33556904897083</v>
      </c>
      <c r="CZ55" s="89">
        <v>116.738</v>
      </c>
      <c r="DA55" s="74">
        <f t="shared" si="77"/>
        <v>-2.4103670268168287E-2</v>
      </c>
      <c r="DB55" s="125">
        <v>118.533</v>
      </c>
      <c r="DC55" s="125">
        <v>114.843</v>
      </c>
      <c r="DD55" s="74">
        <f t="shared" si="78"/>
        <v>1.3716740967373207</v>
      </c>
      <c r="DE55" s="74">
        <f t="shared" si="79"/>
        <v>1.3689119169577169</v>
      </c>
      <c r="DF55" s="109">
        <f t="shared" si="125"/>
        <v>1.3582928670993615</v>
      </c>
      <c r="DG55" s="109">
        <f t="shared" si="126"/>
        <v>1.3555576334886916</v>
      </c>
      <c r="DH55" s="74">
        <f t="shared" si="198"/>
        <v>-4.898565783089448E-2</v>
      </c>
      <c r="DI55" s="75">
        <f t="shared" si="199"/>
        <v>-5.1285298435207238E-2</v>
      </c>
      <c r="DJ55" s="77">
        <f t="shared" si="200"/>
        <v>-3.5429048648747519</v>
      </c>
      <c r="DK55" s="109">
        <f t="shared" si="127"/>
        <v>1.3555576334886916</v>
      </c>
      <c r="DL55" s="83">
        <f t="shared" si="201"/>
        <v>8.6499247247655386</v>
      </c>
      <c r="DM55" s="182">
        <v>33286.31</v>
      </c>
      <c r="DN55" s="182">
        <v>50438.97</v>
      </c>
      <c r="DO55" s="182">
        <v>33286.31</v>
      </c>
      <c r="DP55" s="182">
        <f t="shared" si="155"/>
        <v>370.06999999999971</v>
      </c>
      <c r="DQ55" s="182">
        <v>50438.97</v>
      </c>
      <c r="DR55" s="182">
        <v>33286.31</v>
      </c>
      <c r="DS55" s="182">
        <v>50438.97</v>
      </c>
      <c r="EB55" s="60">
        <v>12698.791456824629</v>
      </c>
      <c r="EC55" s="60">
        <v>6.5304479629580428</v>
      </c>
      <c r="ED55" s="60">
        <v>31625</v>
      </c>
      <c r="EE55" s="80">
        <f t="shared" si="144"/>
        <v>26226.293521562344</v>
      </c>
      <c r="EF55" s="80">
        <f t="shared" si="39"/>
        <v>401599279822.07886</v>
      </c>
      <c r="EG55" s="110">
        <f t="shared" si="81"/>
        <v>1.4115243645609854</v>
      </c>
      <c r="EH55" s="110">
        <f t="shared" si="104"/>
        <v>9.2178864112129322</v>
      </c>
      <c r="EI55" s="109">
        <f t="shared" si="128"/>
        <v>1.3582928670993615</v>
      </c>
      <c r="EJ55" s="75">
        <f t="shared" si="129"/>
        <v>9.2178864112129322</v>
      </c>
      <c r="EK55" s="78">
        <f t="shared" si="130"/>
        <v>8.870260887049465</v>
      </c>
      <c r="EL55" s="80">
        <f t="shared" si="131"/>
        <v>6272.2487545531103</v>
      </c>
      <c r="EM55" s="72">
        <f t="shared" si="132"/>
        <v>14381.340630787168</v>
      </c>
      <c r="EN55" s="182">
        <f t="shared" si="133"/>
        <v>192.35522952228709</v>
      </c>
      <c r="EO55" s="182">
        <f t="shared" si="134"/>
        <v>126.94144626664659</v>
      </c>
      <c r="EP55" s="109">
        <f t="shared" si="135"/>
        <v>6.5304632849893102E-2</v>
      </c>
      <c r="EQ55" s="77">
        <f t="shared" si="82"/>
        <v>15.312849278221414</v>
      </c>
      <c r="ER55" s="95">
        <v>65.099999999999994</v>
      </c>
      <c r="ES55" s="74">
        <f t="shared" ref="ES55:ES60" si="202">ER55/ER54-1</f>
        <v>3.4976152623211298E-2</v>
      </c>
      <c r="ET55" s="95">
        <f t="shared" si="99"/>
        <v>62.644944620329291</v>
      </c>
      <c r="EU55" s="110">
        <f t="shared" ref="EU55:EU59" si="203">ET55/ET54-1</f>
        <v>2.8313280134976138E-2</v>
      </c>
      <c r="EV55" s="89">
        <f t="shared" si="100"/>
        <v>46.120351610258957</v>
      </c>
      <c r="EW55" s="110">
        <f t="shared" si="101"/>
        <v>6.5398509472318622E-2</v>
      </c>
      <c r="EX55" s="151">
        <v>9.43</v>
      </c>
      <c r="EY55" s="151">
        <v>7.38</v>
      </c>
      <c r="EZ55" s="173">
        <f t="shared" si="105"/>
        <v>4.9584553645777669</v>
      </c>
      <c r="FA55" s="80">
        <f t="shared" si="83"/>
        <v>11.475807841959231</v>
      </c>
      <c r="FB55" s="78">
        <f t="shared" si="84"/>
        <v>1.2490360990803431</v>
      </c>
      <c r="FC55" s="78">
        <f t="shared" si="85"/>
        <v>1.2490360990803431</v>
      </c>
      <c r="FD55" s="95">
        <f t="shared" si="86"/>
        <v>80.06173726574383</v>
      </c>
      <c r="FE55" s="108">
        <f t="shared" si="87"/>
        <v>236.07355235042724</v>
      </c>
    </row>
    <row r="56" spans="1:161" ht="13.5" x14ac:dyDescent="0.2">
      <c r="A56" s="68">
        <v>2014</v>
      </c>
      <c r="B56" s="60">
        <v>63920.247000000003</v>
      </c>
      <c r="C56" s="108">
        <v>64300.821000000004</v>
      </c>
      <c r="D56" s="80">
        <f t="shared" si="152"/>
        <v>64110.534</v>
      </c>
      <c r="E56" s="108">
        <v>64185.866000000002</v>
      </c>
      <c r="F56" s="117">
        <v>79.394000000000005</v>
      </c>
      <c r="G56" s="72">
        <f t="shared" si="50"/>
        <v>50959.726452039999</v>
      </c>
      <c r="H56" s="108">
        <v>28152.422506257026</v>
      </c>
      <c r="I56" s="60">
        <v>82.8</v>
      </c>
      <c r="J56" s="89">
        <v>34</v>
      </c>
      <c r="K56" s="80">
        <f t="shared" si="51"/>
        <v>-55.367873755897563</v>
      </c>
      <c r="L56" s="108">
        <v>7416.1989986379149</v>
      </c>
      <c r="M56" s="80">
        <f t="shared" si="52"/>
        <v>106.85693169456135</v>
      </c>
      <c r="N56" s="108">
        <v>18861.583580863091</v>
      </c>
      <c r="O56" s="80">
        <f t="shared" si="0"/>
        <v>26277.782579501007</v>
      </c>
      <c r="P56" s="110">
        <f t="shared" si="156"/>
        <v>0.28222316613667414</v>
      </c>
      <c r="Q56" s="110">
        <f t="shared" si="157"/>
        <v>0.7177768338633258</v>
      </c>
      <c r="R56" s="83">
        <f t="shared" si="158"/>
        <v>-0.74104769055166608</v>
      </c>
      <c r="S56" s="83">
        <f t="shared" si="159"/>
        <v>0.56976000606918653</v>
      </c>
      <c r="T56" s="83">
        <f t="shared" si="160"/>
        <v>0.19613362720800609</v>
      </c>
      <c r="U56" s="80">
        <f t="shared" si="161"/>
        <v>51.489057938662881</v>
      </c>
      <c r="V56" s="109">
        <f t="shared" si="162"/>
        <v>0.40866947219073618</v>
      </c>
      <c r="W56" s="83">
        <f t="shared" si="163"/>
        <v>-0.22912314424782254</v>
      </c>
      <c r="X56" s="110">
        <f t="shared" si="164"/>
        <v>0.93341106164702625</v>
      </c>
      <c r="Y56" s="83">
        <f t="shared" si="165"/>
        <v>-0.61488733594571576</v>
      </c>
      <c r="Z56" s="80">
        <f t="shared" si="166"/>
        <v>21806.031421511576</v>
      </c>
      <c r="AA56" s="83">
        <f t="shared" si="167"/>
        <v>0.21362959314255026</v>
      </c>
      <c r="AB56" s="110">
        <f t="shared" si="168"/>
        <v>0.33912524105270092</v>
      </c>
      <c r="AC56" s="83">
        <f t="shared" si="169"/>
        <v>-0.21163078746244679</v>
      </c>
      <c r="AD56" s="110">
        <f t="shared" si="170"/>
        <v>0.77457033818901622</v>
      </c>
      <c r="AE56" s="83">
        <f t="shared" si="171"/>
        <v>-0.59583704182741837</v>
      </c>
      <c r="AF56" s="108">
        <v>11984.5</v>
      </c>
      <c r="AG56" s="108">
        <v>19740.5</v>
      </c>
      <c r="AH56" s="80">
        <f t="shared" si="172"/>
        <v>31725</v>
      </c>
      <c r="AI56" s="80">
        <f t="shared" si="154"/>
        <v>12032</v>
      </c>
      <c r="AJ56" s="80">
        <f t="shared" si="154"/>
        <v>19868</v>
      </c>
      <c r="AK56" s="80">
        <f t="shared" si="154"/>
        <v>31900</v>
      </c>
      <c r="AL56" s="80">
        <f t="shared" si="173"/>
        <v>12008.25</v>
      </c>
      <c r="AM56" s="80">
        <f t="shared" si="174"/>
        <v>19804.25</v>
      </c>
      <c r="AN56" s="80">
        <f t="shared" si="153"/>
        <v>31812.5</v>
      </c>
      <c r="AO56" s="110">
        <f t="shared" ref="AO56" si="204">AK56/C56</f>
        <v>0.49610564070402768</v>
      </c>
      <c r="AP56" s="110">
        <f t="shared" ref="AP56" si="205">AN56/D56</f>
        <v>0.49621330560122928</v>
      </c>
      <c r="AQ56" s="110">
        <f t="shared" ref="AQ56" si="206">AN56/H56</f>
        <v>1.1300093266549087</v>
      </c>
      <c r="AR56" s="60">
        <v>1765855</v>
      </c>
      <c r="AS56" s="60">
        <v>1141496</v>
      </c>
      <c r="AT56" s="83">
        <f t="shared" si="63"/>
        <v>0.81829591311313177</v>
      </c>
      <c r="AU56" s="60">
        <v>1097195.4750000001</v>
      </c>
      <c r="AV56" s="80">
        <f t="shared" si="178"/>
        <v>1097.195475</v>
      </c>
      <c r="AW56" s="88">
        <f t="shared" si="179"/>
        <v>17.063475363712698</v>
      </c>
      <c r="AX56" s="110">
        <f t="shared" si="180"/>
        <v>2.7575864673550221E-3</v>
      </c>
      <c r="AY56" s="88">
        <f t="shared" si="181"/>
        <v>38.973394732056988</v>
      </c>
      <c r="AZ56" s="110">
        <f t="shared" si="182"/>
        <v>-1.1000554496241044E-3</v>
      </c>
      <c r="BA56" s="110">
        <f t="shared" si="67"/>
        <v>0.147177013747959</v>
      </c>
      <c r="BB56" s="60">
        <v>1338491.1270000001</v>
      </c>
      <c r="BC56" s="115">
        <f t="shared" si="106"/>
        <v>1286540.6168899825</v>
      </c>
      <c r="BD56" s="114">
        <f t="shared" si="142"/>
        <v>1.1373319515141755</v>
      </c>
      <c r="BE56" s="115">
        <f t="shared" si="183"/>
        <v>20008.152258117861</v>
      </c>
      <c r="BF56" s="115">
        <f t="shared" si="184"/>
        <v>45699.108721604403</v>
      </c>
      <c r="BG56" s="108">
        <v>2147.6089999999999</v>
      </c>
      <c r="BH56" s="83">
        <f t="shared" si="103"/>
        <v>1.5295027396446059</v>
      </c>
      <c r="BI56" s="130">
        <f t="shared" si="109"/>
        <v>2075.0160410260878</v>
      </c>
      <c r="BJ56" s="83">
        <f t="shared" si="185"/>
        <v>0.94758738669986631</v>
      </c>
      <c r="BK56" s="83">
        <f t="shared" si="110"/>
        <v>32.270443965654614</v>
      </c>
      <c r="BL56" s="83">
        <f t="shared" si="111"/>
        <v>73.706482650468331</v>
      </c>
      <c r="BM56" s="108">
        <v>23057.522000000001</v>
      </c>
      <c r="BN56" s="80">
        <f t="shared" si="112"/>
        <v>13057.42657239694</v>
      </c>
      <c r="BO56" s="89">
        <v>111.68300000000001</v>
      </c>
      <c r="BP56" s="114">
        <f t="shared" si="113"/>
        <v>107.34827659124552</v>
      </c>
      <c r="BQ56" s="115">
        <f t="shared" si="114"/>
        <v>11691.507724897201</v>
      </c>
      <c r="BR56" s="89">
        <v>108.673</v>
      </c>
      <c r="BS56" s="114">
        <f t="shared" si="115"/>
        <v>104.45510294315538</v>
      </c>
      <c r="BT56" s="89">
        <v>104.015</v>
      </c>
      <c r="BU56" s="114">
        <f t="shared" si="116"/>
        <v>99.977892693054457</v>
      </c>
      <c r="BV56" s="89">
        <v>105.22</v>
      </c>
      <c r="BW56" s="114">
        <f t="shared" si="117"/>
        <v>101.13612333954902</v>
      </c>
      <c r="BX56" s="82">
        <f t="shared" si="118"/>
        <v>93.733853582054977</v>
      </c>
      <c r="BY56" s="84">
        <v>104.038</v>
      </c>
      <c r="BZ56" s="83">
        <v>103.49842880915827</v>
      </c>
      <c r="CA56" s="134">
        <v>1.5146999999999999</v>
      </c>
      <c r="CB56" s="95">
        <v>1.2856000000000001</v>
      </c>
      <c r="CC56" s="86">
        <f t="shared" si="119"/>
        <v>1.3502573273619123</v>
      </c>
      <c r="CD56" s="86">
        <f t="shared" si="186"/>
        <v>-4.3404874005223748E-2</v>
      </c>
      <c r="CE56" s="86">
        <f t="shared" si="187"/>
        <v>-5.055697469751208E-2</v>
      </c>
      <c r="CF56" s="86">
        <f t="shared" si="188"/>
        <v>1.4559103404525271</v>
      </c>
      <c r="CG56" s="86">
        <f t="shared" si="189"/>
        <v>-6.3560325844945975E-2</v>
      </c>
      <c r="CH56" s="86">
        <f t="shared" si="190"/>
        <v>1.2357023395297875</v>
      </c>
      <c r="CI56" s="86">
        <f t="shared" si="191"/>
        <v>-6.0442728340530882E-2</v>
      </c>
      <c r="CJ56" s="86">
        <f t="shared" si="120"/>
        <v>1.2978501387588306</v>
      </c>
      <c r="CK56" s="86">
        <f t="shared" si="192"/>
        <v>-4.4499039790738548E-2</v>
      </c>
      <c r="CL56" s="89">
        <v>1630.25</v>
      </c>
      <c r="CM56" s="83">
        <f t="shared" ref="CM56:CM59" si="207">100*(CL56/CL$52)</f>
        <v>107.25328947368422</v>
      </c>
      <c r="CN56" s="83">
        <f t="shared" ref="CN56:CN59" si="208">100*CM56/BY56</f>
        <v>103.09049527449992</v>
      </c>
      <c r="CO56" s="83">
        <f t="shared" ref="CO56:CO58" si="209">100*CM56/CZ56</f>
        <v>95.545182776278992</v>
      </c>
      <c r="CP56" s="110">
        <f>CP55*(1+INSEE_NOTAIRES!P31)</f>
        <v>2.029323260538344</v>
      </c>
      <c r="CQ56" s="110">
        <f t="shared" si="137"/>
        <v>-1.7720487321363665E-2</v>
      </c>
      <c r="CR56" s="137">
        <f>CR55*(1+INSEE_NOTAIRES!P31)</f>
        <v>1.0132850241545894</v>
      </c>
      <c r="CS56" s="110">
        <f t="shared" si="138"/>
        <v>-1.7564402810304358E-2</v>
      </c>
      <c r="CT56" s="77">
        <f t="shared" si="74"/>
        <v>101.32850241545894</v>
      </c>
      <c r="CU56" s="83">
        <f t="shared" si="122"/>
        <v>97.395665444798013</v>
      </c>
      <c r="CV56" s="88">
        <f t="shared" si="194"/>
        <v>110.78225506555422</v>
      </c>
      <c r="CW56" s="74">
        <f t="shared" si="195"/>
        <v>-2.1447459487786702E-2</v>
      </c>
      <c r="CX56" s="88">
        <f t="shared" si="196"/>
        <v>90.267164123736279</v>
      </c>
      <c r="CY56" s="77">
        <f t="shared" si="197"/>
        <v>107.89711451584998</v>
      </c>
      <c r="CZ56" s="89">
        <v>112.254</v>
      </c>
      <c r="DA56" s="74">
        <f t="shared" si="77"/>
        <v>-3.9167946809151033E-2</v>
      </c>
      <c r="DB56" s="125">
        <v>113.146</v>
      </c>
      <c r="DC56" s="125">
        <v>111.3</v>
      </c>
      <c r="DD56" s="74">
        <f t="shared" si="78"/>
        <v>1.3046162563990842</v>
      </c>
      <c r="DE56" s="74">
        <f t="shared" si="79"/>
        <v>1.3017112655349095</v>
      </c>
      <c r="DF56" s="109">
        <f t="shared" si="125"/>
        <v>1.2978501387588306</v>
      </c>
      <c r="DG56" s="109">
        <f t="shared" si="126"/>
        <v>1.2949602140183796</v>
      </c>
      <c r="DH56" s="74">
        <f t="shared" si="198"/>
        <v>-6.0442728340530882E-2</v>
      </c>
      <c r="DI56" s="75">
        <f t="shared" si="199"/>
        <v>-6.7057840338236474E-2</v>
      </c>
      <c r="DJ56" s="77">
        <f t="shared" si="200"/>
        <v>-4.5519510373730867</v>
      </c>
      <c r="DK56" s="109">
        <f t="shared" si="127"/>
        <v>1.2949602140183796</v>
      </c>
      <c r="DL56" s="83">
        <f t="shared" si="201"/>
        <v>8.5529705416186754</v>
      </c>
      <c r="DM56" s="182">
        <v>33790.9</v>
      </c>
      <c r="DN56" s="182">
        <v>51042.74</v>
      </c>
      <c r="DO56" s="182">
        <v>33790.9</v>
      </c>
      <c r="DP56" s="182">
        <f t="shared" si="155"/>
        <v>504.59000000000378</v>
      </c>
      <c r="DQ56" s="182">
        <v>51042.74</v>
      </c>
      <c r="DR56" s="182">
        <v>33790.9</v>
      </c>
      <c r="DS56" s="182">
        <v>51042.74</v>
      </c>
      <c r="EB56" s="60">
        <v>12753.305519500416</v>
      </c>
      <c r="EC56" s="60">
        <v>6.494778142094555</v>
      </c>
      <c r="ED56" s="60">
        <v>31725</v>
      </c>
      <c r="EE56" s="80">
        <f t="shared" si="144"/>
        <v>26277.782579501007</v>
      </c>
      <c r="EF56" s="80">
        <f t="shared" si="39"/>
        <v>404598617606.1507</v>
      </c>
      <c r="EG56" s="110">
        <f t="shared" si="81"/>
        <v>1.3502573273619123</v>
      </c>
      <c r="EH56" s="110">
        <f t="shared" si="104"/>
        <v>8.7696217759531603</v>
      </c>
      <c r="EI56" s="109">
        <f t="shared" si="128"/>
        <v>1.2978501387588306</v>
      </c>
      <c r="EJ56" s="75">
        <f t="shared" si="129"/>
        <v>8.7696217759531585</v>
      </c>
      <c r="EK56" s="78">
        <f t="shared" si="130"/>
        <v>8.4292487129252383</v>
      </c>
      <c r="EL56" s="80">
        <f t="shared" si="131"/>
        <v>6292.2776305787866</v>
      </c>
      <c r="EM56" s="72">
        <f t="shared" si="132"/>
        <v>14371.715880444266</v>
      </c>
      <c r="EN56" s="182">
        <f t="shared" si="133"/>
        <v>190.29034740122341</v>
      </c>
      <c r="EO56" s="182">
        <f t="shared" si="134"/>
        <v>125.97446963074476</v>
      </c>
      <c r="EP56" s="109">
        <f t="shared" si="135"/>
        <v>6.4947781420945552E-2</v>
      </c>
      <c r="EQ56" s="77">
        <f t="shared" si="82"/>
        <v>15.396984748696923</v>
      </c>
      <c r="ER56" s="95">
        <v>67.099999999999994</v>
      </c>
      <c r="ES56" s="74">
        <f t="shared" si="202"/>
        <v>3.0721966205837115E-2</v>
      </c>
      <c r="ET56" s="95">
        <f t="shared" si="99"/>
        <v>64.49566504546415</v>
      </c>
      <c r="EU56" s="110">
        <f t="shared" si="203"/>
        <v>2.9543013188876976E-2</v>
      </c>
      <c r="EV56" s="89">
        <f t="shared" si="100"/>
        <v>49.694231344108118</v>
      </c>
      <c r="EW56" s="110">
        <f t="shared" si="101"/>
        <v>7.7490296779398227E-2</v>
      </c>
      <c r="EX56" s="151">
        <v>9.5299999999999994</v>
      </c>
      <c r="EY56" s="151">
        <v>7.45</v>
      </c>
      <c r="EZ56" s="173">
        <f t="shared" si="105"/>
        <v>5.0054867840249821</v>
      </c>
      <c r="FA56" s="80">
        <f t="shared" si="83"/>
        <v>10.874555656606004</v>
      </c>
      <c r="FB56" s="78">
        <f t="shared" si="84"/>
        <v>1.1771304397252564</v>
      </c>
      <c r="FC56" s="78">
        <f t="shared" si="85"/>
        <v>1.1771304397252564</v>
      </c>
      <c r="FD56" s="95">
        <f t="shared" si="86"/>
        <v>84.952352454108762</v>
      </c>
      <c r="FE56" s="108">
        <f t="shared" si="87"/>
        <v>223.43814023470668</v>
      </c>
    </row>
    <row r="57" spans="1:161" ht="13.5" x14ac:dyDescent="0.2">
      <c r="A57" s="68">
        <v>2015</v>
      </c>
      <c r="B57" s="60">
        <v>64301</v>
      </c>
      <c r="C57" s="60">
        <v>64558.472000000002</v>
      </c>
      <c r="D57" s="80">
        <f t="shared" si="152"/>
        <v>64429.736000000004</v>
      </c>
      <c r="E57" s="108">
        <v>64474.273500000003</v>
      </c>
      <c r="F57" s="60">
        <v>79.655000000000001</v>
      </c>
      <c r="G57" s="72">
        <f t="shared" si="50"/>
        <v>51356.982556425006</v>
      </c>
      <c r="H57" s="60">
        <v>28339.205345075661</v>
      </c>
      <c r="K57" s="80">
        <f t="shared" si="51"/>
        <v>141.07764593511911</v>
      </c>
      <c r="L57" s="60">
        <v>7557.276644573034</v>
      </c>
      <c r="M57" s="80">
        <f t="shared" si="52"/>
        <v>404.6760138330028</v>
      </c>
      <c r="N57" s="60">
        <v>19266.259594696094</v>
      </c>
      <c r="O57" s="80">
        <f t="shared" ref="O57:O59" si="210">N57+L57</f>
        <v>26823.536239269128</v>
      </c>
      <c r="P57" s="110">
        <f t="shared" ref="P57:P59" si="211">L57/O57</f>
        <v>0.28174050494913233</v>
      </c>
      <c r="Q57" s="110">
        <f t="shared" ref="Q57:Q59" si="212">N57/O57</f>
        <v>0.71825949505086772</v>
      </c>
      <c r="R57" s="83">
        <f t="shared" ref="R57:R59" si="213">100*(L57/L56-1)</f>
        <v>1.9022904585088707</v>
      </c>
      <c r="S57" s="83">
        <f t="shared" ref="S57:S59" si="214">100*(N57/N56-1)</f>
        <v>2.1455039132747267</v>
      </c>
      <c r="T57" s="83">
        <f t="shared" ref="T57:T59" si="215">100*(LN(O57)-LN(O56))</f>
        <v>2.0555906667116375</v>
      </c>
      <c r="U57" s="80">
        <f t="shared" ref="U57:U59" si="216">O57-O56</f>
        <v>545.753659768121</v>
      </c>
      <c r="V57" s="109">
        <f t="shared" ref="V57:V59" si="217">O57/C57</f>
        <v>0.41549211758402721</v>
      </c>
      <c r="W57" s="83">
        <f t="shared" ref="W57:W59" si="218">100*(LN(V57)-LN(V56))</f>
        <v>1.6556950327113906</v>
      </c>
      <c r="X57" s="110">
        <f t="shared" ref="X57:X58" si="219">O57/H57</f>
        <v>0.94651688050702865</v>
      </c>
      <c r="Y57" s="83">
        <f t="shared" ref="Y57:Y58" si="220">100*(LN(X57)-LN(X56))</f>
        <v>1.3943120788085677</v>
      </c>
      <c r="Z57" s="80">
        <f t="shared" ref="Z57:Z59" si="221">0.845*N57+L57*0.755*1.048</f>
        <v>22259.608929770169</v>
      </c>
      <c r="AA57" s="83">
        <f t="shared" ref="AA57:AA59" si="222">100*(Z57/Z56-1)</f>
        <v>2.0800552814536521</v>
      </c>
      <c r="AB57" s="110">
        <f t="shared" ref="AB57:AB59" si="223">Z57/C57</f>
        <v>0.34479764220209808</v>
      </c>
      <c r="AC57" s="83">
        <f t="shared" ref="AC57:AC59" si="224">100*(AB57/AB56-1)</f>
        <v>1.6726567246333701</v>
      </c>
      <c r="AD57" s="110">
        <f t="shared" ref="AD57:AD58" si="225">Z57/H57</f>
        <v>0.78547046957469091</v>
      </c>
      <c r="AE57" s="83">
        <f t="shared" ref="AE57:AE58" si="226">100*(AD57/AD56-1)</f>
        <v>1.4072487478877349</v>
      </c>
      <c r="AF57" s="108">
        <v>12032</v>
      </c>
      <c r="AG57" s="108">
        <v>19868</v>
      </c>
      <c r="AH57" s="80">
        <f t="shared" si="172"/>
        <v>31900</v>
      </c>
      <c r="AI57" s="80">
        <f t="shared" si="154"/>
        <v>12269.4</v>
      </c>
      <c r="AJ57" s="80">
        <f t="shared" si="154"/>
        <v>19900.49495</v>
      </c>
      <c r="AK57" s="80">
        <f t="shared" si="154"/>
        <v>32169.894950000002</v>
      </c>
      <c r="AL57" s="80">
        <f t="shared" si="173"/>
        <v>12150.7</v>
      </c>
      <c r="AM57" s="80">
        <f t="shared" si="174"/>
        <v>19884.247475</v>
      </c>
      <c r="AN57" s="80">
        <f t="shared" si="153"/>
        <v>32034.947475000001</v>
      </c>
      <c r="AO57" s="110">
        <f t="shared" ref="AO57:AO58" si="227">AK57/C57</f>
        <v>0.49830632531079733</v>
      </c>
      <c r="AP57" s="110">
        <f t="shared" ref="AP57:AP58" si="228">AN57/D57</f>
        <v>0.49720749243796369</v>
      </c>
      <c r="AQ57" s="110">
        <f t="shared" ref="AQ57:AQ58" si="229">AN57/H57</f>
        <v>1.1304109301909739</v>
      </c>
      <c r="AR57" s="60">
        <v>1886229</v>
      </c>
      <c r="AS57" s="60">
        <v>1160572</v>
      </c>
      <c r="AT57" s="83">
        <f t="shared" si="63"/>
        <v>1.6711403281308046</v>
      </c>
      <c r="AU57" s="60">
        <v>1112550.4990000001</v>
      </c>
      <c r="AV57" s="80">
        <f t="shared" ref="AV57:AV58" si="230">AU57/1000</f>
        <v>1112.5504990000002</v>
      </c>
      <c r="AW57" s="88">
        <f t="shared" ref="AW57:AW58" si="231">AU57/C57</f>
        <v>17.233222294976251</v>
      </c>
      <c r="AX57" s="110">
        <f t="shared" ref="AX57:AX58" si="232">LN(AW57)-LN(AW56)</f>
        <v>9.898814108956433E-3</v>
      </c>
      <c r="AY57" s="88">
        <f t="shared" ref="AY57:AY58" si="233">AU57/H57</f>
        <v>39.258352005742516</v>
      </c>
      <c r="AZ57" s="110">
        <f t="shared" ref="AZ57:AZ58" si="234">LN(AY57)-LN(AY56)</f>
        <v>7.2849845699285432E-3</v>
      </c>
      <c r="BA57" s="110">
        <f t="shared" ref="BA57:BA58" si="235">1-AS57/BB57</f>
        <v>0.1424262390668124</v>
      </c>
      <c r="BB57" s="60">
        <v>1353320.324</v>
      </c>
      <c r="BC57" s="115">
        <f t="shared" si="106"/>
        <v>1297327.6621036083</v>
      </c>
      <c r="BD57" s="114">
        <f t="shared" ref="BD57:BD58" si="236">100*(BC57/BC56-1)</f>
        <v>0.83845352972236054</v>
      </c>
      <c r="BE57" s="115">
        <f t="shared" ref="BE57:BE58" si="237">1000*BC57/C57</f>
        <v>20095.389836729843</v>
      </c>
      <c r="BF57" s="115">
        <f t="shared" ref="BF57:BF58" si="238">1000*BC57/H57</f>
        <v>45778.547644739701</v>
      </c>
      <c r="BG57" s="108">
        <v>2194.2429999999999</v>
      </c>
      <c r="BH57" s="83">
        <f t="shared" ref="BH57:BH58" si="239">100*(BG57/BG56-1)</f>
        <v>2.1714380969720226</v>
      </c>
      <c r="BI57" s="130">
        <f t="shared" si="109"/>
        <v>2097.1661357316525</v>
      </c>
      <c r="BJ57" s="83">
        <f t="shared" ref="BJ57:BJ58" si="240">100*(BI57/BI56-1)</f>
        <v>1.0674661914715333</v>
      </c>
      <c r="BK57" s="83">
        <f t="shared" si="110"/>
        <v>32.484754839483379</v>
      </c>
      <c r="BL57" s="83">
        <f t="shared" si="111"/>
        <v>74.002291532005316</v>
      </c>
      <c r="BM57" s="60">
        <v>24403</v>
      </c>
      <c r="BN57" s="80">
        <f t="shared" si="112"/>
        <v>12937.453511742211</v>
      </c>
      <c r="BO57" s="60">
        <v>112.90900000000001</v>
      </c>
      <c r="BP57" s="114">
        <f t="shared" si="113"/>
        <v>108.23747076191573</v>
      </c>
      <c r="BQ57" s="115">
        <f t="shared" si="114"/>
        <v>11458.301385843652</v>
      </c>
      <c r="BR57" s="60">
        <v>107.05200000000001</v>
      </c>
      <c r="BS57" s="114">
        <f t="shared" si="115"/>
        <v>102.62279995398598</v>
      </c>
      <c r="BT57" s="60">
        <v>105.271</v>
      </c>
      <c r="BU57" s="114">
        <f t="shared" si="116"/>
        <v>100.91548755703823</v>
      </c>
      <c r="BV57" s="60">
        <v>105.798</v>
      </c>
      <c r="BW57" s="114">
        <f t="shared" si="117"/>
        <v>101.42068330840905</v>
      </c>
      <c r="BX57" s="82">
        <f t="shared" si="118"/>
        <v>104.11856750612618</v>
      </c>
      <c r="BY57" s="60">
        <v>104.316</v>
      </c>
      <c r="BZ57" s="83">
        <v>104.6289544072997</v>
      </c>
      <c r="CA57" s="95">
        <v>1.3840365384615401</v>
      </c>
      <c r="CB57" s="95">
        <v>1.1493730769230801</v>
      </c>
      <c r="CC57" s="86">
        <f t="shared" ref="CC57:CC59" si="241">(CA57*L57+N57*CB57)/(L57+N57)</f>
        <v>1.2154872790700371</v>
      </c>
      <c r="CD57" s="86">
        <f t="shared" ref="CD57:CD59" si="242">CC57/CC56-1</f>
        <v>-9.9810640209732848E-2</v>
      </c>
      <c r="CE57" s="86">
        <f t="shared" ref="CE57:CE58" si="243">CF57-CF56</f>
        <v>-0.12913732532393718</v>
      </c>
      <c r="CF57" s="86">
        <f t="shared" ref="CF57:CF58" si="244">CA57/($BY57/100)</f>
        <v>1.3267730151285899</v>
      </c>
      <c r="CG57" s="86">
        <f t="shared" ref="CG57:CG58" si="245">CH57-CH56</f>
        <v>-0.13388375280955289</v>
      </c>
      <c r="CH57" s="86">
        <f t="shared" ref="CH57:CH58" si="246">CB57/($BY57/100)</f>
        <v>1.1018185867202346</v>
      </c>
      <c r="CI57" s="86">
        <f t="shared" ref="CI57:CI58" si="247">CJ57-CJ56</f>
        <v>-0.13265277778828266</v>
      </c>
      <c r="CJ57" s="86">
        <f t="shared" ref="CJ57:CJ58" si="248">(CF57*L57+N57*CH57)/(L57+N57)</f>
        <v>1.1651973609705479</v>
      </c>
      <c r="CK57" s="86">
        <f t="shared" ref="CK57:CK58" si="249">CJ57/CJ56-1</f>
        <v>-0.10220962638655806</v>
      </c>
      <c r="CL57" s="89">
        <v>1620.75</v>
      </c>
      <c r="CM57" s="83">
        <f t="shared" si="207"/>
        <v>106.62828947368422</v>
      </c>
      <c r="CN57" s="83">
        <f t="shared" si="208"/>
        <v>102.21662014809255</v>
      </c>
      <c r="CO57" s="83">
        <f t="shared" si="209"/>
        <v>104.93567700361589</v>
      </c>
      <c r="CP57" s="110">
        <f>CP56*(1+INSEE_NOTAIRES!P32)</f>
        <v>1.9930421533773484</v>
      </c>
      <c r="CQ57" s="110">
        <f t="shared" si="137"/>
        <v>-1.80401765577346E-2</v>
      </c>
      <c r="CR57" s="137">
        <f>CR56*(1+INSEE_NOTAIRES!P32)</f>
        <v>0.99516908212560384</v>
      </c>
      <c r="CS57" s="110">
        <f t="shared" ref="CS57:CS59" si="250">CR57/CR56-1</f>
        <v>-1.7878426698450633E-2</v>
      </c>
      <c r="CT57" s="77">
        <f t="shared" ref="CT57:CT59" si="251">100*CR57</f>
        <v>99.516908212560381</v>
      </c>
      <c r="CU57" s="83">
        <f t="shared" ref="CU57:CU58" si="252">100*CR57/(BY57/100)</f>
        <v>95.399467207868753</v>
      </c>
      <c r="CV57" s="88">
        <f t="shared" ref="CV57:CV58" si="253">100*CZ57/(100*CR57)</f>
        <v>102.10626699029126</v>
      </c>
      <c r="CW57" s="74">
        <f t="shared" ref="CW57:CW58" si="254">LN(CV57)-LN(CV56)</f>
        <v>-8.1552504458571207E-2</v>
      </c>
      <c r="CX57" s="88">
        <f t="shared" ref="CX57:CX58" si="255">100*(100*CR57)/CZ57</f>
        <v>97.937181475362777</v>
      </c>
      <c r="CY57" s="77">
        <f t="shared" ref="CY57:CY58" si="256">100*CZ57/BY57</f>
        <v>97.408834694581842</v>
      </c>
      <c r="CZ57" s="60">
        <v>101.613</v>
      </c>
      <c r="DA57" s="74">
        <f t="shared" ref="DA57:DA58" si="257">LN(CZ57)-LN(CZ56)</f>
        <v>-9.9592681016305029E-2</v>
      </c>
      <c r="DB57" s="125">
        <v>113.146</v>
      </c>
      <c r="DC57" s="125">
        <v>111.3</v>
      </c>
      <c r="DD57" s="74">
        <f t="shared" si="78"/>
        <v>1.161712153156369</v>
      </c>
      <c r="DE57" s="74">
        <f t="shared" si="79"/>
        <v>1.1587719183552625</v>
      </c>
      <c r="DF57" s="109">
        <f t="shared" ref="DF57:DF59" si="258">(($CA57/($BY57/100))*$L57+($CB57/($BY57/100))*$N57)/($L57+$N57)</f>
        <v>1.1651973609705479</v>
      </c>
      <c r="DG57" s="109">
        <f t="shared" ref="DG57:DG59" si="259">(($CA57/($BY57/100))*$L57*0.755*1.048+($CB57/($BY57/100))*$N57*0.845)/(($L57*0.755*1.048)+($N57*0.845))</f>
        <v>1.1622483052844432</v>
      </c>
      <c r="DH57" s="74">
        <f t="shared" ref="DH57:DH58" si="260">DF57-DF56</f>
        <v>-0.13265277778828266</v>
      </c>
      <c r="DI57" s="75">
        <f t="shared" ref="DI57:DI58" si="261">DD57-DD56</f>
        <v>-0.14290410324271519</v>
      </c>
      <c r="DJ57" s="77">
        <f t="shared" ref="DJ57:DJ58" si="262">100*(LN(DF57)-LN(DF56))</f>
        <v>-10.781867488666272</v>
      </c>
      <c r="DK57" s="109">
        <f t="shared" ref="DK57:DK59" si="263">(($CA57/($BY57/100))*$L57*0.755*1.048+($CB57/($BY57/100))*$N57*0.845)/(($L57*0.755*1.048)+($N57*0.845))</f>
        <v>1.1622483052844432</v>
      </c>
      <c r="DL57" s="83">
        <f t="shared" ref="DL57:DL58" si="264">10*DK57/DK56-1</f>
        <v>7.9751661302232666</v>
      </c>
      <c r="EB57" s="60">
        <v>12996.85256613501</v>
      </c>
      <c r="EC57" s="60">
        <v>6.4697448918035816</v>
      </c>
      <c r="ED57" s="108">
        <f>AH57</f>
        <v>31900</v>
      </c>
      <c r="EE57" s="80">
        <f t="shared" ref="EE57:EE59" si="265">O57</f>
        <v>26823.536239269128</v>
      </c>
      <c r="EF57" s="80">
        <f t="shared" si="39"/>
        <v>414599596859.70685</v>
      </c>
      <c r="EG57" s="110">
        <f t="shared" si="81"/>
        <v>1.2154872790700371</v>
      </c>
      <c r="EH57" s="110">
        <f t="shared" si="104"/>
        <v>7.8638926148156063</v>
      </c>
      <c r="EI57" s="109">
        <f t="shared" si="128"/>
        <v>1.1651973609705479</v>
      </c>
      <c r="EJ57" s="75">
        <f t="shared" si="129"/>
        <v>7.8638926148156054</v>
      </c>
      <c r="EK57" s="78">
        <f t="shared" si="130"/>
        <v>7.5385296740822163</v>
      </c>
      <c r="EL57" s="80">
        <f t="shared" si="131"/>
        <v>6422.0788382306637</v>
      </c>
      <c r="EM57" s="72">
        <f t="shared" si="132"/>
        <v>14629.89493922946</v>
      </c>
      <c r="EP57" s="109">
        <f t="shared" si="135"/>
        <v>6.4697448918035819E-2</v>
      </c>
      <c r="EQ57" s="77">
        <f t="shared" si="82"/>
        <v>15.456559983792935</v>
      </c>
      <c r="ER57" s="95">
        <v>70</v>
      </c>
      <c r="ES57" s="74">
        <f t="shared" si="202"/>
        <v>4.3219076005961421E-2</v>
      </c>
      <c r="ET57" s="95">
        <f t="shared" si="99"/>
        <v>67.103799992330991</v>
      </c>
      <c r="EU57" s="110">
        <f t="shared" si="203"/>
        <v>4.0438918569617455E-2</v>
      </c>
      <c r="EV57" s="89">
        <f t="shared" si="100"/>
        <v>57.590072068509535</v>
      </c>
      <c r="EW57" s="110">
        <f t="shared" si="101"/>
        <v>0.15888847680783313</v>
      </c>
      <c r="EX57" s="151">
        <v>9.61</v>
      </c>
      <c r="EY57" s="151">
        <v>7.45</v>
      </c>
      <c r="EZ57" s="173">
        <f t="shared" ref="EZ57:EZ60" si="266">EZ56*(EY57/EY56)</f>
        <v>5.0054867840249821</v>
      </c>
      <c r="FA57" s="80">
        <f t="shared" si="83"/>
        <v>9.7891592945237882</v>
      </c>
      <c r="FB57" s="78">
        <f t="shared" si="84"/>
        <v>1.055556055679947</v>
      </c>
      <c r="FC57" s="78">
        <f t="shared" si="85"/>
        <v>1.055556055679947</v>
      </c>
      <c r="FD57" s="95">
        <f t="shared" si="86"/>
        <v>94.73679721877393</v>
      </c>
      <c r="FE57" s="108">
        <f t="shared" si="87"/>
        <v>204.18763912606161</v>
      </c>
    </row>
    <row r="58" spans="1:161" x14ac:dyDescent="0.2">
      <c r="A58" s="68">
        <v>2016</v>
      </c>
      <c r="B58" s="187">
        <v>64558</v>
      </c>
      <c r="C58" s="60">
        <v>64801.095999999998</v>
      </c>
      <c r="D58" s="80">
        <f t="shared" si="152"/>
        <v>64679.547999999995</v>
      </c>
      <c r="E58" s="108">
        <v>64732.099000000002</v>
      </c>
      <c r="F58" s="60">
        <v>79.917000000000002</v>
      </c>
      <c r="G58" s="72">
        <f t="shared" si="50"/>
        <v>51731.951557830005</v>
      </c>
      <c r="H58" s="60">
        <v>28497.752780707902</v>
      </c>
      <c r="K58" s="80">
        <f t="shared" si="51"/>
        <v>146.02794010941398</v>
      </c>
      <c r="L58" s="60">
        <v>7703.304584682448</v>
      </c>
      <c r="M58" s="80">
        <f t="shared" si="52"/>
        <v>177.69138882230982</v>
      </c>
      <c r="N58" s="60">
        <v>19443.950983518404</v>
      </c>
      <c r="O58" s="80">
        <f t="shared" si="210"/>
        <v>27147.255568200853</v>
      </c>
      <c r="P58" s="110">
        <f t="shared" si="211"/>
        <v>0.28375997585942991</v>
      </c>
      <c r="Q58" s="110">
        <f t="shared" si="212"/>
        <v>0.71624002414057009</v>
      </c>
      <c r="R58" s="83">
        <f t="shared" si="213"/>
        <v>1.9322825797872367</v>
      </c>
      <c r="S58" s="83">
        <f t="shared" si="214"/>
        <v>0.92229313089515763</v>
      </c>
      <c r="T58" s="83">
        <f t="shared" si="215"/>
        <v>1.1996237234146889</v>
      </c>
      <c r="U58" s="80">
        <f t="shared" si="216"/>
        <v>323.71932893172561</v>
      </c>
      <c r="V58" s="109">
        <f t="shared" si="217"/>
        <v>0.41893204349816637</v>
      </c>
      <c r="W58" s="83">
        <f t="shared" si="218"/>
        <v>0.8245076214484115</v>
      </c>
      <c r="X58" s="110">
        <f t="shared" si="219"/>
        <v>0.95261039623372357</v>
      </c>
      <c r="Y58" s="83">
        <f t="shared" si="220"/>
        <v>0.64171966907482847</v>
      </c>
      <c r="Z58" s="80">
        <f t="shared" si="221"/>
        <v>22525.301300657189</v>
      </c>
      <c r="AA58" s="83">
        <f t="shared" si="222"/>
        <v>1.1936075414680003</v>
      </c>
      <c r="AB58" s="110">
        <f t="shared" si="223"/>
        <v>0.34760679511743425</v>
      </c>
      <c r="AC58" s="83">
        <f t="shared" si="224"/>
        <v>0.81472509423066164</v>
      </c>
      <c r="AD58" s="110">
        <f t="shared" si="225"/>
        <v>0.79042377390213459</v>
      </c>
      <c r="AE58" s="83">
        <f t="shared" si="226"/>
        <v>0.63061623820508395</v>
      </c>
      <c r="AF58" s="108">
        <v>12269.4</v>
      </c>
      <c r="AG58" s="108">
        <v>19900.49495</v>
      </c>
      <c r="AH58" s="80">
        <f t="shared" si="172"/>
        <v>32169.894950000002</v>
      </c>
      <c r="AI58" s="80">
        <f t="shared" si="154"/>
        <v>12664.56422</v>
      </c>
      <c r="AJ58" s="80">
        <f t="shared" si="154"/>
        <v>19855.217623230001</v>
      </c>
      <c r="AK58" s="80">
        <f t="shared" si="154"/>
        <v>32519.781843230001</v>
      </c>
      <c r="AL58" s="80">
        <f t="shared" si="173"/>
        <v>12466.982110000001</v>
      </c>
      <c r="AM58" s="80">
        <f t="shared" si="174"/>
        <v>19877.856286615002</v>
      </c>
      <c r="AN58" s="80">
        <f t="shared" si="153"/>
        <v>32344.838396615</v>
      </c>
      <c r="AO58" s="110">
        <f t="shared" si="227"/>
        <v>0.501839997323965</v>
      </c>
      <c r="AP58" s="110">
        <f t="shared" si="228"/>
        <v>0.50007829981457197</v>
      </c>
      <c r="AQ58" s="110">
        <f t="shared" si="229"/>
        <v>1.1349961046230794</v>
      </c>
      <c r="AR58" s="60">
        <v>1984471</v>
      </c>
      <c r="AS58" s="60">
        <v>1186092</v>
      </c>
      <c r="AT58" s="83">
        <f t="shared" si="63"/>
        <v>2.1989157070823717</v>
      </c>
      <c r="AU58" s="60">
        <v>1137587.8030000001</v>
      </c>
      <c r="AV58" s="80">
        <f t="shared" si="230"/>
        <v>1137.5878030000001</v>
      </c>
      <c r="AW58" s="88">
        <f t="shared" si="231"/>
        <v>17.555070411154777</v>
      </c>
      <c r="AX58" s="110">
        <f t="shared" si="232"/>
        <v>1.8503770907296158E-2</v>
      </c>
      <c r="AY58" s="88">
        <f t="shared" si="233"/>
        <v>39.918509075217742</v>
      </c>
      <c r="AZ58" s="110">
        <f t="shared" si="234"/>
        <v>1.6675891383560071E-2</v>
      </c>
      <c r="BA58" s="110">
        <f t="shared" si="235"/>
        <v>0.13862465280133729</v>
      </c>
      <c r="BB58" s="60">
        <v>1376974.63</v>
      </c>
      <c r="BC58" s="115">
        <f t="shared" si="106"/>
        <v>1320661.6185835956</v>
      </c>
      <c r="BD58" s="114">
        <f t="shared" si="236"/>
        <v>1.7986170465333018</v>
      </c>
      <c r="BE58" s="115">
        <f t="shared" si="237"/>
        <v>20380.235830943286</v>
      </c>
      <c r="BF58" s="115">
        <f t="shared" si="238"/>
        <v>46342.658270151136</v>
      </c>
      <c r="BG58" s="108">
        <v>2228.8567800000005</v>
      </c>
      <c r="BH58" s="83">
        <f t="shared" si="239"/>
        <v>1.5774816189455976</v>
      </c>
      <c r="BI58" s="130">
        <f t="shared" si="109"/>
        <v>2122.0731131048133</v>
      </c>
      <c r="BJ58" s="83">
        <f t="shared" si="240"/>
        <v>1.1876492257238969</v>
      </c>
      <c r="BK58" s="83">
        <f t="shared" si="110"/>
        <v>32.74748799163541</v>
      </c>
      <c r="BL58" s="83">
        <f t="shared" si="111"/>
        <v>74.464577239977714</v>
      </c>
      <c r="BM58" s="60">
        <v>25967.746999999999</v>
      </c>
      <c r="BN58" s="80">
        <f t="shared" si="112"/>
        <v>13085.475675885413</v>
      </c>
      <c r="BO58" s="60">
        <v>112.861</v>
      </c>
      <c r="BP58" s="114">
        <f t="shared" si="113"/>
        <v>108.24541548377198</v>
      </c>
      <c r="BQ58" s="115">
        <f t="shared" si="114"/>
        <v>11594.329020552193</v>
      </c>
      <c r="BR58" s="60">
        <v>105.836</v>
      </c>
      <c r="BS58" s="114">
        <f t="shared" si="115"/>
        <v>101.50771119465972</v>
      </c>
      <c r="BT58" s="60">
        <v>105.964</v>
      </c>
      <c r="BU58" s="114">
        <f t="shared" si="116"/>
        <v>101.6304764827745</v>
      </c>
      <c r="BV58" s="60">
        <v>106.084</v>
      </c>
      <c r="BW58" s="114">
        <f t="shared" si="117"/>
        <v>101.74556894038211</v>
      </c>
      <c r="BX58" s="82">
        <f t="shared" si="118"/>
        <v>109.33000793560819</v>
      </c>
      <c r="BY58" s="60">
        <v>104.264</v>
      </c>
      <c r="BZ58" s="83">
        <v>105.03204466593291</v>
      </c>
      <c r="CA58" s="95">
        <v>1.33317075471698</v>
      </c>
      <c r="CB58" s="95">
        <v>1.1054981132075501</v>
      </c>
      <c r="CC58" s="86">
        <f t="shared" si="241"/>
        <v>1.1701024964661184</v>
      </c>
      <c r="CD58" s="86">
        <f t="shared" si="242"/>
        <v>-3.7338755728190232E-2</v>
      </c>
      <c r="CE58" s="86">
        <f t="shared" si="243"/>
        <v>-4.8123860370495208E-2</v>
      </c>
      <c r="CF58" s="86">
        <f t="shared" si="244"/>
        <v>1.2786491547580947</v>
      </c>
      <c r="CG58" s="86">
        <f t="shared" si="245"/>
        <v>-4.1531130639947955E-2</v>
      </c>
      <c r="CH58" s="86">
        <f t="shared" si="246"/>
        <v>1.0602874560802866</v>
      </c>
      <c r="CI58" s="86">
        <f t="shared" si="247"/>
        <v>-4.2947594544822332E-2</v>
      </c>
      <c r="CJ58" s="86">
        <f t="shared" si="248"/>
        <v>1.1222497664257256</v>
      </c>
      <c r="CK58" s="86">
        <f t="shared" si="249"/>
        <v>-3.6858643851586881E-2</v>
      </c>
      <c r="CL58" s="89">
        <v>1631.25</v>
      </c>
      <c r="CM58" s="83">
        <f t="shared" si="207"/>
        <v>107.31907894736842</v>
      </c>
      <c r="CN58" s="83">
        <f t="shared" si="208"/>
        <v>102.93013786864921</v>
      </c>
      <c r="CO58" s="83">
        <f t="shared" si="209"/>
        <v>110.60287840728057</v>
      </c>
      <c r="CP58" s="110">
        <f>CP57*(1+INSEE_NOTAIRES!P33)</f>
        <v>2.0104570848146266</v>
      </c>
      <c r="CQ58" s="110">
        <f t="shared" si="137"/>
        <v>8.6999098755461413E-3</v>
      </c>
      <c r="CR58" s="137">
        <f>CR57*(1+INSEE_NOTAIRES!P33)</f>
        <v>1.0038647342995171</v>
      </c>
      <c r="CS58" s="110">
        <f t="shared" si="250"/>
        <v>8.7378640776700767E-3</v>
      </c>
      <c r="CT58" s="77">
        <f t="shared" si="251"/>
        <v>100.38647342995171</v>
      </c>
      <c r="CU58" s="83">
        <f t="shared" si="252"/>
        <v>96.281049480119407</v>
      </c>
      <c r="CV58" s="88">
        <f t="shared" si="253"/>
        <v>96.657444658325304</v>
      </c>
      <c r="CW58" s="74">
        <f t="shared" si="254"/>
        <v>-5.4840874515576843E-2</v>
      </c>
      <c r="CX58" s="88">
        <f t="shared" si="255"/>
        <v>103.4581457781036</v>
      </c>
      <c r="CY58" s="77">
        <f t="shared" si="256"/>
        <v>93.062802117701224</v>
      </c>
      <c r="CZ58" s="60">
        <v>97.031000000000006</v>
      </c>
      <c r="DA58" s="74">
        <f t="shared" si="257"/>
        <v>-4.6140964640031257E-2</v>
      </c>
      <c r="DB58" s="125">
        <v>101.327</v>
      </c>
      <c r="DC58" s="125">
        <v>101.60599999999999</v>
      </c>
      <c r="DD58" s="74">
        <f t="shared" si="78"/>
        <v>1.1140433380953121</v>
      </c>
      <c r="DE58" s="74">
        <f t="shared" si="79"/>
        <v>1.1111889479478165</v>
      </c>
      <c r="DF58" s="109">
        <f t="shared" si="258"/>
        <v>1.1222497664257256</v>
      </c>
      <c r="DG58" s="109">
        <f t="shared" si="259"/>
        <v>1.1193743498536992</v>
      </c>
      <c r="DH58" s="74">
        <f t="shared" si="260"/>
        <v>-4.2947594544822332E-2</v>
      </c>
      <c r="DI58" s="75">
        <f t="shared" si="261"/>
        <v>-4.7668815061056913E-2</v>
      </c>
      <c r="DJ58" s="77">
        <f t="shared" si="262"/>
        <v>-3.7555090678522238</v>
      </c>
      <c r="DK58" s="109">
        <f t="shared" si="263"/>
        <v>1.1193743498536992</v>
      </c>
      <c r="DL58" s="83">
        <f t="shared" si="264"/>
        <v>8.6311119126970794</v>
      </c>
      <c r="EB58" s="60">
        <v>13274.213659833254</v>
      </c>
      <c r="EC58" s="60">
        <v>6.3572235718020913</v>
      </c>
      <c r="ED58" s="108">
        <f t="shared" ref="ED58:ED59" si="267">AH58</f>
        <v>32169.894950000002</v>
      </c>
      <c r="EE58" s="80">
        <f t="shared" si="265"/>
        <v>27147.255568200853</v>
      </c>
      <c r="EF58" s="80">
        <f t="shared" si="39"/>
        <v>427030058980.69086</v>
      </c>
      <c r="EG58" s="110">
        <f t="shared" si="81"/>
        <v>1.1701024964661184</v>
      </c>
      <c r="EH58" s="110">
        <f t="shared" si="104"/>
        <v>7.4386031719588814</v>
      </c>
      <c r="EI58" s="109">
        <f t="shared" si="128"/>
        <v>1.1222497664257256</v>
      </c>
      <c r="EJ58" s="75">
        <f t="shared" si="129"/>
        <v>7.4386031719588823</v>
      </c>
      <c r="EK58" s="78">
        <f t="shared" si="130"/>
        <v>7.1343926685710137</v>
      </c>
      <c r="EL58" s="80">
        <f t="shared" si="131"/>
        <v>6589.8585878962731</v>
      </c>
      <c r="EM58" s="72">
        <f t="shared" si="132"/>
        <v>14984.692381420931</v>
      </c>
      <c r="EP58" s="109">
        <f t="shared" si="135"/>
        <v>6.3572235718020911E-2</v>
      </c>
      <c r="EQ58" s="77">
        <f t="shared" si="82"/>
        <v>15.730137358005935</v>
      </c>
      <c r="ER58" s="95">
        <v>73</v>
      </c>
      <c r="ES58" s="74">
        <f t="shared" si="202"/>
        <v>4.2857142857142927E-2</v>
      </c>
      <c r="ET58" s="95">
        <f t="shared" si="99"/>
        <v>70.01457837796363</v>
      </c>
      <c r="EU58" s="110">
        <f t="shared" si="203"/>
        <v>4.3377251153664975E-2</v>
      </c>
      <c r="EV58" s="89">
        <f t="shared" si="100"/>
        <v>62.387696992759807</v>
      </c>
      <c r="EW58" s="110">
        <f t="shared" si="101"/>
        <v>8.330645807393644E-2</v>
      </c>
      <c r="EX58" s="60">
        <v>9.67</v>
      </c>
      <c r="EY58" s="60">
        <v>7.53</v>
      </c>
      <c r="EZ58" s="173">
        <f t="shared" si="266"/>
        <v>5.0592369776789416</v>
      </c>
      <c r="FA58" s="80">
        <f t="shared" si="83"/>
        <v>9.3235258682559241</v>
      </c>
      <c r="FB58" s="78">
        <f t="shared" si="84"/>
        <v>0.987862307033052</v>
      </c>
      <c r="FC58" s="78">
        <f t="shared" si="85"/>
        <v>0.987862307033052</v>
      </c>
      <c r="FD58" s="95">
        <f t="shared" si="86"/>
        <v>101.22868266969336</v>
      </c>
      <c r="FE58" s="108">
        <f t="shared" si="87"/>
        <v>195.1709482495834</v>
      </c>
    </row>
    <row r="59" spans="1:161" x14ac:dyDescent="0.2">
      <c r="A59" s="68">
        <v>2017</v>
      </c>
      <c r="B59" s="187">
        <v>64801</v>
      </c>
      <c r="C59" s="60">
        <v>65018.095999999998</v>
      </c>
      <c r="D59" s="80">
        <f t="shared" si="152"/>
        <v>64909.547999999995</v>
      </c>
      <c r="F59" s="187">
        <v>80.180000000000007</v>
      </c>
      <c r="G59" s="72"/>
      <c r="H59" s="120"/>
      <c r="I59" s="120"/>
      <c r="J59" s="120"/>
      <c r="K59" s="80">
        <f t="shared" si="51"/>
        <v>569.89889604188465</v>
      </c>
      <c r="L59" s="60">
        <v>8273.2034807243326</v>
      </c>
      <c r="M59" s="80">
        <f t="shared" si="52"/>
        <v>-279.71936231618747</v>
      </c>
      <c r="N59" s="60">
        <v>19164.231621202216</v>
      </c>
      <c r="O59" s="80">
        <f t="shared" si="210"/>
        <v>27437.435101926549</v>
      </c>
      <c r="P59" s="110">
        <f t="shared" si="211"/>
        <v>0.30152976945514198</v>
      </c>
      <c r="Q59" s="110">
        <f t="shared" si="212"/>
        <v>0.69847023054485802</v>
      </c>
      <c r="R59" s="83">
        <f t="shared" si="213"/>
        <v>7.3981093409586141</v>
      </c>
      <c r="S59" s="83">
        <f t="shared" si="214"/>
        <v>-1.438593229088525</v>
      </c>
      <c r="T59" s="83">
        <f t="shared" si="215"/>
        <v>1.0632368300514727</v>
      </c>
      <c r="U59" s="80">
        <f t="shared" si="216"/>
        <v>290.17953372569536</v>
      </c>
      <c r="V59" s="109">
        <f t="shared" si="217"/>
        <v>0.42199690224590014</v>
      </c>
      <c r="W59" s="83">
        <f t="shared" si="218"/>
        <v>0.72892539464085582</v>
      </c>
      <c r="X59" s="110"/>
      <c r="Y59" s="83"/>
      <c r="Z59" s="80">
        <f t="shared" si="221"/>
        <v>22739.865242004191</v>
      </c>
      <c r="AA59" s="83">
        <f t="shared" si="222"/>
        <v>0.9525463765527542</v>
      </c>
      <c r="AB59" s="110">
        <f t="shared" si="223"/>
        <v>0.34974671116183087</v>
      </c>
      <c r="AC59" s="83">
        <f t="shared" si="224"/>
        <v>0.61561398524263566</v>
      </c>
      <c r="AD59" s="110"/>
      <c r="AE59" s="83"/>
      <c r="AF59" s="108">
        <v>12664.56422</v>
      </c>
      <c r="AG59" s="108">
        <v>19855.217623230001</v>
      </c>
      <c r="AH59" s="80">
        <f t="shared" si="172"/>
        <v>32519.781843230001</v>
      </c>
      <c r="AI59" s="80"/>
      <c r="AL59" s="80"/>
      <c r="AM59" s="80"/>
      <c r="AN59" s="80"/>
      <c r="BY59" s="192">
        <f>BY58*1.01</f>
        <v>105.30664</v>
      </c>
      <c r="CA59" s="95">
        <v>1.4098474038461499</v>
      </c>
      <c r="CB59" s="95">
        <v>1.37665942307692</v>
      </c>
      <c r="CC59" s="86">
        <f t="shared" si="241"/>
        <v>1.3866665872669477</v>
      </c>
      <c r="CD59" s="86">
        <f t="shared" si="242"/>
        <v>0.18508129967663911</v>
      </c>
      <c r="CE59" s="86">
        <f t="shared" ref="CE59" si="268">CF59-CF58</f>
        <v>6.0152846565041163E-2</v>
      </c>
      <c r="CF59" s="86">
        <f t="shared" ref="CF59" si="269">CA59/($BY59/100)</f>
        <v>1.3388020013231359</v>
      </c>
      <c r="CG59" s="86">
        <f t="shared" ref="CG59" si="270">CH59-CH58</f>
        <v>0.24699898196096126</v>
      </c>
      <c r="CH59" s="86">
        <f t="shared" ref="CH59" si="271">CB59/($BY59/100)</f>
        <v>1.3072864380412479</v>
      </c>
      <c r="CI59" s="86">
        <f t="shared" ref="CI59" si="272">CJ59-CJ58</f>
        <v>0.19453955214615881</v>
      </c>
      <c r="CJ59" s="86">
        <f t="shared" ref="CJ59" si="273">(CF59*L59+N59*CH59)/(L59+N59)</f>
        <v>1.3167893185718844</v>
      </c>
      <c r="CK59" s="86">
        <f t="shared" ref="CK59" si="274">CJ59/CJ58-1</f>
        <v>0.17334782146201855</v>
      </c>
      <c r="CL59" s="89">
        <v>1662.75</v>
      </c>
      <c r="CM59" s="83">
        <f t="shared" si="207"/>
        <v>109.39144736842105</v>
      </c>
      <c r="CN59" s="83">
        <f t="shared" si="208"/>
        <v>103.87896467727111</v>
      </c>
      <c r="CO59" s="83"/>
      <c r="CP59" s="110">
        <f>CP58*(1+INSEE_NOTAIRES!P34)</f>
        <v>2.0709255967496194</v>
      </c>
      <c r="CQ59" s="110">
        <f t="shared" si="137"/>
        <v>2.9633553925828338E-2</v>
      </c>
      <c r="CR59" s="137">
        <f>CR58*(1+INSEE_NOTAIRES!P34)</f>
        <v>1.034057971014493</v>
      </c>
      <c r="CS59" s="110">
        <f t="shared" si="250"/>
        <v>3.0076997112608472E-2</v>
      </c>
      <c r="CT59" s="77">
        <f t="shared" si="251"/>
        <v>103.40579710144931</v>
      </c>
      <c r="CU59" s="83">
        <f t="shared" ref="CU59" si="275">100*CR59/(BY59/100)</f>
        <v>98.194944878546409</v>
      </c>
      <c r="CV59" s="88"/>
      <c r="CW59" s="74"/>
      <c r="CX59" s="88"/>
      <c r="CY59" s="77"/>
      <c r="DA59" s="74"/>
      <c r="DB59" s="125">
        <v>96.528999999999996</v>
      </c>
      <c r="DC59" s="125">
        <v>96.927999999999997</v>
      </c>
      <c r="DD59" s="74"/>
      <c r="DE59" s="74"/>
      <c r="DF59" s="109">
        <f t="shared" si="258"/>
        <v>1.3167893185718844</v>
      </c>
      <c r="DG59" s="109">
        <f t="shared" si="259"/>
        <v>1.3163587740637677</v>
      </c>
      <c r="DH59" s="74">
        <f t="shared" ref="DH59" si="276">DF59-DF58</f>
        <v>0.19453955214615881</v>
      </c>
      <c r="DI59" s="75">
        <f t="shared" ref="DI59" si="277">DD59-DD58</f>
        <v>-1.1140433380953121</v>
      </c>
      <c r="DJ59" s="77">
        <f t="shared" ref="DJ59" si="278">100*(LN(DF59)-LN(DF58))</f>
        <v>15.986104870260981</v>
      </c>
      <c r="DK59" s="109">
        <f t="shared" si="263"/>
        <v>1.3163587740637677</v>
      </c>
      <c r="DL59" s="83">
        <f t="shared" ref="DL59" si="279">10*DK59/DK58-1</f>
        <v>10.75977253932801</v>
      </c>
      <c r="EB59" s="60">
        <v>13193.852358037075</v>
      </c>
      <c r="EC59" s="60">
        <v>6.3947602531329961</v>
      </c>
      <c r="ED59" s="108">
        <f t="shared" si="267"/>
        <v>32519.781843230001</v>
      </c>
      <c r="EE59" s="80">
        <f t="shared" si="265"/>
        <v>27437.435101926549</v>
      </c>
      <c r="EF59" s="80">
        <f t="shared" si="39"/>
        <v>429061200355.15143</v>
      </c>
      <c r="EG59" s="110">
        <f t="shared" si="81"/>
        <v>1.3866665872669477</v>
      </c>
      <c r="EH59" s="110">
        <f t="shared" si="104"/>
        <v>8.8674003766022551</v>
      </c>
      <c r="EI59" s="109"/>
      <c r="EJ59" s="75">
        <f t="shared" si="129"/>
        <v>0</v>
      </c>
      <c r="EK59" s="78">
        <f t="shared" si="130"/>
        <v>0</v>
      </c>
      <c r="EL59" s="80">
        <f t="shared" si="131"/>
        <v>6599.1043532734557</v>
      </c>
      <c r="EM59" s="72"/>
      <c r="EP59" s="109">
        <f t="shared" si="135"/>
        <v>6.3947602531329945E-2</v>
      </c>
      <c r="EQ59" s="77">
        <f t="shared" si="82"/>
        <v>15.637802832562308</v>
      </c>
      <c r="ER59" s="95">
        <v>75.2</v>
      </c>
      <c r="ES59" s="74">
        <f t="shared" si="202"/>
        <v>3.013698630136985E-2</v>
      </c>
      <c r="ET59" s="95">
        <f t="shared" si="99"/>
        <v>71.41050174993714</v>
      </c>
      <c r="EU59" s="110">
        <f t="shared" si="203"/>
        <v>1.9937610199376232E-2</v>
      </c>
      <c r="EV59" s="89">
        <f t="shared" si="100"/>
        <v>54.230772335991411</v>
      </c>
      <c r="EW59" s="110">
        <f t="shared" si="101"/>
        <v>-0.13074572471740731</v>
      </c>
      <c r="EX59" s="60">
        <v>9.76</v>
      </c>
      <c r="EY59" s="60">
        <v>7.53</v>
      </c>
      <c r="EZ59" s="173">
        <f t="shared" si="266"/>
        <v>5.0592369776789416</v>
      </c>
      <c r="FA59" s="80">
        <f t="shared" si="83"/>
        <v>11.049136153521495</v>
      </c>
      <c r="FB59" s="78">
        <f t="shared" si="84"/>
        <v>1.1776096117665678</v>
      </c>
      <c r="FC59" s="78">
        <f t="shared" si="85"/>
        <v>1.1776096117665678</v>
      </c>
      <c r="FD59" s="95">
        <f t="shared" si="86"/>
        <v>84.917785147819046</v>
      </c>
      <c r="FE59" s="108">
        <f t="shared" si="87"/>
        <v>231.25062511336861</v>
      </c>
    </row>
    <row r="60" spans="1:161" ht="13.5" x14ac:dyDescent="0.2">
      <c r="A60" s="128">
        <v>2018</v>
      </c>
      <c r="B60" s="187">
        <v>65018</v>
      </c>
      <c r="D60" s="80"/>
      <c r="F60" s="187">
        <v>80.444000000000003</v>
      </c>
      <c r="G60" s="72"/>
      <c r="I60" s="122"/>
      <c r="J60" s="122"/>
      <c r="K60" s="122"/>
      <c r="L60" s="122"/>
      <c r="CA60" s="193">
        <v>1.5447555555555557</v>
      </c>
      <c r="CB60" s="193">
        <v>1.426077777777778</v>
      </c>
      <c r="CC60" s="193">
        <f>(CA60*666+CB60*2814)/(666+2814)</f>
        <v>1.4487902490421458</v>
      </c>
      <c r="CD60" s="86"/>
      <c r="EC60" s="194">
        <v>6.39</v>
      </c>
      <c r="EG60" s="96">
        <f t="shared" si="81"/>
        <v>1.4487902490421458</v>
      </c>
      <c r="EH60" s="110">
        <f t="shared" si="104"/>
        <v>9.2577696913793108</v>
      </c>
      <c r="EJ60" s="75">
        <f t="shared" si="129"/>
        <v>0</v>
      </c>
      <c r="EK60" s="78">
        <f t="shared" si="130"/>
        <v>0</v>
      </c>
      <c r="ER60" s="95">
        <v>75.2</v>
      </c>
      <c r="ES60" s="74">
        <f t="shared" si="202"/>
        <v>0</v>
      </c>
      <c r="EV60" s="89">
        <f t="shared" si="100"/>
        <v>51.905374190444604</v>
      </c>
      <c r="EW60" s="110">
        <f t="shared" si="101"/>
        <v>-4.2879679661200543E-2</v>
      </c>
      <c r="EX60" s="60">
        <v>9.8800000000000008</v>
      </c>
      <c r="EY60" s="60">
        <v>7.67</v>
      </c>
      <c r="EZ60" s="173">
        <f t="shared" si="266"/>
        <v>5.1532998165733703</v>
      </c>
      <c r="FA60" s="80">
        <f t="shared" si="83"/>
        <v>11.333430892115873</v>
      </c>
      <c r="FB60" s="78">
        <f t="shared" si="84"/>
        <v>1.2070103900103404</v>
      </c>
      <c r="FC60" s="78">
        <f t="shared" si="85"/>
        <v>1.2070103900103404</v>
      </c>
      <c r="FD60" s="95">
        <f t="shared" si="86"/>
        <v>82.849328247409119</v>
      </c>
      <c r="FE60" s="108"/>
    </row>
    <row r="61" spans="1:161" x14ac:dyDescent="0.2">
      <c r="I61" s="122"/>
      <c r="J61" s="122"/>
      <c r="K61" s="122"/>
      <c r="L61" s="122"/>
    </row>
    <row r="62" spans="1:161" x14ac:dyDescent="0.2">
      <c r="I62" s="121"/>
      <c r="J62" s="121"/>
      <c r="K62" s="121"/>
      <c r="L62" s="121"/>
      <c r="AR62" s="188"/>
      <c r="AS62" s="188"/>
      <c r="AT62" s="67"/>
      <c r="BM62" s="60">
        <v>546.22</v>
      </c>
      <c r="BN62" s="60">
        <v>649.05700000000002</v>
      </c>
      <c r="BO62" s="60">
        <v>829.26599999999996</v>
      </c>
      <c r="BP62" s="60">
        <v>1022.51</v>
      </c>
      <c r="BQ62" s="60">
        <v>1100.068</v>
      </c>
      <c r="BR62" s="60">
        <v>1156.077</v>
      </c>
      <c r="BS62" s="60">
        <v>1300.306</v>
      </c>
      <c r="BT62" s="60">
        <v>1350.635</v>
      </c>
      <c r="BU62" s="60">
        <v>1451.4549999999999</v>
      </c>
      <c r="BV62" s="60">
        <v>1774.373</v>
      </c>
      <c r="BW62" s="60">
        <v>1892.1420000000001</v>
      </c>
      <c r="BX62" s="60">
        <v>2318.3049999999998</v>
      </c>
      <c r="BY62" s="60">
        <v>2835.9259999999999</v>
      </c>
      <c r="CA62" s="60">
        <v>3061.4679999999998</v>
      </c>
      <c r="CB62" s="60">
        <v>3794.5509999999999</v>
      </c>
      <c r="CC62" s="60">
        <v>5802.8149999999996</v>
      </c>
      <c r="CD62" s="60">
        <v>6389.6909999999998</v>
      </c>
      <c r="CE62" s="60">
        <v>7450.6379999999999</v>
      </c>
      <c r="CF62" s="60">
        <v>8730.6059999999998</v>
      </c>
      <c r="CG62" s="60">
        <v>9318.107</v>
      </c>
      <c r="CH62" s="60">
        <v>10646.096</v>
      </c>
      <c r="CI62" s="60">
        <v>13759.947</v>
      </c>
      <c r="CJ62" s="60">
        <v>14792.942999999999</v>
      </c>
      <c r="CK62" s="60">
        <v>13929.064</v>
      </c>
      <c r="CL62" s="60">
        <v>16161.019</v>
      </c>
      <c r="CM62" s="60">
        <v>19242.039000000001</v>
      </c>
      <c r="CN62" s="60">
        <v>21831.074000000001</v>
      </c>
      <c r="CO62" s="60">
        <v>23354.18</v>
      </c>
      <c r="CP62" s="60">
        <v>25523.605</v>
      </c>
      <c r="CQ62" s="60">
        <v>25576.772000000001</v>
      </c>
      <c r="CR62" s="128">
        <v>22817.405999999999</v>
      </c>
      <c r="CS62" s="60">
        <v>23689.692999999999</v>
      </c>
      <c r="CT62" s="60">
        <v>20300.143</v>
      </c>
      <c r="CU62" s="60">
        <v>23926.587</v>
      </c>
      <c r="CV62" s="60">
        <v>22623.781999999999</v>
      </c>
      <c r="CW62" s="60">
        <v>25292.803</v>
      </c>
      <c r="CX62" s="60">
        <v>19426.162</v>
      </c>
      <c r="CY62" s="60">
        <v>22611.102999999999</v>
      </c>
      <c r="CZ62" s="60">
        <v>25175.705999999998</v>
      </c>
      <c r="DA62" s="60">
        <v>24470.625</v>
      </c>
      <c r="DB62" s="60">
        <v>25561.691999999999</v>
      </c>
      <c r="DC62" s="60">
        <v>24601.308000000001</v>
      </c>
      <c r="DD62" s="60">
        <v>22975.636999999999</v>
      </c>
      <c r="DE62" s="60">
        <v>24172.36</v>
      </c>
      <c r="DF62" s="60">
        <v>25324.334999999999</v>
      </c>
      <c r="DG62" s="60">
        <v>24549.861000000001</v>
      </c>
      <c r="DH62" s="60">
        <v>25884.850999999999</v>
      </c>
      <c r="DI62" s="60">
        <v>24743.955999999998</v>
      </c>
      <c r="DJ62" s="60">
        <v>28482.134999999998</v>
      </c>
      <c r="DK62" s="60">
        <v>28274.27</v>
      </c>
      <c r="DL62" s="60">
        <v>28925.584999999999</v>
      </c>
      <c r="DM62" s="60">
        <v>25359.8</v>
      </c>
      <c r="DN62" s="60">
        <v>23378.875</v>
      </c>
      <c r="DO62" s="60">
        <v>23057.522000000001</v>
      </c>
      <c r="DP62" s="60">
        <v>24403</v>
      </c>
      <c r="DQ62" s="60">
        <v>25967.746999999999</v>
      </c>
    </row>
    <row r="64" spans="1:161" x14ac:dyDescent="0.2">
      <c r="BG64" s="129"/>
      <c r="BH64" s="129"/>
      <c r="BI64" s="129"/>
      <c r="BJ64" s="129"/>
      <c r="BK64" s="129"/>
      <c r="BL64" s="129"/>
      <c r="BM64" s="129"/>
      <c r="BN64" s="129"/>
      <c r="BO64" s="129"/>
      <c r="BP64" s="129"/>
      <c r="BQ64" s="129"/>
      <c r="BR64" s="129"/>
      <c r="BS64" s="129"/>
      <c r="BT64" s="129"/>
      <c r="BU64" s="129"/>
      <c r="BV64" s="129"/>
      <c r="BW64" s="129"/>
      <c r="BX64" s="129"/>
      <c r="BY64" s="129"/>
      <c r="BZ64" s="129"/>
      <c r="CA64" s="129"/>
      <c r="CB64" s="129"/>
      <c r="CC64" s="129"/>
      <c r="CD64" s="129"/>
      <c r="CE64" s="129"/>
      <c r="CF64" s="129"/>
      <c r="CG64" s="129"/>
      <c r="CH64" s="129"/>
      <c r="CI64" s="129"/>
      <c r="CJ64" s="129"/>
      <c r="CK64" s="129"/>
      <c r="CL64" s="129"/>
      <c r="CM64" s="129"/>
      <c r="CN64" s="129"/>
      <c r="CO64" s="129"/>
      <c r="CP64" s="129"/>
      <c r="CQ64" s="129"/>
      <c r="CR64" s="136"/>
      <c r="CS64" s="129"/>
      <c r="CT64" s="129"/>
      <c r="CU64" s="129"/>
      <c r="CV64" s="129"/>
      <c r="CW64" s="129"/>
      <c r="CX64" s="129"/>
      <c r="CY64" s="129"/>
      <c r="CZ64" s="129"/>
      <c r="DA64" s="129"/>
      <c r="DB64" s="129"/>
      <c r="DC64" s="129"/>
      <c r="DD64" s="129"/>
      <c r="DE64" s="129"/>
      <c r="DF64" s="129"/>
      <c r="DG64" s="129"/>
      <c r="DH64" s="129"/>
      <c r="DI64" s="129"/>
    </row>
  </sheetData>
  <phoneticPr fontId="0" type="noConversion"/>
  <conditionalFormatting sqref="CY2:CY53 CO2:CO53 CV2:CV53">
    <cfRule type="cellIs" dxfId="6" priority="7" stopIfTrue="1" operator="lessThanOrEqual">
      <formula>1</formula>
    </cfRule>
  </conditionalFormatting>
  <conditionalFormatting sqref="CO54:CO55">
    <cfRule type="cellIs" dxfId="5" priority="6" stopIfTrue="1" operator="lessThanOrEqual">
      <formula>1</formula>
    </cfRule>
  </conditionalFormatting>
  <conditionalFormatting sqref="CY54:CY56 CV54:CV56">
    <cfRule type="cellIs" dxfId="4" priority="5" stopIfTrue="1" operator="lessThanOrEqual">
      <formula>1</formula>
    </cfRule>
  </conditionalFormatting>
  <conditionalFormatting sqref="CO56:CO59">
    <cfRule type="cellIs" dxfId="3" priority="4" stopIfTrue="1" operator="lessThanOrEqual">
      <formula>1</formula>
    </cfRule>
  </conditionalFormatting>
  <conditionalFormatting sqref="CV57:CV58">
    <cfRule type="cellIs" dxfId="2" priority="3" stopIfTrue="1" operator="lessThanOrEqual">
      <formula>1</formula>
    </cfRule>
  </conditionalFormatting>
  <conditionalFormatting sqref="CY57:CY59">
    <cfRule type="cellIs" dxfId="1" priority="2" stopIfTrue="1" operator="lessThanOrEqual">
      <formula>1</formula>
    </cfRule>
  </conditionalFormatting>
  <conditionalFormatting sqref="CV59">
    <cfRule type="cellIs" dxfId="0" priority="1" stopIfTrue="1" operator="lessThanOrEqual">
      <formula>1</formula>
    </cfRule>
  </conditionalFormatting>
  <pageMargins left="0.78740157499999996" right="0.78740157499999996" top="0.984251969" bottom="0.984251969" header="0.4921259845" footer="0.4921259845"/>
  <headerFooter alignWithMargins="0"/>
  <ignoredErrors>
    <ignoredError sqref="CF17 CF3:CF16 CF18:CF48 AY50:AY51 X50:X53 X3:X49 AY3:AY49 AB3:AB53 AD3:AD53 CH3:CH53 BI3:BI58" formula="1"/>
  </ignoredErrors>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pane xSplit="1" ySplit="1" topLeftCell="B2" activePane="bottomRight" state="frozen"/>
      <selection pane="topRight" activeCell="B1" sqref="B1"/>
      <selection pane="bottomLeft" activeCell="A2" sqref="A2"/>
      <selection pane="bottomRight" activeCell="E56" sqref="E56"/>
    </sheetView>
  </sheetViews>
  <sheetFormatPr baseColWidth="10" defaultRowHeight="12.75" x14ac:dyDescent="0.2"/>
  <cols>
    <col min="1" max="1" width="4.875" style="60" bestFit="1" customWidth="1"/>
    <col min="2" max="2" width="8.25" style="60" bestFit="1" customWidth="1"/>
    <col min="3" max="3" width="6.25" style="60" bestFit="1" customWidth="1"/>
    <col min="4" max="4" width="6.75" style="60" bestFit="1" customWidth="1"/>
    <col min="5" max="5" width="9.375" style="60" bestFit="1" customWidth="1"/>
    <col min="6" max="16384" width="11" style="60"/>
  </cols>
  <sheetData>
    <row r="1" spans="1:5" x14ac:dyDescent="0.2">
      <c r="B1" s="60" t="s">
        <v>60</v>
      </c>
      <c r="C1" s="60" t="s">
        <v>562</v>
      </c>
      <c r="D1" s="60" t="s">
        <v>564</v>
      </c>
      <c r="E1" s="60" t="s">
        <v>586</v>
      </c>
    </row>
    <row r="2" spans="1:5" x14ac:dyDescent="0.2">
      <c r="A2" s="60">
        <v>1960</v>
      </c>
      <c r="B2" s="108">
        <v>8652</v>
      </c>
      <c r="C2" s="95">
        <v>1.4047279161960089</v>
      </c>
      <c r="D2" s="95">
        <v>0.93706616459944592</v>
      </c>
      <c r="E2" s="95">
        <v>1.4025451308910075</v>
      </c>
    </row>
    <row r="3" spans="1:5" x14ac:dyDescent="0.2">
      <c r="A3" s="60">
        <v>1961</v>
      </c>
      <c r="B3" s="108">
        <v>8911.56</v>
      </c>
      <c r="C3" s="95">
        <v>1.3620324894805098</v>
      </c>
      <c r="D3" s="95">
        <v>0.90732140936681727</v>
      </c>
      <c r="E3" s="95">
        <v>1.3574394482672401</v>
      </c>
    </row>
    <row r="4" spans="1:5" x14ac:dyDescent="0.2">
      <c r="A4" s="60">
        <v>1962</v>
      </c>
      <c r="B4" s="108">
        <v>9178.9067999999988</v>
      </c>
      <c r="C4" s="95">
        <v>1.3070907171735153</v>
      </c>
      <c r="D4" s="95">
        <v>0.86735238582082197</v>
      </c>
      <c r="E4" s="95">
        <v>1.3023109527022905</v>
      </c>
    </row>
    <row r="5" spans="1:5" x14ac:dyDescent="0.2">
      <c r="A5" s="60">
        <v>1963</v>
      </c>
      <c r="B5" s="108">
        <v>9454.274003999999</v>
      </c>
      <c r="C5" s="95">
        <v>1.2444825729544604</v>
      </c>
      <c r="D5" s="95">
        <v>0.82619015333905543</v>
      </c>
      <c r="E5" s="95">
        <v>1.2397215210238786</v>
      </c>
    </row>
    <row r="6" spans="1:5" x14ac:dyDescent="0.2">
      <c r="A6" s="60">
        <v>1964</v>
      </c>
      <c r="B6" s="108">
        <v>9737.90222412</v>
      </c>
      <c r="C6" s="95">
        <v>1.191141397234031</v>
      </c>
      <c r="D6" s="95">
        <v>0.79212525399601552</v>
      </c>
      <c r="E6" s="95">
        <v>1.1866580697819185</v>
      </c>
    </row>
    <row r="7" spans="1:5" x14ac:dyDescent="0.2">
      <c r="A7" s="60">
        <v>1965</v>
      </c>
      <c r="B7" s="108">
        <v>10030.039290843601</v>
      </c>
      <c r="C7" s="95">
        <v>1.1553268827483911</v>
      </c>
      <c r="D7" s="95">
        <v>0.75843532604847774</v>
      </c>
      <c r="E7" s="95">
        <v>1.1478099972048321</v>
      </c>
    </row>
    <row r="8" spans="1:5" x14ac:dyDescent="0.2">
      <c r="A8" s="60">
        <v>1966</v>
      </c>
      <c r="B8" s="108">
        <v>10330.940469568908</v>
      </c>
      <c r="C8" s="95">
        <v>1.1272629313831775</v>
      </c>
      <c r="D8" s="95">
        <v>0.73396742642479451</v>
      </c>
      <c r="E8" s="95">
        <v>1.1196304843691449</v>
      </c>
    </row>
    <row r="9" spans="1:5" x14ac:dyDescent="0.2">
      <c r="A9" s="60">
        <v>1967</v>
      </c>
      <c r="B9" s="108">
        <v>10640.868683655975</v>
      </c>
      <c r="C9" s="95">
        <v>1.1092733284607115</v>
      </c>
      <c r="D9" s="95">
        <v>0.71712158926267755</v>
      </c>
      <c r="E9" s="95">
        <v>1.1015441966715387</v>
      </c>
    </row>
    <row r="10" spans="1:5" x14ac:dyDescent="0.2">
      <c r="A10" s="60">
        <v>1968</v>
      </c>
      <c r="B10" s="108">
        <v>10960.094744165655</v>
      </c>
      <c r="C10" s="95">
        <v>1.0830263733982786</v>
      </c>
      <c r="D10" s="95">
        <v>0.6994511602269915</v>
      </c>
      <c r="E10" s="95">
        <v>1.0755052907870768</v>
      </c>
    </row>
    <row r="11" spans="1:5" x14ac:dyDescent="0.2">
      <c r="A11" s="60">
        <v>1969</v>
      </c>
      <c r="B11" s="108">
        <v>11288.897586490626</v>
      </c>
      <c r="C11" s="95">
        <v>1.0859468669173864</v>
      </c>
      <c r="D11" s="95">
        <v>0.69331414759443744</v>
      </c>
      <c r="E11" s="95">
        <v>1.0767445375582547</v>
      </c>
    </row>
    <row r="12" spans="1:5" x14ac:dyDescent="0.2">
      <c r="A12" s="60">
        <v>1970</v>
      </c>
      <c r="B12" s="108">
        <v>11627.564514085345</v>
      </c>
      <c r="C12" s="95">
        <v>1.0580757570932766</v>
      </c>
      <c r="D12" s="95">
        <v>0.67038094956457395</v>
      </c>
      <c r="E12" s="95">
        <v>1.0495937723230064</v>
      </c>
    </row>
    <row r="13" spans="1:5" x14ac:dyDescent="0.2">
      <c r="A13" s="60">
        <v>1971</v>
      </c>
      <c r="B13" s="108">
        <v>11976.391449507906</v>
      </c>
      <c r="C13" s="95">
        <v>1.0279967703208692</v>
      </c>
      <c r="D13" s="95">
        <v>0.66094829616323758</v>
      </c>
      <c r="E13" s="95">
        <v>1.0203990502990481</v>
      </c>
    </row>
    <row r="14" spans="1:5" x14ac:dyDescent="0.2">
      <c r="A14" s="60">
        <v>1972</v>
      </c>
      <c r="B14" s="108">
        <v>12335.683192993143</v>
      </c>
      <c r="C14" s="95">
        <v>0.98386566755231863</v>
      </c>
      <c r="D14" s="95">
        <v>0.64752006171328613</v>
      </c>
      <c r="E14" s="95">
        <v>0.97417146895963524</v>
      </c>
    </row>
    <row r="15" spans="1:5" x14ac:dyDescent="0.2">
      <c r="A15" s="60">
        <v>1973</v>
      </c>
      <c r="B15" s="108">
        <v>13000</v>
      </c>
      <c r="C15" s="95">
        <v>0.95930010768552965</v>
      </c>
      <c r="D15" s="95">
        <v>0.62417751322185933</v>
      </c>
      <c r="E15" s="95">
        <v>0.94800208950435494</v>
      </c>
    </row>
    <row r="16" spans="1:5" x14ac:dyDescent="0.2">
      <c r="A16" s="60">
        <v>1974</v>
      </c>
      <c r="B16" s="108">
        <v>13080</v>
      </c>
      <c r="C16" s="95">
        <v>1.1856506271634484</v>
      </c>
      <c r="D16" s="95">
        <v>0.73605776151318558</v>
      </c>
      <c r="E16" s="95">
        <v>1.1666380611056231</v>
      </c>
    </row>
    <row r="17" spans="1:5" x14ac:dyDescent="0.2">
      <c r="A17" s="60">
        <v>1975</v>
      </c>
      <c r="B17" s="108">
        <v>13200</v>
      </c>
      <c r="C17" s="95">
        <v>1.1010197036045948</v>
      </c>
      <c r="D17" s="95">
        <v>0.70236854833546081</v>
      </c>
      <c r="E17" s="95">
        <v>1.0824618049972383</v>
      </c>
    </row>
    <row r="18" spans="1:5" x14ac:dyDescent="0.2">
      <c r="A18" s="60">
        <v>1976</v>
      </c>
      <c r="B18" s="108">
        <v>13090</v>
      </c>
      <c r="C18" s="95">
        <v>1.090336091819758</v>
      </c>
      <c r="D18" s="95">
        <v>0.70547367842125497</v>
      </c>
      <c r="E18" s="95">
        <v>1.0705643368593114</v>
      </c>
    </row>
    <row r="19" spans="1:5" x14ac:dyDescent="0.2">
      <c r="A19" s="60">
        <v>1977</v>
      </c>
      <c r="B19" s="108">
        <v>12980</v>
      </c>
      <c r="C19" s="95">
        <v>1.1729589845512476</v>
      </c>
      <c r="D19" s="95">
        <v>0.71644513409054811</v>
      </c>
      <c r="E19" s="95">
        <v>1.1449769432143333</v>
      </c>
    </row>
    <row r="20" spans="1:5" x14ac:dyDescent="0.2">
      <c r="A20" s="60">
        <v>1978</v>
      </c>
      <c r="B20" s="108">
        <v>12930</v>
      </c>
      <c r="C20" s="95">
        <v>1.1745436832147456</v>
      </c>
      <c r="D20" s="95">
        <v>0.71715035976078945</v>
      </c>
      <c r="E20" s="95">
        <v>1.1416996125462844</v>
      </c>
    </row>
    <row r="21" spans="1:5" x14ac:dyDescent="0.2">
      <c r="A21" s="60">
        <v>1979</v>
      </c>
      <c r="B21" s="108">
        <v>12720</v>
      </c>
      <c r="C21" s="95">
        <v>1.2124011646806119</v>
      </c>
      <c r="D21" s="95">
        <v>0.7986167565053236</v>
      </c>
      <c r="E21" s="95">
        <v>1.1778619018679719</v>
      </c>
    </row>
    <row r="22" spans="1:5" x14ac:dyDescent="0.2">
      <c r="A22" s="60">
        <v>1980</v>
      </c>
      <c r="B22" s="108">
        <v>13020</v>
      </c>
      <c r="C22" s="95">
        <v>1.2645173363476305</v>
      </c>
      <c r="D22" s="95">
        <v>0.89589248058529058</v>
      </c>
      <c r="E22" s="95">
        <v>1.2292430786554274</v>
      </c>
    </row>
    <row r="23" spans="1:5" x14ac:dyDescent="0.2">
      <c r="A23" s="60">
        <v>1981</v>
      </c>
      <c r="B23" s="108">
        <v>13270</v>
      </c>
      <c r="C23" s="95">
        <v>1.2074484850378004</v>
      </c>
      <c r="D23" s="95">
        <v>0.88409294747212097</v>
      </c>
      <c r="E23" s="95">
        <v>1.1716416122776663</v>
      </c>
    </row>
    <row r="24" spans="1:5" x14ac:dyDescent="0.2">
      <c r="A24" s="60">
        <v>1982</v>
      </c>
      <c r="B24" s="108">
        <v>12630</v>
      </c>
      <c r="C24" s="95">
        <v>1.2574052546751753</v>
      </c>
      <c r="D24" s="95">
        <v>0.92460943893147951</v>
      </c>
      <c r="E24" s="95">
        <v>1.2150417211198767</v>
      </c>
    </row>
    <row r="25" spans="1:5" x14ac:dyDescent="0.2">
      <c r="A25" s="60">
        <v>1983</v>
      </c>
      <c r="B25" s="108">
        <v>12620</v>
      </c>
      <c r="C25" s="95">
        <v>1.2344932339991035</v>
      </c>
      <c r="D25" s="95">
        <v>0.98326548436986339</v>
      </c>
      <c r="E25" s="95">
        <v>1.1999410590279125</v>
      </c>
    </row>
    <row r="26" spans="1:5" x14ac:dyDescent="0.2">
      <c r="A26" s="60">
        <v>1984</v>
      </c>
      <c r="B26" s="108">
        <v>12840</v>
      </c>
      <c r="C26" s="95">
        <v>1.2397735541315271</v>
      </c>
      <c r="D26" s="95">
        <v>0.9434955464204553</v>
      </c>
      <c r="E26" s="95">
        <v>1.1953156274541812</v>
      </c>
    </row>
    <row r="27" spans="1:5" x14ac:dyDescent="0.2">
      <c r="A27" s="60">
        <v>1985</v>
      </c>
      <c r="B27" s="108">
        <v>12760</v>
      </c>
      <c r="C27" s="95">
        <v>1.2791303367197688</v>
      </c>
      <c r="D27" s="95">
        <v>1.0088451949688306</v>
      </c>
      <c r="E27" s="95">
        <v>1.2363559352377884</v>
      </c>
    </row>
    <row r="28" spans="1:5" x14ac:dyDescent="0.2">
      <c r="A28" s="60">
        <v>1986</v>
      </c>
      <c r="B28" s="108">
        <v>13130</v>
      </c>
      <c r="C28" s="95">
        <v>1.1833580912484203</v>
      </c>
      <c r="D28" s="95">
        <v>0.93338456010361015</v>
      </c>
      <c r="E28" s="95">
        <v>1.1380412522689518</v>
      </c>
    </row>
    <row r="29" spans="1:5" x14ac:dyDescent="0.2">
      <c r="A29" s="60">
        <v>1987</v>
      </c>
      <c r="B29" s="108">
        <v>13270</v>
      </c>
      <c r="C29" s="95">
        <v>1.0365724627437556</v>
      </c>
      <c r="D29" s="95">
        <v>0.70507642843915586</v>
      </c>
      <c r="E29" s="95">
        <v>0.97134910508139016</v>
      </c>
    </row>
    <row r="30" spans="1:5" x14ac:dyDescent="0.2">
      <c r="A30" s="60">
        <v>1988</v>
      </c>
      <c r="B30" s="108">
        <v>13480</v>
      </c>
      <c r="C30" s="95">
        <v>1.0167419543935112</v>
      </c>
      <c r="D30" s="95">
        <v>0.68139911675175679</v>
      </c>
      <c r="E30" s="95">
        <v>0.94751073545449394</v>
      </c>
    </row>
    <row r="31" spans="1:5" x14ac:dyDescent="0.2">
      <c r="A31" s="60">
        <v>1989</v>
      </c>
      <c r="B31" s="108">
        <v>13280</v>
      </c>
      <c r="C31" s="95">
        <v>1.0302149917328567</v>
      </c>
      <c r="D31" s="95">
        <v>0.68611903875970925</v>
      </c>
      <c r="E31" s="95">
        <v>0.95516473806019442</v>
      </c>
    </row>
    <row r="32" spans="1:5" x14ac:dyDescent="0.2">
      <c r="A32" s="60">
        <v>1990</v>
      </c>
      <c r="B32" s="108">
        <v>13356.122792574084</v>
      </c>
      <c r="C32" s="95">
        <v>0.99869187437720941</v>
      </c>
      <c r="D32" s="95">
        <v>0.71532576125514746</v>
      </c>
      <c r="E32" s="95">
        <v>0.94033939712978787</v>
      </c>
    </row>
    <row r="33" spans="1:5" x14ac:dyDescent="0.2">
      <c r="A33" s="60">
        <v>1991</v>
      </c>
      <c r="B33" s="108">
        <v>13300.015763797346</v>
      </c>
      <c r="C33" s="95">
        <v>1.0251070990053874</v>
      </c>
      <c r="D33" s="95">
        <v>0.70218655976265909</v>
      </c>
      <c r="E33" s="95">
        <v>0.95076004967958516</v>
      </c>
    </row>
    <row r="34" spans="1:5" x14ac:dyDescent="0.2">
      <c r="A34" s="60">
        <v>1992</v>
      </c>
      <c r="B34" s="108">
        <v>13564.629248700265</v>
      </c>
      <c r="C34" s="95">
        <v>0.98698331239685688</v>
      </c>
      <c r="D34" s="95">
        <v>0.66162460443710791</v>
      </c>
      <c r="E34" s="95">
        <v>0.90427011330521545</v>
      </c>
    </row>
    <row r="35" spans="1:5" x14ac:dyDescent="0.2">
      <c r="A35" s="60">
        <v>1993</v>
      </c>
      <c r="B35" s="108">
        <v>13516.771143640439</v>
      </c>
      <c r="C35" s="95">
        <v>0.99912225962265055</v>
      </c>
      <c r="D35" s="95">
        <v>0.69140012266444562</v>
      </c>
      <c r="E35" s="95">
        <v>0.91261857552666537</v>
      </c>
    </row>
    <row r="36" spans="1:5" x14ac:dyDescent="0.2">
      <c r="A36" s="60">
        <v>1994</v>
      </c>
      <c r="B36" s="108">
        <v>13541.666333297981</v>
      </c>
      <c r="C36" s="95">
        <v>1.0180138828546721</v>
      </c>
      <c r="D36" s="95">
        <v>0.72240180233127627</v>
      </c>
      <c r="E36" s="95">
        <v>0.92572361109016443</v>
      </c>
    </row>
    <row r="37" spans="1:5" x14ac:dyDescent="0.2">
      <c r="A37" s="60">
        <v>1995</v>
      </c>
      <c r="B37" s="108">
        <v>13720.701604525326</v>
      </c>
      <c r="C37" s="95">
        <v>1.0596654197648305</v>
      </c>
      <c r="D37" s="95">
        <v>0.71206716653320712</v>
      </c>
      <c r="E37" s="95">
        <v>0.93875021167591144</v>
      </c>
    </row>
    <row r="38" spans="1:5" x14ac:dyDescent="0.2">
      <c r="A38" s="60">
        <v>1996</v>
      </c>
      <c r="B38" s="108">
        <v>13706.65381368626</v>
      </c>
      <c r="C38" s="95">
        <v>1.1051948784594736</v>
      </c>
      <c r="D38" s="95">
        <v>0.78051636181168693</v>
      </c>
      <c r="E38" s="95">
        <v>0.98267623332161025</v>
      </c>
    </row>
    <row r="39" spans="1:5" x14ac:dyDescent="0.2">
      <c r="A39" s="60">
        <v>1997</v>
      </c>
      <c r="B39" s="108">
        <v>13676.073996820331</v>
      </c>
      <c r="C39" s="95">
        <v>1.133931251876342</v>
      </c>
      <c r="D39" s="95">
        <v>0.80192537968155364</v>
      </c>
      <c r="E39" s="95">
        <v>1.0018340566465425</v>
      </c>
    </row>
    <row r="40" spans="1:5" x14ac:dyDescent="0.2">
      <c r="A40" s="60">
        <v>1998</v>
      </c>
      <c r="B40" s="108">
        <v>13744.377360795395</v>
      </c>
      <c r="C40" s="95">
        <v>1.1035431044873119</v>
      </c>
      <c r="D40" s="95">
        <v>0.76012873911397194</v>
      </c>
      <c r="E40" s="95">
        <v>0.96119705454139215</v>
      </c>
    </row>
    <row r="41" spans="1:5" x14ac:dyDescent="0.2">
      <c r="A41" s="60">
        <v>1999</v>
      </c>
      <c r="B41" s="108">
        <v>13835.017094159381</v>
      </c>
      <c r="C41" s="95">
        <v>1.1514603831627741</v>
      </c>
      <c r="D41" s="95">
        <v>0.82064700285442427</v>
      </c>
      <c r="E41" s="95">
        <v>1.0168493569698098</v>
      </c>
    </row>
    <row r="42" spans="1:5" x14ac:dyDescent="0.2">
      <c r="A42" s="60">
        <v>2000</v>
      </c>
      <c r="B42" s="108">
        <v>13538.847175632825</v>
      </c>
      <c r="C42" s="95">
        <v>1.2874534733914977</v>
      </c>
      <c r="D42" s="95">
        <v>0.98469696264942574</v>
      </c>
      <c r="E42" s="95">
        <v>1.157900509265323</v>
      </c>
    </row>
    <row r="43" spans="1:5" x14ac:dyDescent="0.2">
      <c r="A43" s="60">
        <v>2001</v>
      </c>
      <c r="B43" s="108">
        <v>13801.60977638341</v>
      </c>
      <c r="C43" s="95">
        <v>1.1944216743568106</v>
      </c>
      <c r="D43" s="95">
        <v>0.90819889099331397</v>
      </c>
      <c r="E43" s="95">
        <v>1.0643016413635342</v>
      </c>
    </row>
    <row r="44" spans="1:5" x14ac:dyDescent="0.2">
      <c r="A44" s="60">
        <v>2002</v>
      </c>
      <c r="B44" s="108">
        <v>13669.12212684893</v>
      </c>
      <c r="C44" s="95">
        <v>1.1563375828656137</v>
      </c>
      <c r="D44" s="95">
        <v>0.87214751081151265</v>
      </c>
      <c r="E44" s="95">
        <v>1.0210667899386014</v>
      </c>
    </row>
    <row r="45" spans="1:5" x14ac:dyDescent="0.2">
      <c r="A45" s="60">
        <v>2003</v>
      </c>
      <c r="B45" s="108">
        <v>13588.076930517738</v>
      </c>
      <c r="C45" s="95">
        <v>1.1373855495393856</v>
      </c>
      <c r="D45" s="95">
        <v>0.88139245568045488</v>
      </c>
      <c r="E45" s="95">
        <v>1.0086858715893079</v>
      </c>
    </row>
    <row r="46" spans="1:5" x14ac:dyDescent="0.2">
      <c r="A46" s="60">
        <v>2004</v>
      </c>
      <c r="B46" s="108">
        <v>13413.355260395268</v>
      </c>
      <c r="C46" s="95">
        <v>1.156844894779866</v>
      </c>
      <c r="D46" s="95">
        <v>0.96250924757387191</v>
      </c>
      <c r="E46" s="95">
        <v>1.0545343694284892</v>
      </c>
    </row>
    <row r="47" spans="1:5" x14ac:dyDescent="0.2">
      <c r="A47" s="60">
        <v>2005</v>
      </c>
      <c r="B47" s="108">
        <v>13131.873376440235</v>
      </c>
      <c r="C47" s="95">
        <v>1.2442981429310138</v>
      </c>
      <c r="D47" s="95">
        <v>1.0971961018977605</v>
      </c>
      <c r="E47" s="95">
        <v>1.16419824143091</v>
      </c>
    </row>
    <row r="48" spans="1:5" x14ac:dyDescent="0.2">
      <c r="A48" s="60">
        <v>2006</v>
      </c>
      <c r="B48" s="108">
        <v>12990.548540991718</v>
      </c>
      <c r="C48" s="95">
        <v>1.4126510751844295</v>
      </c>
      <c r="D48" s="95">
        <v>1.1275048396379426</v>
      </c>
      <c r="E48" s="95">
        <v>1.2487745326299637</v>
      </c>
    </row>
    <row r="49" spans="1:5" x14ac:dyDescent="0.2">
      <c r="A49" s="60">
        <v>2007</v>
      </c>
      <c r="B49" s="108">
        <v>12968.24239533422</v>
      </c>
      <c r="C49" s="95">
        <v>1.3244018648496336</v>
      </c>
      <c r="D49" s="95">
        <v>1.1218812439161843</v>
      </c>
      <c r="E49" s="95">
        <v>1.2028894922895639</v>
      </c>
    </row>
    <row r="50" spans="1:5" x14ac:dyDescent="0.2">
      <c r="A50" s="60">
        <v>2008</v>
      </c>
      <c r="B50" s="108">
        <v>12749.156148354399</v>
      </c>
      <c r="C50" s="95">
        <v>1.3688874269880189</v>
      </c>
      <c r="D50" s="95">
        <v>1.2629826764746923</v>
      </c>
      <c r="E50" s="95">
        <v>1.3035193803469625</v>
      </c>
    </row>
    <row r="51" spans="1:5" x14ac:dyDescent="0.2">
      <c r="A51" s="60">
        <v>2009</v>
      </c>
      <c r="B51" s="108">
        <v>12757.819179459715</v>
      </c>
      <c r="C51" s="95">
        <v>1.2406657897399576</v>
      </c>
      <c r="D51" s="95">
        <v>1.0142669229990893</v>
      </c>
      <c r="E51" s="95">
        <v>1.0954438858262605</v>
      </c>
    </row>
    <row r="52" spans="1:5" x14ac:dyDescent="0.2">
      <c r="A52" s="60">
        <v>2010</v>
      </c>
      <c r="B52" s="108">
        <v>12768.728522829348</v>
      </c>
      <c r="C52" s="95">
        <v>1.3642745283000002</v>
      </c>
      <c r="D52" s="95">
        <v>1.1467490566</v>
      </c>
      <c r="E52" s="95">
        <v>1.2186922044478332</v>
      </c>
    </row>
    <row r="53" spans="1:5" x14ac:dyDescent="0.2">
      <c r="A53" s="60">
        <v>2011</v>
      </c>
      <c r="B53" s="108">
        <v>12692.082858688451</v>
      </c>
      <c r="C53" s="95">
        <v>1.4913832962717424</v>
      </c>
      <c r="D53" s="95">
        <v>1.3116103476727854</v>
      </c>
      <c r="E53" s="95">
        <v>1.3677416492897969</v>
      </c>
    </row>
    <row r="54" spans="1:5" x14ac:dyDescent="0.2">
      <c r="A54" s="60">
        <v>2012</v>
      </c>
      <c r="B54" s="108">
        <v>12666.225076356928</v>
      </c>
      <c r="C54" s="95">
        <v>1.5418886198547217</v>
      </c>
      <c r="D54" s="95">
        <v>1.3518644067796612</v>
      </c>
      <c r="E54" s="95">
        <v>1.407278524930256</v>
      </c>
    </row>
    <row r="55" spans="1:5" x14ac:dyDescent="0.2">
      <c r="A55" s="60">
        <v>2013</v>
      </c>
      <c r="B55" s="108">
        <v>12698.791456824629</v>
      </c>
      <c r="C55" s="95">
        <v>1.5043971567246155</v>
      </c>
      <c r="D55" s="95">
        <v>1.2974772435959039</v>
      </c>
      <c r="E55" s="95">
        <v>1.3564263271520687</v>
      </c>
    </row>
    <row r="56" spans="1:5" x14ac:dyDescent="0.2">
      <c r="A56" s="60">
        <v>2014</v>
      </c>
      <c r="B56" s="108">
        <v>12753.305519500416</v>
      </c>
      <c r="C56" s="95">
        <v>1.4560362975708696</v>
      </c>
      <c r="D56" s="95">
        <v>1.2358092454988514</v>
      </c>
      <c r="E56" s="95">
        <v>1.2979624214035625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E149"/>
  <sheetViews>
    <sheetView workbookViewId="0">
      <pane xSplit="1" ySplit="1" topLeftCell="C119" activePane="bottomRight" state="frozen"/>
      <selection pane="topRight" activeCell="B1" sqref="B1"/>
      <selection pane="bottomLeft" activeCell="A2" sqref="A2"/>
      <selection pane="bottomRight" sqref="A1:E1048576"/>
    </sheetView>
  </sheetViews>
  <sheetFormatPr baseColWidth="10" defaultRowHeight="12.75" x14ac:dyDescent="0.2"/>
  <cols>
    <col min="1" max="1" width="34.625" style="62" bestFit="1" customWidth="1"/>
    <col min="2" max="2" width="94" style="60" bestFit="1" customWidth="1"/>
    <col min="3" max="3" width="20.75" style="60" customWidth="1"/>
    <col min="4" max="4" width="29.5" style="60" customWidth="1"/>
    <col min="5" max="5" width="38.25" style="60" customWidth="1"/>
    <col min="6" max="16384" width="11" style="60"/>
  </cols>
  <sheetData>
    <row r="1" spans="1:5" x14ac:dyDescent="0.2">
      <c r="A1" s="62" t="s">
        <v>387</v>
      </c>
      <c r="B1" s="60" t="s">
        <v>388</v>
      </c>
      <c r="C1" s="60" t="s">
        <v>389</v>
      </c>
      <c r="D1" s="60" t="s">
        <v>390</v>
      </c>
      <c r="E1" s="198" t="s">
        <v>757</v>
      </c>
    </row>
    <row r="2" spans="1:5" x14ac:dyDescent="0.2">
      <c r="A2" s="62" t="s">
        <v>0</v>
      </c>
      <c r="B2" s="60" t="s">
        <v>444</v>
      </c>
      <c r="C2" s="60" t="s">
        <v>391</v>
      </c>
      <c r="D2" s="60" t="s">
        <v>392</v>
      </c>
    </row>
    <row r="3" spans="1:5" x14ac:dyDescent="0.2">
      <c r="A3" s="62" t="s">
        <v>1</v>
      </c>
      <c r="B3" s="60" t="s">
        <v>445</v>
      </c>
      <c r="C3" s="60" t="s">
        <v>391</v>
      </c>
      <c r="D3" s="60" t="s">
        <v>392</v>
      </c>
    </row>
    <row r="4" spans="1:5" x14ac:dyDescent="0.2">
      <c r="A4" s="62" t="s">
        <v>2</v>
      </c>
      <c r="B4" s="60" t="s">
        <v>446</v>
      </c>
      <c r="C4" s="60" t="s">
        <v>391</v>
      </c>
      <c r="D4" s="60" t="s">
        <v>392</v>
      </c>
    </row>
    <row r="5" spans="1:5" x14ac:dyDescent="0.2">
      <c r="A5" s="62" t="s">
        <v>132</v>
      </c>
      <c r="B5" s="60" t="s">
        <v>447</v>
      </c>
      <c r="C5" s="60" t="s">
        <v>391</v>
      </c>
      <c r="D5" s="60" t="s">
        <v>392</v>
      </c>
    </row>
    <row r="6" spans="1:5" x14ac:dyDescent="0.2">
      <c r="A6" s="62" t="s">
        <v>61</v>
      </c>
      <c r="B6" s="60" t="s">
        <v>448</v>
      </c>
      <c r="C6" s="60" t="s">
        <v>391</v>
      </c>
      <c r="D6" s="60" t="s">
        <v>392</v>
      </c>
    </row>
    <row r="7" spans="1:5" x14ac:dyDescent="0.2">
      <c r="A7" s="62" t="s">
        <v>3</v>
      </c>
      <c r="B7" s="60" t="s">
        <v>393</v>
      </c>
      <c r="C7" s="60" t="s">
        <v>391</v>
      </c>
      <c r="D7" s="60" t="s">
        <v>392</v>
      </c>
    </row>
    <row r="8" spans="1:5" x14ac:dyDescent="0.2">
      <c r="A8" s="62" t="s">
        <v>286</v>
      </c>
      <c r="B8" s="60" t="s">
        <v>449</v>
      </c>
      <c r="C8" s="60" t="s">
        <v>239</v>
      </c>
      <c r="D8" s="60" t="s">
        <v>392</v>
      </c>
    </row>
    <row r="9" spans="1:5" x14ac:dyDescent="0.2">
      <c r="A9" s="62" t="s">
        <v>287</v>
      </c>
      <c r="B9" s="60" t="s">
        <v>450</v>
      </c>
      <c r="C9" s="60" t="s">
        <v>239</v>
      </c>
      <c r="D9" s="60" t="s">
        <v>392</v>
      </c>
    </row>
    <row r="10" spans="1:5" x14ac:dyDescent="0.2">
      <c r="A10" s="62" t="s">
        <v>5</v>
      </c>
      <c r="B10" s="60" t="s">
        <v>394</v>
      </c>
      <c r="C10" s="60" t="s">
        <v>395</v>
      </c>
      <c r="D10" s="60" t="s">
        <v>396</v>
      </c>
    </row>
    <row r="11" spans="1:5" x14ac:dyDescent="0.2">
      <c r="A11" s="62" t="s">
        <v>7</v>
      </c>
      <c r="B11" s="60" t="s">
        <v>397</v>
      </c>
      <c r="C11" s="60" t="s">
        <v>395</v>
      </c>
      <c r="D11" s="60" t="s">
        <v>396</v>
      </c>
    </row>
    <row r="12" spans="1:5" x14ac:dyDescent="0.2">
      <c r="A12" s="62" t="s">
        <v>8</v>
      </c>
      <c r="B12" s="60" t="s">
        <v>398</v>
      </c>
      <c r="C12" s="60" t="s">
        <v>395</v>
      </c>
      <c r="D12" s="60" t="s">
        <v>396</v>
      </c>
    </row>
    <row r="13" spans="1:5" x14ac:dyDescent="0.2">
      <c r="A13" s="62" t="s">
        <v>271</v>
      </c>
      <c r="B13" s="60" t="s">
        <v>452</v>
      </c>
      <c r="C13" s="60" t="s">
        <v>239</v>
      </c>
      <c r="D13" s="60" t="s">
        <v>401</v>
      </c>
    </row>
    <row r="14" spans="1:5" x14ac:dyDescent="0.2">
      <c r="A14" s="62" t="s">
        <v>272</v>
      </c>
      <c r="B14" s="60" t="s">
        <v>451</v>
      </c>
      <c r="C14" s="60" t="s">
        <v>239</v>
      </c>
      <c r="D14" s="60" t="s">
        <v>401</v>
      </c>
    </row>
    <row r="15" spans="1:5" x14ac:dyDescent="0.2">
      <c r="A15" s="62" t="s">
        <v>273</v>
      </c>
      <c r="B15" s="60" t="s">
        <v>453</v>
      </c>
      <c r="C15" s="60" t="s">
        <v>239</v>
      </c>
      <c r="D15" s="60" t="s">
        <v>401</v>
      </c>
    </row>
    <row r="16" spans="1:5" x14ac:dyDescent="0.2">
      <c r="A16" s="62" t="s">
        <v>274</v>
      </c>
      <c r="B16" s="60" t="s">
        <v>454</v>
      </c>
      <c r="C16" s="60" t="s">
        <v>239</v>
      </c>
      <c r="D16" s="60" t="s">
        <v>401</v>
      </c>
    </row>
    <row r="17" spans="1:4" x14ac:dyDescent="0.2">
      <c r="A17" s="62" t="s">
        <v>111</v>
      </c>
      <c r="B17" s="60" t="s">
        <v>455</v>
      </c>
      <c r="C17" s="60" t="s">
        <v>239</v>
      </c>
      <c r="D17" s="60" t="s">
        <v>401</v>
      </c>
    </row>
    <row r="18" spans="1:4" x14ac:dyDescent="0.2">
      <c r="A18" s="63" t="s">
        <v>9</v>
      </c>
      <c r="B18" s="60" t="s">
        <v>456</v>
      </c>
      <c r="C18" s="60" t="s">
        <v>395</v>
      </c>
      <c r="D18" s="60" t="s">
        <v>401</v>
      </c>
    </row>
    <row r="19" spans="1:4" x14ac:dyDescent="0.2">
      <c r="A19" s="62" t="s">
        <v>10</v>
      </c>
      <c r="B19" s="60" t="s">
        <v>399</v>
      </c>
      <c r="C19" s="60" t="s">
        <v>400</v>
      </c>
      <c r="D19" s="60" t="s">
        <v>401</v>
      </c>
    </row>
    <row r="20" spans="1:4" x14ac:dyDescent="0.2">
      <c r="A20" s="62" t="s">
        <v>457</v>
      </c>
      <c r="B20" s="60" t="s">
        <v>458</v>
      </c>
      <c r="C20" s="60" t="s">
        <v>239</v>
      </c>
      <c r="D20" s="60" t="s">
        <v>401</v>
      </c>
    </row>
    <row r="21" spans="1:4" x14ac:dyDescent="0.2">
      <c r="A21" s="62" t="s">
        <v>11</v>
      </c>
      <c r="B21" s="60" t="s">
        <v>402</v>
      </c>
      <c r="C21" s="60" t="s">
        <v>403</v>
      </c>
      <c r="D21" s="60" t="s">
        <v>401</v>
      </c>
    </row>
    <row r="22" spans="1:4" x14ac:dyDescent="0.2">
      <c r="A22" s="62" t="s">
        <v>59</v>
      </c>
      <c r="B22" s="60" t="s">
        <v>459</v>
      </c>
      <c r="C22" s="60" t="s">
        <v>239</v>
      </c>
      <c r="D22" s="60" t="s">
        <v>401</v>
      </c>
    </row>
    <row r="23" spans="1:4" x14ac:dyDescent="0.2">
      <c r="A23" s="62" t="s">
        <v>13</v>
      </c>
      <c r="B23" s="60" t="s">
        <v>404</v>
      </c>
      <c r="C23" s="60" t="s">
        <v>405</v>
      </c>
      <c r="D23" s="60" t="s">
        <v>401</v>
      </c>
    </row>
    <row r="24" spans="1:4" x14ac:dyDescent="0.2">
      <c r="A24" s="62" t="s">
        <v>461</v>
      </c>
      <c r="B24" s="60" t="s">
        <v>464</v>
      </c>
      <c r="C24" s="60" t="s">
        <v>239</v>
      </c>
      <c r="D24" s="60" t="s">
        <v>401</v>
      </c>
    </row>
    <row r="25" spans="1:4" x14ac:dyDescent="0.2">
      <c r="A25" s="62" t="s">
        <v>14</v>
      </c>
      <c r="B25" s="60" t="s">
        <v>399</v>
      </c>
      <c r="C25" s="60" t="s">
        <v>406</v>
      </c>
      <c r="D25" s="60" t="s">
        <v>401</v>
      </c>
    </row>
    <row r="26" spans="1:4" x14ac:dyDescent="0.2">
      <c r="A26" s="62" t="s">
        <v>465</v>
      </c>
      <c r="B26" s="60" t="s">
        <v>467</v>
      </c>
      <c r="C26" s="60" t="s">
        <v>239</v>
      </c>
      <c r="D26" s="60" t="s">
        <v>401</v>
      </c>
    </row>
    <row r="27" spans="1:4" x14ac:dyDescent="0.2">
      <c r="A27" s="62" t="s">
        <v>15</v>
      </c>
      <c r="B27" s="60" t="s">
        <v>402</v>
      </c>
      <c r="C27" s="60" t="s">
        <v>460</v>
      </c>
      <c r="D27" s="60" t="s">
        <v>401</v>
      </c>
    </row>
    <row r="28" spans="1:4" x14ac:dyDescent="0.2">
      <c r="A28" s="62" t="s">
        <v>466</v>
      </c>
      <c r="B28" s="60" t="s">
        <v>468</v>
      </c>
      <c r="C28" s="60" t="s">
        <v>239</v>
      </c>
      <c r="D28" s="60" t="s">
        <v>401</v>
      </c>
    </row>
    <row r="29" spans="1:4" x14ac:dyDescent="0.2">
      <c r="A29" s="62" t="s">
        <v>16</v>
      </c>
      <c r="B29" s="60" t="s">
        <v>407</v>
      </c>
      <c r="C29" s="60" t="s">
        <v>391</v>
      </c>
      <c r="D29" s="60" t="s">
        <v>408</v>
      </c>
    </row>
    <row r="30" spans="1:4" x14ac:dyDescent="0.2">
      <c r="A30" s="62" t="s">
        <v>17</v>
      </c>
      <c r="B30" s="60" t="s">
        <v>409</v>
      </c>
      <c r="C30" s="60" t="s">
        <v>391</v>
      </c>
      <c r="D30" s="60" t="s">
        <v>408</v>
      </c>
    </row>
    <row r="31" spans="1:4" x14ac:dyDescent="0.2">
      <c r="A31" s="62" t="s">
        <v>18</v>
      </c>
      <c r="B31" s="60" t="s">
        <v>410</v>
      </c>
      <c r="C31" s="60" t="s">
        <v>391</v>
      </c>
      <c r="D31" s="60" t="s">
        <v>408</v>
      </c>
    </row>
    <row r="32" spans="1:4" x14ac:dyDescent="0.2">
      <c r="A32" s="62" t="s">
        <v>471</v>
      </c>
      <c r="B32" s="60" t="s">
        <v>470</v>
      </c>
      <c r="C32" s="60" t="s">
        <v>391</v>
      </c>
      <c r="D32" s="60" t="s">
        <v>408</v>
      </c>
    </row>
    <row r="33" spans="1:4" x14ac:dyDescent="0.2">
      <c r="A33" s="62" t="s">
        <v>472</v>
      </c>
      <c r="B33" s="60" t="s">
        <v>473</v>
      </c>
      <c r="C33" s="60" t="s">
        <v>391</v>
      </c>
      <c r="D33" s="60" t="s">
        <v>408</v>
      </c>
    </row>
    <row r="34" spans="1:4" x14ac:dyDescent="0.2">
      <c r="A34" s="62" t="s">
        <v>474</v>
      </c>
      <c r="B34" s="60" t="s">
        <v>475</v>
      </c>
      <c r="C34" s="60" t="s">
        <v>391</v>
      </c>
      <c r="D34" s="60" t="s">
        <v>408</v>
      </c>
    </row>
    <row r="35" spans="1:4" x14ac:dyDescent="0.2">
      <c r="A35" s="62" t="s">
        <v>476</v>
      </c>
      <c r="B35" s="60" t="s">
        <v>479</v>
      </c>
      <c r="C35" s="60" t="s">
        <v>391</v>
      </c>
      <c r="D35" s="60" t="s">
        <v>401</v>
      </c>
    </row>
    <row r="36" spans="1:4" x14ac:dyDescent="0.2">
      <c r="A36" s="62" t="s">
        <v>477</v>
      </c>
      <c r="B36" s="60" t="s">
        <v>480</v>
      </c>
      <c r="C36" s="60" t="s">
        <v>391</v>
      </c>
      <c r="D36" s="60" t="s">
        <v>401</v>
      </c>
    </row>
    <row r="37" spans="1:4" x14ac:dyDescent="0.2">
      <c r="A37" s="62" t="s">
        <v>478</v>
      </c>
      <c r="B37" s="60" t="s">
        <v>481</v>
      </c>
      <c r="C37" s="60" t="s">
        <v>391</v>
      </c>
      <c r="D37" s="60" t="s">
        <v>401</v>
      </c>
    </row>
    <row r="38" spans="1:4" x14ac:dyDescent="0.2">
      <c r="A38" s="62" t="s">
        <v>482</v>
      </c>
      <c r="B38" s="60" t="s">
        <v>483</v>
      </c>
      <c r="C38" s="60" t="s">
        <v>411</v>
      </c>
      <c r="D38" s="60" t="s">
        <v>401</v>
      </c>
    </row>
    <row r="39" spans="1:4" x14ac:dyDescent="0.2">
      <c r="A39" s="62" t="s">
        <v>469</v>
      </c>
      <c r="B39" s="60" t="s">
        <v>484</v>
      </c>
      <c r="C39" s="60" t="s">
        <v>411</v>
      </c>
      <c r="D39" s="60" t="s">
        <v>401</v>
      </c>
    </row>
    <row r="40" spans="1:4" x14ac:dyDescent="0.2">
      <c r="A40" s="62" t="s">
        <v>20</v>
      </c>
      <c r="B40" s="60" t="s">
        <v>485</v>
      </c>
      <c r="C40" s="60" t="s">
        <v>412</v>
      </c>
      <c r="D40" s="60" t="s">
        <v>401</v>
      </c>
    </row>
    <row r="41" spans="1:4" x14ac:dyDescent="0.2">
      <c r="A41" s="62" t="s">
        <v>21</v>
      </c>
      <c r="B41" s="60" t="s">
        <v>486</v>
      </c>
      <c r="C41" s="60" t="s">
        <v>488</v>
      </c>
      <c r="D41" s="60" t="s">
        <v>487</v>
      </c>
    </row>
    <row r="42" spans="1:4" x14ac:dyDescent="0.2">
      <c r="A42" s="62" t="s">
        <v>22</v>
      </c>
      <c r="B42" s="60" t="s">
        <v>489</v>
      </c>
      <c r="C42" s="60" t="s">
        <v>490</v>
      </c>
      <c r="D42" s="60" t="s">
        <v>392</v>
      </c>
    </row>
    <row r="43" spans="1:4" x14ac:dyDescent="0.2">
      <c r="A43" s="62" t="s">
        <v>23</v>
      </c>
      <c r="B43" s="60" t="s">
        <v>491</v>
      </c>
      <c r="C43" s="60" t="s">
        <v>239</v>
      </c>
      <c r="D43" s="60" t="s">
        <v>401</v>
      </c>
    </row>
    <row r="44" spans="1:4" x14ac:dyDescent="0.2">
      <c r="A44" s="62" t="s">
        <v>539</v>
      </c>
      <c r="B44" s="60" t="s">
        <v>602</v>
      </c>
      <c r="C44" s="60" t="s">
        <v>649</v>
      </c>
      <c r="D44" s="60" t="s">
        <v>392</v>
      </c>
    </row>
    <row r="45" spans="1:4" x14ac:dyDescent="0.2">
      <c r="A45" s="62" t="s">
        <v>593</v>
      </c>
      <c r="B45" s="60" t="s">
        <v>602</v>
      </c>
      <c r="C45" s="60" t="s">
        <v>650</v>
      </c>
      <c r="D45" s="60" t="s">
        <v>392</v>
      </c>
    </row>
    <row r="46" spans="1:4" x14ac:dyDescent="0.2">
      <c r="A46" s="62" t="s">
        <v>543</v>
      </c>
      <c r="B46" s="60" t="s">
        <v>603</v>
      </c>
      <c r="C46" s="60" t="s">
        <v>651</v>
      </c>
      <c r="D46" s="60" t="s">
        <v>401</v>
      </c>
    </row>
    <row r="47" spans="1:4" x14ac:dyDescent="0.2">
      <c r="A47" s="62" t="s">
        <v>544</v>
      </c>
      <c r="B47" s="60" t="s">
        <v>604</v>
      </c>
      <c r="C47" s="60" t="s">
        <v>239</v>
      </c>
      <c r="D47" s="60" t="s">
        <v>401</v>
      </c>
    </row>
    <row r="48" spans="1:4" x14ac:dyDescent="0.2">
      <c r="A48" s="62" t="s">
        <v>545</v>
      </c>
      <c r="B48" s="60" t="s">
        <v>605</v>
      </c>
      <c r="C48" s="60" t="s">
        <v>652</v>
      </c>
      <c r="D48" s="60" t="s">
        <v>401</v>
      </c>
    </row>
    <row r="49" spans="1:4" x14ac:dyDescent="0.2">
      <c r="A49" s="62" t="s">
        <v>57</v>
      </c>
      <c r="B49" s="60" t="s">
        <v>606</v>
      </c>
      <c r="C49" s="60" t="s">
        <v>239</v>
      </c>
      <c r="D49" s="60" t="s">
        <v>401</v>
      </c>
    </row>
    <row r="50" spans="1:4" x14ac:dyDescent="0.2">
      <c r="A50" s="62" t="s">
        <v>24</v>
      </c>
      <c r="B50" s="60" t="s">
        <v>494</v>
      </c>
      <c r="C50" s="60" t="s">
        <v>239</v>
      </c>
      <c r="D50" s="60" t="s">
        <v>401</v>
      </c>
    </row>
    <row r="51" spans="1:4" x14ac:dyDescent="0.2">
      <c r="A51" s="62" t="s">
        <v>496</v>
      </c>
      <c r="B51" s="60" t="s">
        <v>495</v>
      </c>
      <c r="C51" s="60" t="s">
        <v>497</v>
      </c>
      <c r="D51" s="60" t="s">
        <v>392</v>
      </c>
    </row>
    <row r="52" spans="1:4" x14ac:dyDescent="0.2">
      <c r="A52" s="62" t="s">
        <v>594</v>
      </c>
      <c r="B52" s="60" t="s">
        <v>607</v>
      </c>
      <c r="C52" s="60" t="s">
        <v>649</v>
      </c>
      <c r="D52" s="60" t="s">
        <v>392</v>
      </c>
    </row>
    <row r="53" spans="1:4" ht="13.5" x14ac:dyDescent="0.25">
      <c r="A53" s="61" t="s">
        <v>58</v>
      </c>
      <c r="B53" s="60" t="s">
        <v>608</v>
      </c>
      <c r="C53" s="60" t="s">
        <v>239</v>
      </c>
      <c r="D53" s="60" t="s">
        <v>401</v>
      </c>
    </row>
    <row r="54" spans="1:4" x14ac:dyDescent="0.2">
      <c r="A54" s="62" t="s">
        <v>546</v>
      </c>
      <c r="B54" s="60" t="s">
        <v>609</v>
      </c>
      <c r="C54" s="60" t="s">
        <v>653</v>
      </c>
      <c r="D54" s="60" t="s">
        <v>401</v>
      </c>
    </row>
    <row r="55" spans="1:4" x14ac:dyDescent="0.2">
      <c r="A55" s="62" t="s">
        <v>547</v>
      </c>
      <c r="B55" s="60" t="s">
        <v>610</v>
      </c>
      <c r="C55" s="60" t="s">
        <v>654</v>
      </c>
      <c r="D55" s="60" t="s">
        <v>401</v>
      </c>
    </row>
    <row r="56" spans="1:4" x14ac:dyDescent="0.2">
      <c r="A56" s="62" t="s">
        <v>338</v>
      </c>
      <c r="B56" s="60" t="s">
        <v>498</v>
      </c>
      <c r="C56" s="60" t="s">
        <v>497</v>
      </c>
      <c r="D56" s="60" t="s">
        <v>392</v>
      </c>
    </row>
    <row r="57" spans="1:4" ht="13.5" x14ac:dyDescent="0.25">
      <c r="A57" s="61" t="s">
        <v>499</v>
      </c>
      <c r="B57" s="60" t="s">
        <v>500</v>
      </c>
      <c r="C57" s="60" t="s">
        <v>239</v>
      </c>
      <c r="D57" s="60" t="s">
        <v>401</v>
      </c>
    </row>
    <row r="58" spans="1:4" x14ac:dyDescent="0.2">
      <c r="A58" s="62" t="s">
        <v>548</v>
      </c>
      <c r="B58" s="60" t="s">
        <v>611</v>
      </c>
      <c r="C58" s="60" t="s">
        <v>649</v>
      </c>
      <c r="D58" s="60" t="s">
        <v>392</v>
      </c>
    </row>
    <row r="59" spans="1:4" ht="13.5" x14ac:dyDescent="0.25">
      <c r="A59" s="64" t="s">
        <v>549</v>
      </c>
      <c r="B59" s="60" t="s">
        <v>612</v>
      </c>
      <c r="C59" s="60" t="s">
        <v>239</v>
      </c>
      <c r="D59" s="60" t="s">
        <v>401</v>
      </c>
    </row>
    <row r="60" spans="1:4" x14ac:dyDescent="0.2">
      <c r="A60" s="65" t="s">
        <v>550</v>
      </c>
      <c r="B60" s="60" t="s">
        <v>613</v>
      </c>
      <c r="C60" s="60" t="s">
        <v>655</v>
      </c>
      <c r="D60" s="60" t="s">
        <v>401</v>
      </c>
    </row>
    <row r="61" spans="1:4" x14ac:dyDescent="0.2">
      <c r="A61" s="65" t="s">
        <v>551</v>
      </c>
      <c r="B61" s="60" t="s">
        <v>614</v>
      </c>
      <c r="C61" s="60" t="s">
        <v>655</v>
      </c>
      <c r="D61" s="60" t="s">
        <v>401</v>
      </c>
    </row>
    <row r="62" spans="1:4" x14ac:dyDescent="0.2">
      <c r="A62" s="62" t="s">
        <v>25</v>
      </c>
      <c r="B62" s="60" t="s">
        <v>501</v>
      </c>
      <c r="C62" s="60" t="s">
        <v>497</v>
      </c>
      <c r="D62" s="60" t="s">
        <v>392</v>
      </c>
    </row>
    <row r="63" spans="1:4" x14ac:dyDescent="0.2">
      <c r="A63" s="62" t="s">
        <v>26</v>
      </c>
      <c r="B63" s="60" t="s">
        <v>502</v>
      </c>
      <c r="C63" s="60" t="s">
        <v>503</v>
      </c>
      <c r="D63" s="60" t="s">
        <v>401</v>
      </c>
    </row>
    <row r="64" spans="1:4" x14ac:dyDescent="0.2">
      <c r="A64" s="62" t="s">
        <v>552</v>
      </c>
      <c r="B64" s="60" t="s">
        <v>615</v>
      </c>
      <c r="C64" s="60" t="s">
        <v>504</v>
      </c>
      <c r="D64" s="60" t="s">
        <v>392</v>
      </c>
    </row>
    <row r="65" spans="1:4" x14ac:dyDescent="0.2">
      <c r="A65" s="62" t="s">
        <v>553</v>
      </c>
      <c r="B65" s="60" t="s">
        <v>505</v>
      </c>
      <c r="C65" s="60" t="s">
        <v>504</v>
      </c>
      <c r="D65" s="60" t="s">
        <v>392</v>
      </c>
    </row>
    <row r="66" spans="1:4" x14ac:dyDescent="0.2">
      <c r="A66" s="62" t="s">
        <v>558</v>
      </c>
      <c r="B66" s="60" t="s">
        <v>616</v>
      </c>
      <c r="C66" s="60" t="s">
        <v>656</v>
      </c>
      <c r="D66" s="60" t="s">
        <v>401</v>
      </c>
    </row>
    <row r="67" spans="1:4" x14ac:dyDescent="0.2">
      <c r="A67" s="62" t="s">
        <v>554</v>
      </c>
      <c r="B67" s="60" t="s">
        <v>617</v>
      </c>
      <c r="C67" s="60" t="s">
        <v>504</v>
      </c>
      <c r="D67" s="60" t="s">
        <v>392</v>
      </c>
    </row>
    <row r="68" spans="1:4" x14ac:dyDescent="0.2">
      <c r="A68" s="62" t="s">
        <v>555</v>
      </c>
      <c r="B68" s="60" t="s">
        <v>618</v>
      </c>
      <c r="C68" s="60" t="s">
        <v>504</v>
      </c>
      <c r="D68" s="60" t="s">
        <v>392</v>
      </c>
    </row>
    <row r="69" spans="1:4" x14ac:dyDescent="0.2">
      <c r="A69" s="62" t="s">
        <v>556</v>
      </c>
      <c r="B69" s="60" t="s">
        <v>619</v>
      </c>
      <c r="C69" s="60" t="s">
        <v>504</v>
      </c>
      <c r="D69" s="60" t="s">
        <v>392</v>
      </c>
    </row>
    <row r="70" spans="1:4" x14ac:dyDescent="0.2">
      <c r="A70" s="62" t="s">
        <v>557</v>
      </c>
      <c r="B70" s="60" t="s">
        <v>620</v>
      </c>
      <c r="C70" s="60" t="s">
        <v>504</v>
      </c>
      <c r="D70" s="60" t="s">
        <v>392</v>
      </c>
    </row>
    <row r="71" spans="1:4" x14ac:dyDescent="0.2">
      <c r="A71" s="62" t="s">
        <v>559</v>
      </c>
      <c r="B71" s="60" t="s">
        <v>621</v>
      </c>
      <c r="C71" s="60" t="s">
        <v>504</v>
      </c>
      <c r="D71" s="60" t="s">
        <v>392</v>
      </c>
    </row>
    <row r="72" spans="1:4" x14ac:dyDescent="0.2">
      <c r="A72" s="62" t="s">
        <v>595</v>
      </c>
      <c r="B72" s="60" t="s">
        <v>622</v>
      </c>
      <c r="C72" s="60" t="s">
        <v>504</v>
      </c>
      <c r="D72" s="60" t="s">
        <v>392</v>
      </c>
    </row>
    <row r="73" spans="1:4" x14ac:dyDescent="0.2">
      <c r="A73" s="62" t="s">
        <v>540</v>
      </c>
      <c r="B73" s="60" t="s">
        <v>623</v>
      </c>
      <c r="C73" s="60" t="s">
        <v>504</v>
      </c>
      <c r="D73" s="60" t="s">
        <v>392</v>
      </c>
    </row>
    <row r="74" spans="1:4" x14ac:dyDescent="0.2">
      <c r="A74" s="62" t="s">
        <v>596</v>
      </c>
      <c r="B74" s="60" t="s">
        <v>624</v>
      </c>
      <c r="C74" s="60" t="s">
        <v>504</v>
      </c>
      <c r="D74" s="60" t="s">
        <v>392</v>
      </c>
    </row>
    <row r="75" spans="1:4" x14ac:dyDescent="0.2">
      <c r="A75" s="62" t="s">
        <v>27</v>
      </c>
      <c r="B75" s="60" t="s">
        <v>413</v>
      </c>
      <c r="C75" s="60" t="s">
        <v>414</v>
      </c>
      <c r="D75" s="60" t="s">
        <v>396</v>
      </c>
    </row>
    <row r="76" spans="1:4" x14ac:dyDescent="0.2">
      <c r="A76" s="62" t="s">
        <v>28</v>
      </c>
      <c r="B76" s="60" t="s">
        <v>415</v>
      </c>
      <c r="C76" s="60" t="s">
        <v>414</v>
      </c>
      <c r="D76" s="60" t="s">
        <v>396</v>
      </c>
    </row>
    <row r="77" spans="1:4" x14ac:dyDescent="0.2">
      <c r="A77" s="62" t="s">
        <v>29</v>
      </c>
      <c r="B77" s="60" t="s">
        <v>416</v>
      </c>
      <c r="C77" s="60" t="s">
        <v>414</v>
      </c>
      <c r="D77" s="60" t="s">
        <v>396</v>
      </c>
    </row>
    <row r="78" spans="1:4" x14ac:dyDescent="0.2">
      <c r="A78" s="62" t="s">
        <v>561</v>
      </c>
      <c r="B78" s="60" t="s">
        <v>506</v>
      </c>
      <c r="C78" s="60" t="s">
        <v>507</v>
      </c>
      <c r="D78" s="60" t="s">
        <v>401</v>
      </c>
    </row>
    <row r="79" spans="1:4" x14ac:dyDescent="0.2">
      <c r="A79" s="62" t="s">
        <v>562</v>
      </c>
      <c r="B79" s="60" t="s">
        <v>417</v>
      </c>
      <c r="C79" s="60" t="s">
        <v>657</v>
      </c>
      <c r="D79" s="60" t="s">
        <v>401</v>
      </c>
    </row>
    <row r="80" spans="1:4" x14ac:dyDescent="0.2">
      <c r="A80" s="62" t="s">
        <v>597</v>
      </c>
      <c r="B80" s="60" t="s">
        <v>508</v>
      </c>
      <c r="C80" s="60" t="s">
        <v>507</v>
      </c>
      <c r="D80" s="60" t="s">
        <v>401</v>
      </c>
    </row>
    <row r="81" spans="1:4" x14ac:dyDescent="0.2">
      <c r="A81" s="62" t="s">
        <v>564</v>
      </c>
      <c r="B81" s="60" t="s">
        <v>418</v>
      </c>
      <c r="C81" s="60" t="s">
        <v>657</v>
      </c>
      <c r="D81" s="60" t="s">
        <v>401</v>
      </c>
    </row>
    <row r="82" spans="1:4" x14ac:dyDescent="0.2">
      <c r="A82" s="62" t="s">
        <v>565</v>
      </c>
      <c r="B82" s="60" t="s">
        <v>509</v>
      </c>
      <c r="C82" s="60" t="s">
        <v>657</v>
      </c>
      <c r="D82" s="60" t="s">
        <v>401</v>
      </c>
    </row>
    <row r="83" spans="1:4" x14ac:dyDescent="0.2">
      <c r="A83" s="62" t="s">
        <v>419</v>
      </c>
      <c r="B83" s="60" t="s">
        <v>420</v>
      </c>
      <c r="C83" s="60" t="s">
        <v>657</v>
      </c>
      <c r="D83" s="60" t="s">
        <v>401</v>
      </c>
    </row>
    <row r="84" spans="1:4" x14ac:dyDescent="0.2">
      <c r="A84" s="62" t="s">
        <v>30</v>
      </c>
      <c r="B84" s="60" t="s">
        <v>510</v>
      </c>
      <c r="C84" s="60" t="s">
        <v>239</v>
      </c>
      <c r="D84" s="60" t="s">
        <v>392</v>
      </c>
    </row>
    <row r="85" spans="1:4" x14ac:dyDescent="0.2">
      <c r="A85" s="62" t="s">
        <v>568</v>
      </c>
      <c r="B85" s="60" t="s">
        <v>625</v>
      </c>
      <c r="C85" s="60" t="s">
        <v>239</v>
      </c>
      <c r="D85" s="60" t="s">
        <v>401</v>
      </c>
    </row>
    <row r="86" spans="1:4" x14ac:dyDescent="0.2">
      <c r="A86" s="62" t="s">
        <v>569</v>
      </c>
      <c r="B86" s="60" t="s">
        <v>626</v>
      </c>
      <c r="C86" s="60" t="s">
        <v>239</v>
      </c>
      <c r="D86" s="60" t="s">
        <v>401</v>
      </c>
    </row>
    <row r="87" spans="1:4" x14ac:dyDescent="0.2">
      <c r="A87" s="62" t="s">
        <v>31</v>
      </c>
      <c r="B87" s="60" t="s">
        <v>421</v>
      </c>
      <c r="C87" s="60" t="s">
        <v>239</v>
      </c>
      <c r="D87" s="60" t="s">
        <v>401</v>
      </c>
    </row>
    <row r="88" spans="1:4" x14ac:dyDescent="0.2">
      <c r="A88" s="62" t="s">
        <v>570</v>
      </c>
      <c r="B88" s="60" t="s">
        <v>627</v>
      </c>
      <c r="C88" s="60" t="s">
        <v>239</v>
      </c>
      <c r="D88" s="60" t="s">
        <v>392</v>
      </c>
    </row>
    <row r="89" spans="1:4" x14ac:dyDescent="0.2">
      <c r="A89" s="62" t="s">
        <v>571</v>
      </c>
      <c r="B89" s="60" t="s">
        <v>628</v>
      </c>
      <c r="C89" s="60" t="s">
        <v>239</v>
      </c>
      <c r="D89" s="60" t="s">
        <v>392</v>
      </c>
    </row>
    <row r="90" spans="1:4" x14ac:dyDescent="0.2">
      <c r="A90" s="62" t="s">
        <v>572</v>
      </c>
      <c r="B90" s="60" t="s">
        <v>629</v>
      </c>
      <c r="C90" s="60" t="s">
        <v>239</v>
      </c>
      <c r="D90" s="60" t="s">
        <v>392</v>
      </c>
    </row>
    <row r="91" spans="1:4" x14ac:dyDescent="0.2">
      <c r="A91" s="62" t="s">
        <v>573</v>
      </c>
      <c r="B91" s="60" t="s">
        <v>630</v>
      </c>
      <c r="C91" s="60" t="s">
        <v>239</v>
      </c>
      <c r="D91" s="60" t="s">
        <v>392</v>
      </c>
    </row>
    <row r="92" spans="1:4" x14ac:dyDescent="0.2">
      <c r="A92" s="62" t="s">
        <v>574</v>
      </c>
      <c r="B92" s="60" t="s">
        <v>631</v>
      </c>
      <c r="C92" s="60" t="s">
        <v>239</v>
      </c>
      <c r="D92" s="60" t="s">
        <v>401</v>
      </c>
    </row>
    <row r="93" spans="1:4" x14ac:dyDescent="0.2">
      <c r="A93" s="62" t="s">
        <v>575</v>
      </c>
      <c r="B93" s="60" t="s">
        <v>632</v>
      </c>
      <c r="C93" s="60" t="s">
        <v>239</v>
      </c>
      <c r="D93" s="60" t="s">
        <v>401</v>
      </c>
    </row>
    <row r="94" spans="1:4" x14ac:dyDescent="0.2">
      <c r="A94" s="62" t="s">
        <v>598</v>
      </c>
      <c r="B94" s="60" t="s">
        <v>633</v>
      </c>
      <c r="C94" s="60" t="s">
        <v>239</v>
      </c>
      <c r="D94" s="60" t="s">
        <v>401</v>
      </c>
    </row>
    <row r="95" spans="1:4" x14ac:dyDescent="0.2">
      <c r="A95" s="62" t="s">
        <v>599</v>
      </c>
      <c r="B95" s="60" t="s">
        <v>634</v>
      </c>
      <c r="C95" s="60" t="s">
        <v>239</v>
      </c>
      <c r="D95" s="60" t="s">
        <v>401</v>
      </c>
    </row>
    <row r="96" spans="1:4" x14ac:dyDescent="0.2">
      <c r="A96" s="62" t="s">
        <v>578</v>
      </c>
      <c r="B96" s="60" t="s">
        <v>635</v>
      </c>
      <c r="C96" s="60" t="s">
        <v>239</v>
      </c>
      <c r="D96" s="60" t="s">
        <v>392</v>
      </c>
    </row>
    <row r="97" spans="1:4" x14ac:dyDescent="0.2">
      <c r="A97" s="62" t="s">
        <v>579</v>
      </c>
      <c r="B97" s="60" t="s">
        <v>636</v>
      </c>
      <c r="C97" s="60" t="s">
        <v>239</v>
      </c>
      <c r="D97" s="60" t="s">
        <v>401</v>
      </c>
    </row>
    <row r="98" spans="1:4" x14ac:dyDescent="0.2">
      <c r="A98" s="62" t="s">
        <v>33</v>
      </c>
      <c r="B98" s="60" t="s">
        <v>637</v>
      </c>
      <c r="C98" s="60" t="s">
        <v>239</v>
      </c>
      <c r="D98" s="60" t="s">
        <v>392</v>
      </c>
    </row>
    <row r="99" spans="1:4" x14ac:dyDescent="0.2">
      <c r="A99" s="62" t="s">
        <v>34</v>
      </c>
      <c r="B99" s="60" t="s">
        <v>638</v>
      </c>
      <c r="C99" s="60" t="s">
        <v>239</v>
      </c>
      <c r="D99" s="60" t="s">
        <v>392</v>
      </c>
    </row>
    <row r="100" spans="1:4" x14ac:dyDescent="0.2">
      <c r="A100" s="62" t="s">
        <v>584</v>
      </c>
      <c r="B100" s="60" t="s">
        <v>639</v>
      </c>
      <c r="C100" s="60" t="s">
        <v>658</v>
      </c>
      <c r="D100" s="60" t="s">
        <v>401</v>
      </c>
    </row>
    <row r="101" spans="1:4" x14ac:dyDescent="0.2">
      <c r="A101" s="62" t="s">
        <v>600</v>
      </c>
      <c r="B101" s="60" t="s">
        <v>640</v>
      </c>
      <c r="C101" s="60" t="s">
        <v>659</v>
      </c>
      <c r="D101" s="60" t="s">
        <v>401</v>
      </c>
    </row>
    <row r="102" spans="1:4" x14ac:dyDescent="0.2">
      <c r="A102" s="62" t="s">
        <v>586</v>
      </c>
      <c r="B102" s="60" t="s">
        <v>641</v>
      </c>
      <c r="C102" s="60" t="s">
        <v>658</v>
      </c>
      <c r="D102" s="60" t="s">
        <v>401</v>
      </c>
    </row>
    <row r="103" spans="1:4" x14ac:dyDescent="0.2">
      <c r="A103" s="62" t="s">
        <v>591</v>
      </c>
      <c r="B103" s="60" t="s">
        <v>642</v>
      </c>
      <c r="C103" s="60" t="s">
        <v>659</v>
      </c>
      <c r="D103" s="60" t="s">
        <v>401</v>
      </c>
    </row>
    <row r="104" spans="1:4" ht="13.5" x14ac:dyDescent="0.25">
      <c r="A104" s="61" t="s">
        <v>588</v>
      </c>
      <c r="B104" s="60" t="s">
        <v>643</v>
      </c>
      <c r="C104" s="60" t="s">
        <v>658</v>
      </c>
      <c r="D104" s="60" t="s">
        <v>401</v>
      </c>
    </row>
    <row r="105" spans="1:4" ht="13.5" x14ac:dyDescent="0.25">
      <c r="A105" s="61" t="s">
        <v>589</v>
      </c>
      <c r="B105" s="60" t="s">
        <v>644</v>
      </c>
      <c r="C105" s="60" t="s">
        <v>658</v>
      </c>
      <c r="D105" s="60" t="s">
        <v>401</v>
      </c>
    </row>
    <row r="106" spans="1:4" ht="13.5" x14ac:dyDescent="0.25">
      <c r="A106" s="61" t="s">
        <v>590</v>
      </c>
      <c r="B106" s="60" t="s">
        <v>645</v>
      </c>
      <c r="C106" s="60" t="s">
        <v>239</v>
      </c>
      <c r="D106" s="60" t="s">
        <v>401</v>
      </c>
    </row>
    <row r="107" spans="1:4" ht="13.5" x14ac:dyDescent="0.25">
      <c r="A107" s="5" t="s">
        <v>591</v>
      </c>
      <c r="B107" s="60" t="s">
        <v>646</v>
      </c>
      <c r="C107" s="60" t="s">
        <v>659</v>
      </c>
      <c r="D107" s="60" t="s">
        <v>401</v>
      </c>
    </row>
    <row r="108" spans="1:4" ht="13.5" x14ac:dyDescent="0.25">
      <c r="A108" s="64" t="s">
        <v>592</v>
      </c>
      <c r="B108" s="60" t="s">
        <v>647</v>
      </c>
      <c r="C108" s="60" t="s">
        <v>659</v>
      </c>
      <c r="D108" s="60" t="s">
        <v>401</v>
      </c>
    </row>
    <row r="109" spans="1:4" x14ac:dyDescent="0.2">
      <c r="A109" s="62" t="s">
        <v>35</v>
      </c>
      <c r="B109" s="60" t="s">
        <v>422</v>
      </c>
      <c r="C109" s="60" t="s">
        <v>237</v>
      </c>
      <c r="D109" s="60" t="s">
        <v>423</v>
      </c>
    </row>
    <row r="110" spans="1:4" x14ac:dyDescent="0.2">
      <c r="A110" s="62" t="s">
        <v>36</v>
      </c>
      <c r="B110" s="60" t="s">
        <v>424</v>
      </c>
      <c r="C110" s="60" t="s">
        <v>237</v>
      </c>
      <c r="D110" s="60" t="s">
        <v>423</v>
      </c>
    </row>
    <row r="111" spans="1:4" x14ac:dyDescent="0.2">
      <c r="A111" s="62" t="s">
        <v>37</v>
      </c>
      <c r="B111" s="60" t="s">
        <v>422</v>
      </c>
      <c r="C111" s="60" t="s">
        <v>237</v>
      </c>
      <c r="D111" s="60" t="s">
        <v>423</v>
      </c>
    </row>
    <row r="112" spans="1:4" x14ac:dyDescent="0.2">
      <c r="A112" s="62" t="s">
        <v>39</v>
      </c>
      <c r="B112" s="60" t="s">
        <v>424</v>
      </c>
      <c r="C112" s="60" t="s">
        <v>237</v>
      </c>
      <c r="D112" s="60" t="s">
        <v>423</v>
      </c>
    </row>
    <row r="113" spans="1:4" x14ac:dyDescent="0.2">
      <c r="A113" s="62" t="s">
        <v>40</v>
      </c>
      <c r="B113" s="60" t="s">
        <v>422</v>
      </c>
      <c r="C113" s="60" t="s">
        <v>237</v>
      </c>
      <c r="D113" s="60" t="s">
        <v>423</v>
      </c>
    </row>
    <row r="114" spans="1:4" x14ac:dyDescent="0.2">
      <c r="A114" s="62" t="s">
        <v>41</v>
      </c>
      <c r="B114" s="60" t="s">
        <v>424</v>
      </c>
      <c r="C114" s="60" t="s">
        <v>237</v>
      </c>
      <c r="D114" s="60" t="s">
        <v>423</v>
      </c>
    </row>
    <row r="115" spans="1:4" x14ac:dyDescent="0.2">
      <c r="A115" s="62" t="s">
        <v>42</v>
      </c>
      <c r="B115" s="60" t="s">
        <v>425</v>
      </c>
      <c r="C115" s="60" t="s">
        <v>426</v>
      </c>
      <c r="D115" s="60" t="s">
        <v>427</v>
      </c>
    </row>
    <row r="116" spans="1:4" x14ac:dyDescent="0.2">
      <c r="A116" s="62" t="s">
        <v>43</v>
      </c>
      <c r="B116" s="60" t="s">
        <v>428</v>
      </c>
      <c r="C116" s="60" t="s">
        <v>429</v>
      </c>
      <c r="D116" s="60" t="s">
        <v>427</v>
      </c>
    </row>
    <row r="117" spans="1:4" x14ac:dyDescent="0.2">
      <c r="A117" s="62" t="s">
        <v>44</v>
      </c>
      <c r="B117" s="60" t="s">
        <v>430</v>
      </c>
      <c r="C117" s="60" t="s">
        <v>431</v>
      </c>
      <c r="D117" s="60" t="s">
        <v>427</v>
      </c>
    </row>
    <row r="118" spans="1:4" x14ac:dyDescent="0.2">
      <c r="A118" s="62" t="s">
        <v>45</v>
      </c>
      <c r="B118" s="60" t="s">
        <v>432</v>
      </c>
      <c r="C118" s="60" t="s">
        <v>433</v>
      </c>
    </row>
    <row r="119" spans="1:4" x14ac:dyDescent="0.2">
      <c r="A119" s="62" t="s">
        <v>46</v>
      </c>
      <c r="B119" s="60" t="s">
        <v>434</v>
      </c>
      <c r="C119" s="60" t="s">
        <v>433</v>
      </c>
    </row>
    <row r="120" spans="1:4" x14ac:dyDescent="0.2">
      <c r="A120" s="62" t="s">
        <v>47</v>
      </c>
      <c r="B120" s="60" t="s">
        <v>435</v>
      </c>
      <c r="C120" s="60" t="s">
        <v>433</v>
      </c>
    </row>
    <row r="121" spans="1:4" x14ac:dyDescent="0.2">
      <c r="A121" s="62" t="s">
        <v>48</v>
      </c>
      <c r="B121" s="60" t="s">
        <v>436</v>
      </c>
      <c r="C121" s="60" t="s">
        <v>433</v>
      </c>
    </row>
    <row r="122" spans="1:4" x14ac:dyDescent="0.2">
      <c r="A122" s="62" t="s">
        <v>60</v>
      </c>
      <c r="B122" s="60" t="s">
        <v>437</v>
      </c>
      <c r="C122" s="60" t="s">
        <v>438</v>
      </c>
      <c r="D122" s="60" t="s">
        <v>511</v>
      </c>
    </row>
    <row r="123" spans="1:4" x14ac:dyDescent="0.2">
      <c r="A123" s="62" t="s">
        <v>49</v>
      </c>
      <c r="B123" s="60" t="s">
        <v>518</v>
      </c>
      <c r="C123" s="60" t="s">
        <v>433</v>
      </c>
      <c r="D123" s="60" t="s">
        <v>511</v>
      </c>
    </row>
    <row r="124" spans="1:4" x14ac:dyDescent="0.2">
      <c r="A124" s="62" t="s">
        <v>50</v>
      </c>
      <c r="B124" s="60" t="s">
        <v>410</v>
      </c>
      <c r="C124" s="60" t="s">
        <v>391</v>
      </c>
      <c r="D124" s="60" t="s">
        <v>408</v>
      </c>
    </row>
    <row r="125" spans="1:4" x14ac:dyDescent="0.2">
      <c r="A125" s="62" t="s">
        <v>51</v>
      </c>
      <c r="B125" s="60" t="s">
        <v>439</v>
      </c>
      <c r="C125" s="60" t="s">
        <v>440</v>
      </c>
      <c r="D125" s="60" t="s">
        <v>396</v>
      </c>
    </row>
    <row r="126" spans="1:4" x14ac:dyDescent="0.2">
      <c r="A126" s="62" t="s">
        <v>52</v>
      </c>
      <c r="B126" s="60" t="s">
        <v>512</v>
      </c>
      <c r="C126" s="60" t="s">
        <v>426</v>
      </c>
      <c r="D126" s="198" t="s">
        <v>755</v>
      </c>
    </row>
    <row r="127" spans="1:4" x14ac:dyDescent="0.2">
      <c r="A127" s="62" t="s">
        <v>586</v>
      </c>
      <c r="B127" s="60" t="s">
        <v>648</v>
      </c>
    </row>
    <row r="128" spans="1:4" x14ac:dyDescent="0.2">
      <c r="A128" s="62" t="s">
        <v>601</v>
      </c>
      <c r="B128" s="60" t="s">
        <v>441</v>
      </c>
      <c r="C128" s="60" t="s">
        <v>660</v>
      </c>
      <c r="D128" s="198" t="s">
        <v>755</v>
      </c>
    </row>
    <row r="129" spans="1:5" x14ac:dyDescent="0.2">
      <c r="A129" s="62" t="s">
        <v>53</v>
      </c>
      <c r="B129" s="60" t="s">
        <v>442</v>
      </c>
      <c r="C129" s="60" t="s">
        <v>426</v>
      </c>
      <c r="D129" s="198" t="s">
        <v>755</v>
      </c>
    </row>
    <row r="130" spans="1:5" x14ac:dyDescent="0.2">
      <c r="A130" s="62" t="s">
        <v>54</v>
      </c>
      <c r="B130" s="60" t="s">
        <v>443</v>
      </c>
      <c r="C130" s="60" t="s">
        <v>426</v>
      </c>
      <c r="D130" s="198" t="s">
        <v>755</v>
      </c>
    </row>
    <row r="131" spans="1:5" x14ac:dyDescent="0.2">
      <c r="A131" s="62" t="s">
        <v>55</v>
      </c>
      <c r="B131" s="60" t="s">
        <v>515</v>
      </c>
      <c r="C131" s="60" t="s">
        <v>516</v>
      </c>
      <c r="D131" s="198" t="s">
        <v>755</v>
      </c>
    </row>
    <row r="132" spans="1:5" x14ac:dyDescent="0.2">
      <c r="A132" s="62" t="s">
        <v>56</v>
      </c>
      <c r="B132" s="60" t="s">
        <v>517</v>
      </c>
      <c r="C132" s="60" t="s">
        <v>516</v>
      </c>
      <c r="D132" s="198" t="s">
        <v>755</v>
      </c>
    </row>
    <row r="133" spans="1:5" ht="13.5" x14ac:dyDescent="0.25">
      <c r="A133" s="5" t="s">
        <v>513</v>
      </c>
      <c r="B133" s="60" t="s">
        <v>519</v>
      </c>
      <c r="C133" s="60" t="s">
        <v>514</v>
      </c>
      <c r="D133" s="198" t="s">
        <v>755</v>
      </c>
    </row>
    <row r="134" spans="1:5" x14ac:dyDescent="0.2">
      <c r="A134" s="197" t="s">
        <v>520</v>
      </c>
      <c r="B134" s="198" t="s">
        <v>748</v>
      </c>
      <c r="C134" s="198" t="s">
        <v>749</v>
      </c>
      <c r="D134" s="198" t="s">
        <v>755</v>
      </c>
    </row>
    <row r="135" spans="1:5" x14ac:dyDescent="0.2">
      <c r="A135" s="62" t="s">
        <v>523</v>
      </c>
      <c r="B135" s="198" t="s">
        <v>750</v>
      </c>
      <c r="C135" s="60" t="s">
        <v>521</v>
      </c>
      <c r="D135" s="60" t="s">
        <v>522</v>
      </c>
    </row>
    <row r="136" spans="1:5" x14ac:dyDescent="0.2">
      <c r="A136" s="199" t="s">
        <v>524</v>
      </c>
      <c r="B136" s="198" t="s">
        <v>752</v>
      </c>
      <c r="C136" s="198" t="s">
        <v>754</v>
      </c>
      <c r="D136" s="198" t="s">
        <v>755</v>
      </c>
    </row>
    <row r="137" spans="1:5" x14ac:dyDescent="0.2">
      <c r="A137" s="199" t="s">
        <v>661</v>
      </c>
      <c r="B137" s="198" t="s">
        <v>751</v>
      </c>
      <c r="C137" s="66">
        <v>2010</v>
      </c>
      <c r="D137" s="198" t="s">
        <v>755</v>
      </c>
    </row>
    <row r="138" spans="1:5" x14ac:dyDescent="0.2">
      <c r="A138" s="200" t="s">
        <v>662</v>
      </c>
      <c r="B138" s="198" t="s">
        <v>752</v>
      </c>
      <c r="C138" s="198" t="s">
        <v>754</v>
      </c>
      <c r="D138" s="198" t="s">
        <v>755</v>
      </c>
    </row>
    <row r="139" spans="1:5" x14ac:dyDescent="0.2">
      <c r="A139" s="202" t="s">
        <v>526</v>
      </c>
      <c r="B139" s="198" t="s">
        <v>753</v>
      </c>
      <c r="C139" s="203" t="s">
        <v>756</v>
      </c>
      <c r="D139" s="198" t="s">
        <v>754</v>
      </c>
    </row>
    <row r="140" spans="1:5" x14ac:dyDescent="0.2">
      <c r="A140" s="205" t="s">
        <v>527</v>
      </c>
      <c r="B140" s="198" t="s">
        <v>758</v>
      </c>
      <c r="C140" s="198" t="s">
        <v>754</v>
      </c>
      <c r="D140" s="198" t="s">
        <v>754</v>
      </c>
    </row>
    <row r="141" spans="1:5" ht="13.5" x14ac:dyDescent="0.25">
      <c r="A141" s="205" t="s">
        <v>762</v>
      </c>
      <c r="B141" s="198" t="s">
        <v>764</v>
      </c>
      <c r="C141" s="60" t="s">
        <v>529</v>
      </c>
      <c r="D141" s="60" t="s">
        <v>392</v>
      </c>
      <c r="E141" s="204" t="s">
        <v>776</v>
      </c>
    </row>
    <row r="142" spans="1:5" ht="13.5" x14ac:dyDescent="0.25">
      <c r="A142" s="205" t="s">
        <v>761</v>
      </c>
      <c r="B142" s="198" t="s">
        <v>765</v>
      </c>
      <c r="C142" s="60" t="s">
        <v>530</v>
      </c>
      <c r="D142" s="60" t="s">
        <v>392</v>
      </c>
      <c r="E142" s="204" t="s">
        <v>776</v>
      </c>
    </row>
    <row r="143" spans="1:5" ht="13.5" x14ac:dyDescent="0.25">
      <c r="A143" s="205" t="s">
        <v>760</v>
      </c>
      <c r="B143" s="205" t="s">
        <v>760</v>
      </c>
      <c r="C143" s="60" t="s">
        <v>531</v>
      </c>
      <c r="D143" s="60" t="s">
        <v>392</v>
      </c>
      <c r="E143" s="204" t="s">
        <v>776</v>
      </c>
    </row>
    <row r="144" spans="1:5" ht="13.5" x14ac:dyDescent="0.25">
      <c r="A144" s="205" t="s">
        <v>759</v>
      </c>
      <c r="B144" s="198" t="s">
        <v>766</v>
      </c>
      <c r="C144" s="60" t="s">
        <v>532</v>
      </c>
      <c r="D144" s="198" t="s">
        <v>755</v>
      </c>
      <c r="E144" s="204" t="s">
        <v>776</v>
      </c>
    </row>
    <row r="145" spans="1:5" ht="13.5" x14ac:dyDescent="0.25">
      <c r="A145" s="205" t="s">
        <v>740</v>
      </c>
      <c r="B145" s="198" t="s">
        <v>767</v>
      </c>
      <c r="C145" s="60" t="s">
        <v>532</v>
      </c>
      <c r="D145" s="198" t="s">
        <v>755</v>
      </c>
      <c r="E145" s="204" t="s">
        <v>776</v>
      </c>
    </row>
    <row r="146" spans="1:5" ht="25.5" x14ac:dyDescent="0.25">
      <c r="A146" s="202" t="s">
        <v>763</v>
      </c>
      <c r="B146" s="198" t="s">
        <v>768</v>
      </c>
      <c r="C146" s="60" t="s">
        <v>741</v>
      </c>
      <c r="D146" s="198" t="s">
        <v>755</v>
      </c>
      <c r="E146" s="204" t="s">
        <v>776</v>
      </c>
    </row>
    <row r="147" spans="1:5" ht="13.5" x14ac:dyDescent="0.25">
      <c r="A147" s="207" t="s">
        <v>742</v>
      </c>
      <c r="B147" s="198" t="s">
        <v>769</v>
      </c>
      <c r="C147" s="60" t="s">
        <v>741</v>
      </c>
      <c r="D147" s="198" t="s">
        <v>755</v>
      </c>
      <c r="E147" s="204" t="s">
        <v>776</v>
      </c>
    </row>
    <row r="148" spans="1:5" ht="13.5" x14ac:dyDescent="0.25">
      <c r="A148" s="207" t="s">
        <v>770</v>
      </c>
      <c r="B148" s="198" t="s">
        <v>772</v>
      </c>
      <c r="C148" s="198" t="s">
        <v>773</v>
      </c>
      <c r="D148" s="198" t="s">
        <v>755</v>
      </c>
      <c r="E148" s="204" t="s">
        <v>776</v>
      </c>
    </row>
    <row r="149" spans="1:5" ht="13.5" x14ac:dyDescent="0.25">
      <c r="A149" s="207" t="s">
        <v>771</v>
      </c>
      <c r="B149" s="198" t="s">
        <v>774</v>
      </c>
      <c r="C149" s="198" t="s">
        <v>775</v>
      </c>
      <c r="D149" s="198" t="s">
        <v>755</v>
      </c>
      <c r="E149" s="204" t="s">
        <v>776</v>
      </c>
    </row>
  </sheetData>
  <phoneticPr fontId="10" type="noConversion"/>
  <pageMargins left="0.78740157499999996" right="0.78740157499999996" top="0.984251969" bottom="0.984251969" header="0.4921259845" footer="0.4921259845"/>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1"/>
  <dimension ref="A1:V101"/>
  <sheetViews>
    <sheetView workbookViewId="0">
      <pane xSplit="3" ySplit="12" topLeftCell="D16" activePane="bottomRight" state="frozen"/>
      <selection pane="topRight" activeCell="D1" sqref="D1"/>
      <selection pane="bottomLeft" activeCell="A13" sqref="A13"/>
      <selection pane="bottomRight" activeCell="M32" sqref="M32"/>
    </sheetView>
  </sheetViews>
  <sheetFormatPr baseColWidth="10" defaultColWidth="10" defaultRowHeight="13.5" x14ac:dyDescent="0.25"/>
  <cols>
    <col min="1" max="10" width="10" style="44"/>
    <col min="11" max="11" width="13.25" style="44" customWidth="1"/>
    <col min="12" max="19" width="10" style="44"/>
    <col min="21" max="21" width="11"/>
    <col min="22" max="22" width="26" customWidth="1"/>
    <col min="23" max="16384" width="10" style="44"/>
  </cols>
  <sheetData>
    <row r="1" spans="1:22" x14ac:dyDescent="0.25">
      <c r="A1" s="44" t="s">
        <v>298</v>
      </c>
    </row>
    <row r="3" spans="1:22" x14ac:dyDescent="0.25">
      <c r="A3" s="44" t="s">
        <v>299</v>
      </c>
      <c r="B3" s="44" t="s">
        <v>300</v>
      </c>
    </row>
    <row r="4" spans="1:22" x14ac:dyDescent="0.25">
      <c r="A4" s="44" t="s">
        <v>244</v>
      </c>
      <c r="B4" s="44" t="s">
        <v>245</v>
      </c>
    </row>
    <row r="5" spans="1:22" x14ac:dyDescent="0.25">
      <c r="A5" s="44" t="s">
        <v>246</v>
      </c>
      <c r="B5" s="44" t="s">
        <v>247</v>
      </c>
    </row>
    <row r="6" spans="1:22" x14ac:dyDescent="0.25">
      <c r="A6" s="44" t="s">
        <v>248</v>
      </c>
      <c r="B6" s="44" t="s">
        <v>301</v>
      </c>
    </row>
    <row r="7" spans="1:22" x14ac:dyDescent="0.25">
      <c r="A7" s="44" t="s">
        <v>250</v>
      </c>
      <c r="B7" s="44" t="s">
        <v>251</v>
      </c>
    </row>
    <row r="8" spans="1:22" x14ac:dyDescent="0.25">
      <c r="A8" s="44" t="s">
        <v>252</v>
      </c>
      <c r="B8" s="44" t="s">
        <v>253</v>
      </c>
    </row>
    <row r="9" spans="1:22" x14ac:dyDescent="0.25">
      <c r="A9" s="44" t="s">
        <v>254</v>
      </c>
      <c r="B9" s="44" t="s">
        <v>302</v>
      </c>
    </row>
    <row r="10" spans="1:22" x14ac:dyDescent="0.25">
      <c r="A10" s="44" t="s">
        <v>256</v>
      </c>
      <c r="B10" s="44" t="s">
        <v>303</v>
      </c>
      <c r="G10" s="47" t="s">
        <v>306</v>
      </c>
      <c r="K10" s="47" t="s">
        <v>344</v>
      </c>
    </row>
    <row r="12" spans="1:22" ht="40.5" x14ac:dyDescent="0.25">
      <c r="A12" s="44" t="s">
        <v>258</v>
      </c>
      <c r="B12" s="44" t="s">
        <v>259</v>
      </c>
      <c r="C12" s="44" t="s">
        <v>260</v>
      </c>
      <c r="D12" s="45" t="s">
        <v>261</v>
      </c>
      <c r="E12" s="44" t="s">
        <v>262</v>
      </c>
      <c r="G12" s="47" t="s">
        <v>307</v>
      </c>
      <c r="H12" s="45" t="s">
        <v>261</v>
      </c>
      <c r="I12" s="47" t="s">
        <v>308</v>
      </c>
      <c r="K12" t="s">
        <v>342</v>
      </c>
      <c r="L12" t="s">
        <v>343</v>
      </c>
      <c r="M12" s="47" t="s">
        <v>308</v>
      </c>
      <c r="N12" s="47" t="s">
        <v>345</v>
      </c>
      <c r="O12" s="47" t="s">
        <v>346</v>
      </c>
      <c r="Q12" s="1" t="s">
        <v>581</v>
      </c>
      <c r="R12" s="44" t="s">
        <v>580</v>
      </c>
      <c r="T12" s="147" t="s">
        <v>736</v>
      </c>
      <c r="U12" s="147" t="s">
        <v>735</v>
      </c>
      <c r="V12" s="147" t="s">
        <v>734</v>
      </c>
    </row>
    <row r="13" spans="1:22" x14ac:dyDescent="0.25">
      <c r="A13" s="44">
        <v>1</v>
      </c>
      <c r="B13" s="44" t="s">
        <v>263</v>
      </c>
      <c r="C13" s="44">
        <v>1996</v>
      </c>
      <c r="D13" s="45">
        <v>81.900000000000006</v>
      </c>
      <c r="E13" s="44" t="s">
        <v>293</v>
      </c>
      <c r="G13" s="46">
        <v>1996</v>
      </c>
      <c r="H13" s="45">
        <v>82.325000000000003</v>
      </c>
      <c r="I13" s="48">
        <f>H13/100</f>
        <v>0.82325000000000004</v>
      </c>
      <c r="K13">
        <v>1996</v>
      </c>
      <c r="L13" s="8">
        <v>42.75</v>
      </c>
      <c r="M13" s="48">
        <f>L13/100</f>
        <v>0.42749999999999999</v>
      </c>
      <c r="O13" s="48">
        <f>L13/L$22</f>
        <v>0.48565748366941208</v>
      </c>
      <c r="Q13" s="135">
        <v>42.75</v>
      </c>
      <c r="R13" s="6">
        <f>Q13/Q$27</f>
        <v>0.41304347826086957</v>
      </c>
      <c r="T13">
        <v>1996</v>
      </c>
      <c r="U13" t="s">
        <v>713</v>
      </c>
      <c r="V13">
        <v>42.6</v>
      </c>
    </row>
    <row r="14" spans="1:22" x14ac:dyDescent="0.25">
      <c r="A14" s="44">
        <v>2</v>
      </c>
      <c r="B14" s="44" t="s">
        <v>267</v>
      </c>
      <c r="C14" s="44">
        <v>1996</v>
      </c>
      <c r="D14" s="45">
        <v>81.900000000000006</v>
      </c>
      <c r="E14" s="44" t="s">
        <v>293</v>
      </c>
      <c r="G14" s="46">
        <v>1997</v>
      </c>
      <c r="H14" s="45">
        <v>82.325000000000003</v>
      </c>
      <c r="I14" s="48">
        <f t="shared" ref="I14:I27" si="0">H14/100</f>
        <v>0.82325000000000004</v>
      </c>
      <c r="K14">
        <v>1997</v>
      </c>
      <c r="L14" s="8">
        <v>42.55</v>
      </c>
      <c r="M14" s="48">
        <f t="shared" ref="M14:M29" si="1">L14/100</f>
        <v>0.42549999999999999</v>
      </c>
      <c r="N14" s="54">
        <f>M14/M13-1</f>
        <v>-4.6783625730993927E-3</v>
      </c>
      <c r="O14" s="48">
        <f t="shared" ref="O14:O29" si="2">L14/L$22</f>
        <v>0.48338540187446744</v>
      </c>
      <c r="P14" s="54">
        <f>O14/O13-1</f>
        <v>-4.6783625730995038E-3</v>
      </c>
      <c r="Q14" s="135">
        <v>42.55</v>
      </c>
      <c r="R14" s="6">
        <f t="shared" ref="R14:R31" si="3">Q14/Q$27</f>
        <v>0.41111111111111109</v>
      </c>
      <c r="T14">
        <v>1996</v>
      </c>
      <c r="U14" t="s">
        <v>711</v>
      </c>
      <c r="V14">
        <v>42.6</v>
      </c>
    </row>
    <row r="15" spans="1:22" x14ac:dyDescent="0.25">
      <c r="A15" s="44">
        <v>3</v>
      </c>
      <c r="B15" s="44" t="s">
        <v>266</v>
      </c>
      <c r="C15" s="44">
        <v>1996</v>
      </c>
      <c r="D15" s="45">
        <v>82.1</v>
      </c>
      <c r="E15" s="44" t="s">
        <v>293</v>
      </c>
      <c r="G15" s="46">
        <v>1998</v>
      </c>
      <c r="H15" s="45">
        <v>83.974999999999994</v>
      </c>
      <c r="I15" s="48">
        <f t="shared" si="0"/>
        <v>0.83975</v>
      </c>
      <c r="K15">
        <v>1998</v>
      </c>
      <c r="L15" s="8">
        <v>43.45</v>
      </c>
      <c r="M15" s="48">
        <f t="shared" si="1"/>
        <v>0.43450000000000005</v>
      </c>
      <c r="N15" s="54">
        <f t="shared" ref="N15:P29" si="4">M15/M14-1</f>
        <v>2.1151586368977737E-2</v>
      </c>
      <c r="O15" s="48">
        <f t="shared" si="2"/>
        <v>0.49360976995171824</v>
      </c>
      <c r="P15" s="54">
        <f t="shared" si="4"/>
        <v>2.1151586368977737E-2</v>
      </c>
      <c r="Q15" s="135">
        <v>43.449999999999996</v>
      </c>
      <c r="R15" s="6">
        <f t="shared" si="3"/>
        <v>0.41980676328502409</v>
      </c>
      <c r="T15">
        <v>1996</v>
      </c>
      <c r="U15" t="s">
        <v>717</v>
      </c>
      <c r="V15">
        <v>42.7</v>
      </c>
    </row>
    <row r="16" spans="1:22" x14ac:dyDescent="0.25">
      <c r="A16" s="44">
        <v>4</v>
      </c>
      <c r="B16" s="44" t="s">
        <v>265</v>
      </c>
      <c r="C16" s="44">
        <v>1996</v>
      </c>
      <c r="D16" s="45">
        <v>83.4</v>
      </c>
      <c r="E16" s="44" t="s">
        <v>293</v>
      </c>
      <c r="G16" s="46">
        <v>1999</v>
      </c>
      <c r="H16" s="45">
        <v>89.95</v>
      </c>
      <c r="I16" s="48">
        <f t="shared" si="0"/>
        <v>0.89950000000000008</v>
      </c>
      <c r="K16">
        <v>1999</v>
      </c>
      <c r="L16" s="8">
        <v>46.4</v>
      </c>
      <c r="M16" s="48">
        <f t="shared" si="1"/>
        <v>0.46399999999999997</v>
      </c>
      <c r="N16" s="54">
        <f t="shared" si="4"/>
        <v>6.7894131185270323E-2</v>
      </c>
      <c r="O16" s="48">
        <f t="shared" si="2"/>
        <v>0.52712297642715134</v>
      </c>
      <c r="P16" s="54">
        <f t="shared" si="4"/>
        <v>6.7894131185270323E-2</v>
      </c>
      <c r="Q16" s="135">
        <v>46.400000000000006</v>
      </c>
      <c r="R16" s="6">
        <f t="shared" si="3"/>
        <v>0.44830917874396142</v>
      </c>
      <c r="T16">
        <v>1996</v>
      </c>
      <c r="U16" t="s">
        <v>715</v>
      </c>
      <c r="V16">
        <v>43.1</v>
      </c>
    </row>
    <row r="17" spans="1:22" x14ac:dyDescent="0.25">
      <c r="A17" s="44">
        <v>1</v>
      </c>
      <c r="B17" s="44" t="s">
        <v>263</v>
      </c>
      <c r="C17" s="44">
        <v>1997</v>
      </c>
      <c r="D17" s="45">
        <v>81</v>
      </c>
      <c r="E17" s="44" t="s">
        <v>293</v>
      </c>
      <c r="G17" s="46">
        <v>2000</v>
      </c>
      <c r="H17" s="45">
        <v>97.85</v>
      </c>
      <c r="I17" s="48">
        <f t="shared" si="0"/>
        <v>0.97849999999999993</v>
      </c>
      <c r="K17">
        <v>2000</v>
      </c>
      <c r="L17" s="8">
        <v>50.5</v>
      </c>
      <c r="M17" s="48">
        <f t="shared" si="1"/>
        <v>0.505</v>
      </c>
      <c r="N17" s="54">
        <f t="shared" si="4"/>
        <v>8.8362068965517349E-2</v>
      </c>
      <c r="O17" s="48">
        <f t="shared" si="2"/>
        <v>0.57370065322351604</v>
      </c>
      <c r="P17" s="54">
        <f t="shared" si="4"/>
        <v>8.8362068965517349E-2</v>
      </c>
      <c r="Q17" s="135">
        <v>50.5</v>
      </c>
      <c r="R17" s="6">
        <f t="shared" si="3"/>
        <v>0.48792270531400966</v>
      </c>
      <c r="T17">
        <v>1997</v>
      </c>
      <c r="U17" t="s">
        <v>713</v>
      </c>
      <c r="V17">
        <v>42.1</v>
      </c>
    </row>
    <row r="18" spans="1:22" x14ac:dyDescent="0.25">
      <c r="A18" s="44">
        <v>2</v>
      </c>
      <c r="B18" s="44" t="s">
        <v>267</v>
      </c>
      <c r="C18" s="44">
        <v>1997</v>
      </c>
      <c r="D18" s="45">
        <v>82.7</v>
      </c>
      <c r="E18" s="44" t="s">
        <v>293</v>
      </c>
      <c r="G18" s="46">
        <v>2001</v>
      </c>
      <c r="H18" s="45">
        <v>105.52500000000001</v>
      </c>
      <c r="I18" s="48">
        <f t="shared" si="0"/>
        <v>1.05525</v>
      </c>
      <c r="K18">
        <v>2001</v>
      </c>
      <c r="L18" s="8">
        <v>54.5</v>
      </c>
      <c r="M18" s="48">
        <f t="shared" si="1"/>
        <v>0.54500000000000004</v>
      </c>
      <c r="N18" s="54">
        <f t="shared" si="4"/>
        <v>7.9207920792079278E-2</v>
      </c>
      <c r="O18" s="48">
        <f t="shared" si="2"/>
        <v>0.61914228912240832</v>
      </c>
      <c r="P18" s="54">
        <f t="shared" si="4"/>
        <v>7.9207920792079056E-2</v>
      </c>
      <c r="Q18" s="135">
        <v>54.5</v>
      </c>
      <c r="R18" s="6">
        <f t="shared" si="3"/>
        <v>0.52657004830917875</v>
      </c>
      <c r="T18">
        <v>1997</v>
      </c>
      <c r="U18" t="s">
        <v>711</v>
      </c>
      <c r="V18">
        <v>42.8</v>
      </c>
    </row>
    <row r="19" spans="1:22" x14ac:dyDescent="0.25">
      <c r="A19" s="44">
        <v>3</v>
      </c>
      <c r="B19" s="44" t="s">
        <v>266</v>
      </c>
      <c r="C19" s="44">
        <v>1997</v>
      </c>
      <c r="D19" s="45">
        <v>82.4</v>
      </c>
      <c r="E19" s="44" t="s">
        <v>293</v>
      </c>
      <c r="G19" s="46">
        <v>2002</v>
      </c>
      <c r="H19" s="45">
        <v>114.25</v>
      </c>
      <c r="I19" s="48">
        <f t="shared" si="0"/>
        <v>1.1425000000000001</v>
      </c>
      <c r="K19">
        <v>2002</v>
      </c>
      <c r="L19" s="8">
        <v>59.25</v>
      </c>
      <c r="M19" s="48">
        <f t="shared" si="1"/>
        <v>0.59250000000000003</v>
      </c>
      <c r="N19" s="54">
        <f t="shared" si="4"/>
        <v>8.7155963302752326E-2</v>
      </c>
      <c r="O19" s="48">
        <f t="shared" si="2"/>
        <v>0.67310423175234302</v>
      </c>
      <c r="P19" s="54">
        <f t="shared" si="4"/>
        <v>8.7155963302752326E-2</v>
      </c>
      <c r="Q19" s="135">
        <v>59.25</v>
      </c>
      <c r="R19" s="6">
        <f t="shared" si="3"/>
        <v>0.57246376811594202</v>
      </c>
      <c r="T19">
        <v>1997</v>
      </c>
      <c r="U19" t="s">
        <v>717</v>
      </c>
      <c r="V19">
        <v>42.5</v>
      </c>
    </row>
    <row r="20" spans="1:22" x14ac:dyDescent="0.25">
      <c r="A20" s="44">
        <v>4</v>
      </c>
      <c r="B20" s="44" t="s">
        <v>265</v>
      </c>
      <c r="C20" s="44">
        <v>1997</v>
      </c>
      <c r="D20" s="45">
        <v>83.2</v>
      </c>
      <c r="E20" s="44" t="s">
        <v>293</v>
      </c>
      <c r="G20" s="46">
        <v>2003</v>
      </c>
      <c r="H20" s="45">
        <v>127.77500000000001</v>
      </c>
      <c r="I20" s="48">
        <f t="shared" si="0"/>
        <v>1.2777500000000002</v>
      </c>
      <c r="K20">
        <v>2003</v>
      </c>
      <c r="L20" s="8">
        <v>66.25</v>
      </c>
      <c r="M20" s="48">
        <f t="shared" si="1"/>
        <v>0.66249999999999998</v>
      </c>
      <c r="N20" s="54">
        <f t="shared" si="4"/>
        <v>0.1181434599156117</v>
      </c>
      <c r="O20" s="48">
        <f t="shared" si="2"/>
        <v>0.75262709457540466</v>
      </c>
      <c r="P20" s="54">
        <f t="shared" si="4"/>
        <v>0.11814345991561193</v>
      </c>
      <c r="Q20" s="135">
        <v>66.25</v>
      </c>
      <c r="R20" s="6">
        <f t="shared" si="3"/>
        <v>0.64009661835748788</v>
      </c>
      <c r="T20">
        <v>1997</v>
      </c>
      <c r="U20" t="s">
        <v>715</v>
      </c>
      <c r="V20">
        <v>43</v>
      </c>
    </row>
    <row r="21" spans="1:22" x14ac:dyDescent="0.25">
      <c r="A21" s="44">
        <v>1</v>
      </c>
      <c r="B21" s="44" t="s">
        <v>263</v>
      </c>
      <c r="C21" s="44">
        <v>1998</v>
      </c>
      <c r="D21" s="45">
        <v>82.5</v>
      </c>
      <c r="E21" s="44" t="s">
        <v>293</v>
      </c>
      <c r="G21" s="46">
        <v>2004</v>
      </c>
      <c r="H21" s="45">
        <v>147.19999999999999</v>
      </c>
      <c r="I21" s="48">
        <f t="shared" si="0"/>
        <v>1.472</v>
      </c>
      <c r="K21">
        <v>2004</v>
      </c>
      <c r="L21" s="8">
        <v>76.275000000000006</v>
      </c>
      <c r="M21" s="48">
        <f t="shared" si="1"/>
        <v>0.76275000000000004</v>
      </c>
      <c r="N21" s="54">
        <f t="shared" si="4"/>
        <v>0.15132075471698125</v>
      </c>
      <c r="O21" s="48">
        <f t="shared" si="2"/>
        <v>0.86651519454700365</v>
      </c>
      <c r="P21" s="54">
        <f t="shared" si="4"/>
        <v>0.15132075471698125</v>
      </c>
      <c r="Q21" s="135">
        <v>76.275000000000006</v>
      </c>
      <c r="R21" s="6">
        <f t="shared" si="3"/>
        <v>0.73695652173913051</v>
      </c>
      <c r="T21">
        <v>1998</v>
      </c>
      <c r="U21" t="s">
        <v>713</v>
      </c>
      <c r="V21">
        <v>42.8</v>
      </c>
    </row>
    <row r="22" spans="1:22" x14ac:dyDescent="0.25">
      <c r="A22" s="44">
        <v>2</v>
      </c>
      <c r="B22" s="44" t="s">
        <v>267</v>
      </c>
      <c r="C22" s="44">
        <v>1998</v>
      </c>
      <c r="D22" s="45">
        <v>83.7</v>
      </c>
      <c r="E22" s="44" t="s">
        <v>293</v>
      </c>
      <c r="G22" s="46">
        <v>2005</v>
      </c>
      <c r="H22" s="45">
        <v>169.52500000000001</v>
      </c>
      <c r="I22" s="48">
        <f t="shared" si="0"/>
        <v>1.6952500000000001</v>
      </c>
      <c r="K22">
        <v>2005</v>
      </c>
      <c r="L22" s="8">
        <v>88.025000000000006</v>
      </c>
      <c r="M22" s="48">
        <f t="shared" si="1"/>
        <v>0.88025000000000009</v>
      </c>
      <c r="N22" s="54">
        <f t="shared" si="4"/>
        <v>0.15404785316289749</v>
      </c>
      <c r="O22" s="48">
        <f t="shared" si="2"/>
        <v>1</v>
      </c>
      <c r="P22" s="54">
        <f t="shared" si="4"/>
        <v>0.15404785316289749</v>
      </c>
      <c r="Q22" s="135">
        <v>88.025000000000006</v>
      </c>
      <c r="R22" s="6">
        <f t="shared" si="3"/>
        <v>0.85048309178743964</v>
      </c>
      <c r="T22">
        <v>1998</v>
      </c>
      <c r="U22" t="s">
        <v>711</v>
      </c>
      <c r="V22">
        <v>43.3</v>
      </c>
    </row>
    <row r="23" spans="1:22" x14ac:dyDescent="0.25">
      <c r="A23" s="44">
        <v>3</v>
      </c>
      <c r="B23" s="44" t="s">
        <v>266</v>
      </c>
      <c r="C23" s="44">
        <v>1998</v>
      </c>
      <c r="D23" s="45">
        <v>84.3</v>
      </c>
      <c r="E23" s="44" t="s">
        <v>293</v>
      </c>
      <c r="G23" s="46">
        <v>2006</v>
      </c>
      <c r="H23" s="45">
        <v>190.125</v>
      </c>
      <c r="I23" s="48">
        <f t="shared" si="0"/>
        <v>1.9012500000000001</v>
      </c>
      <c r="K23">
        <v>2006</v>
      </c>
      <c r="L23" s="8">
        <v>98.625</v>
      </c>
      <c r="M23" s="48">
        <f t="shared" si="1"/>
        <v>0.98624999999999996</v>
      </c>
      <c r="N23" s="54">
        <f t="shared" si="4"/>
        <v>0.12042033513206452</v>
      </c>
      <c r="O23" s="48">
        <f t="shared" si="2"/>
        <v>1.1204203351320647</v>
      </c>
      <c r="P23" s="54">
        <f t="shared" si="4"/>
        <v>0.12042033513206474</v>
      </c>
      <c r="Q23" s="135">
        <v>98.625</v>
      </c>
      <c r="R23" s="6">
        <f t="shared" si="3"/>
        <v>0.95289855072463769</v>
      </c>
      <c r="T23">
        <v>1998</v>
      </c>
      <c r="U23" t="s">
        <v>717</v>
      </c>
      <c r="V23">
        <v>43.6</v>
      </c>
    </row>
    <row r="24" spans="1:22" x14ac:dyDescent="0.25">
      <c r="A24" s="44">
        <v>4</v>
      </c>
      <c r="B24" s="44" t="s">
        <v>265</v>
      </c>
      <c r="C24" s="44">
        <v>1998</v>
      </c>
      <c r="D24" s="45">
        <v>85.4</v>
      </c>
      <c r="E24" s="44" t="s">
        <v>293</v>
      </c>
      <c r="G24" s="46">
        <v>2007</v>
      </c>
      <c r="H24" s="45">
        <v>202.55</v>
      </c>
      <c r="I24" s="48">
        <f t="shared" si="0"/>
        <v>2.0255000000000001</v>
      </c>
      <c r="K24">
        <v>2007</v>
      </c>
      <c r="L24" s="8">
        <v>105.1</v>
      </c>
      <c r="M24" s="48">
        <f t="shared" si="1"/>
        <v>1.0509999999999999</v>
      </c>
      <c r="N24" s="54">
        <f t="shared" si="4"/>
        <v>6.5652724968314313E-2</v>
      </c>
      <c r="O24" s="48">
        <f t="shared" si="2"/>
        <v>1.1939789832433967</v>
      </c>
      <c r="P24" s="54">
        <f t="shared" si="4"/>
        <v>6.5652724968314313E-2</v>
      </c>
      <c r="Q24" s="135">
        <v>105.1</v>
      </c>
      <c r="R24" s="6">
        <f t="shared" si="3"/>
        <v>1.0154589371980676</v>
      </c>
      <c r="T24">
        <v>1998</v>
      </c>
      <c r="U24" t="s">
        <v>715</v>
      </c>
      <c r="V24">
        <v>44.1</v>
      </c>
    </row>
    <row r="25" spans="1:22" x14ac:dyDescent="0.25">
      <c r="A25" s="44">
        <v>1</v>
      </c>
      <c r="B25" s="44" t="s">
        <v>263</v>
      </c>
      <c r="C25" s="44">
        <v>1999</v>
      </c>
      <c r="D25" s="45">
        <v>87.6</v>
      </c>
      <c r="E25" s="44" t="s">
        <v>293</v>
      </c>
      <c r="G25" s="46">
        <v>2008</v>
      </c>
      <c r="H25" s="45">
        <v>205.125</v>
      </c>
      <c r="I25" s="48">
        <f t="shared" si="0"/>
        <v>2.05125</v>
      </c>
      <c r="K25">
        <v>2008</v>
      </c>
      <c r="L25" s="8">
        <v>105.97499999999999</v>
      </c>
      <c r="M25" s="48">
        <f t="shared" si="1"/>
        <v>1.05975</v>
      </c>
      <c r="N25" s="54">
        <f t="shared" si="4"/>
        <v>8.3254043767839736E-3</v>
      </c>
      <c r="O25" s="48">
        <f t="shared" si="2"/>
        <v>1.2039193410962794</v>
      </c>
      <c r="P25" s="54">
        <f t="shared" si="4"/>
        <v>8.3254043767839736E-3</v>
      </c>
      <c r="Q25" s="135">
        <v>105.97500000000001</v>
      </c>
      <c r="R25" s="6">
        <f t="shared" si="3"/>
        <v>1.0239130434782608</v>
      </c>
      <c r="T25">
        <v>1999</v>
      </c>
      <c r="U25" t="s">
        <v>713</v>
      </c>
      <c r="V25">
        <v>45.3</v>
      </c>
    </row>
    <row r="26" spans="1:22" x14ac:dyDescent="0.25">
      <c r="A26" s="44">
        <v>2</v>
      </c>
      <c r="B26" s="44" t="s">
        <v>267</v>
      </c>
      <c r="C26" s="44">
        <v>1999</v>
      </c>
      <c r="D26" s="45">
        <v>88.7</v>
      </c>
      <c r="E26" s="44" t="s">
        <v>293</v>
      </c>
      <c r="G26" s="46">
        <v>2009</v>
      </c>
      <c r="H26" s="45">
        <v>190.5</v>
      </c>
      <c r="I26" s="48">
        <f t="shared" si="0"/>
        <v>1.905</v>
      </c>
      <c r="K26">
        <v>2009</v>
      </c>
      <c r="L26" s="8">
        <v>98.45</v>
      </c>
      <c r="M26" s="48">
        <f t="shared" si="1"/>
        <v>0.98450000000000004</v>
      </c>
      <c r="N26" s="54">
        <f t="shared" si="4"/>
        <v>-7.1007313045529541E-2</v>
      </c>
      <c r="O26" s="48">
        <f t="shared" si="2"/>
        <v>1.1184322635614883</v>
      </c>
      <c r="P26" s="54">
        <f t="shared" si="4"/>
        <v>-7.1007313045529541E-2</v>
      </c>
      <c r="Q26" s="135">
        <v>98.450000000000017</v>
      </c>
      <c r="R26" s="6">
        <f t="shared" si="3"/>
        <v>0.95120772946859922</v>
      </c>
      <c r="T26">
        <v>1999</v>
      </c>
      <c r="U26" t="s">
        <v>711</v>
      </c>
      <c r="V26">
        <v>45.8</v>
      </c>
    </row>
    <row r="27" spans="1:22" x14ac:dyDescent="0.25">
      <c r="A27" s="44">
        <v>3</v>
      </c>
      <c r="B27" s="44" t="s">
        <v>266</v>
      </c>
      <c r="C27" s="44">
        <v>1999</v>
      </c>
      <c r="D27" s="45">
        <v>90.9</v>
      </c>
      <c r="E27" s="44" t="s">
        <v>293</v>
      </c>
      <c r="G27" s="46">
        <v>2010</v>
      </c>
      <c r="H27" s="45">
        <v>202.52500000000001</v>
      </c>
      <c r="I27" s="48">
        <f t="shared" si="0"/>
        <v>2.0252500000000002</v>
      </c>
      <c r="K27">
        <v>2010</v>
      </c>
      <c r="L27" s="8">
        <v>103.5</v>
      </c>
      <c r="M27" s="48">
        <f t="shared" si="1"/>
        <v>1.0349999999999999</v>
      </c>
      <c r="N27" s="54">
        <f t="shared" si="4"/>
        <v>5.1295073641442146E-2</v>
      </c>
      <c r="O27" s="48">
        <f t="shared" si="2"/>
        <v>1.1758023288838397</v>
      </c>
      <c r="P27" s="54">
        <f t="shared" si="4"/>
        <v>5.1295073641442146E-2</v>
      </c>
      <c r="Q27" s="135">
        <v>103.5</v>
      </c>
      <c r="R27" s="6">
        <f t="shared" si="3"/>
        <v>1</v>
      </c>
      <c r="T27">
        <v>1999</v>
      </c>
      <c r="U27" t="s">
        <v>717</v>
      </c>
      <c r="V27">
        <v>46.9</v>
      </c>
    </row>
    <row r="28" spans="1:22" x14ac:dyDescent="0.25">
      <c r="A28" s="44">
        <v>4</v>
      </c>
      <c r="B28" s="44" t="s">
        <v>265</v>
      </c>
      <c r="C28" s="44">
        <v>1999</v>
      </c>
      <c r="D28" s="45">
        <v>92.6</v>
      </c>
      <c r="E28" s="44" t="s">
        <v>293</v>
      </c>
      <c r="K28">
        <v>2011</v>
      </c>
      <c r="L28" s="8">
        <v>109.65</v>
      </c>
      <c r="M28" s="48">
        <f t="shared" si="1"/>
        <v>1.0965</v>
      </c>
      <c r="N28" s="54">
        <f t="shared" si="4"/>
        <v>5.9420289855072639E-2</v>
      </c>
      <c r="O28" s="48">
        <f t="shared" si="2"/>
        <v>1.2456688440783867</v>
      </c>
      <c r="P28" s="54">
        <f t="shared" si="4"/>
        <v>5.9420289855072417E-2</v>
      </c>
      <c r="Q28" s="135">
        <v>109.65</v>
      </c>
      <c r="R28" s="6">
        <f t="shared" si="3"/>
        <v>1.0594202898550724</v>
      </c>
      <c r="T28">
        <v>1999</v>
      </c>
      <c r="U28" t="s">
        <v>715</v>
      </c>
      <c r="V28">
        <v>47.8</v>
      </c>
    </row>
    <row r="29" spans="1:22" x14ac:dyDescent="0.25">
      <c r="A29" s="44">
        <v>1</v>
      </c>
      <c r="B29" s="44" t="s">
        <v>263</v>
      </c>
      <c r="C29" s="44">
        <v>2000</v>
      </c>
      <c r="D29" s="45">
        <v>95.3</v>
      </c>
      <c r="E29" s="44" t="s">
        <v>293</v>
      </c>
      <c r="K29">
        <v>2012</v>
      </c>
      <c r="L29" s="8">
        <v>109.2</v>
      </c>
      <c r="M29" s="48">
        <f t="shared" si="1"/>
        <v>1.0920000000000001</v>
      </c>
      <c r="N29" s="54">
        <f t="shared" si="4"/>
        <v>-4.1039671682625567E-3</v>
      </c>
      <c r="O29" s="48">
        <f t="shared" si="2"/>
        <v>1.2405566600397613</v>
      </c>
      <c r="P29" s="54">
        <f t="shared" si="4"/>
        <v>-4.1039671682626677E-3</v>
      </c>
      <c r="Q29" s="135">
        <v>109.05</v>
      </c>
      <c r="R29" s="6">
        <f t="shared" si="3"/>
        <v>1.0536231884057972</v>
      </c>
      <c r="T29">
        <v>2000</v>
      </c>
      <c r="U29" t="s">
        <v>713</v>
      </c>
      <c r="V29">
        <v>49.1</v>
      </c>
    </row>
    <row r="30" spans="1:22" x14ac:dyDescent="0.25">
      <c r="A30" s="44">
        <v>2</v>
      </c>
      <c r="B30" s="44" t="s">
        <v>267</v>
      </c>
      <c r="C30" s="44">
        <v>2000</v>
      </c>
      <c r="D30" s="45">
        <v>96.9</v>
      </c>
      <c r="E30" s="44" t="s">
        <v>293</v>
      </c>
      <c r="K30">
        <v>2013</v>
      </c>
      <c r="L30" s="8">
        <v>106.75</v>
      </c>
      <c r="M30" s="48">
        <f t="shared" ref="M30:M34" si="5">L30/100</f>
        <v>1.0674999999999999</v>
      </c>
      <c r="N30" s="54">
        <f t="shared" ref="N30:N34" si="6">M30/M29-1</f>
        <v>-2.2435897435897578E-2</v>
      </c>
      <c r="O30" s="48">
        <f t="shared" ref="O30:O34" si="7">L30/L$22</f>
        <v>1.2127236580516898</v>
      </c>
      <c r="P30" s="54">
        <f t="shared" ref="P30:P34" si="8">O30/O29-1</f>
        <v>-2.2435897435897356E-2</v>
      </c>
      <c r="Q30" s="135">
        <v>106.74999999999999</v>
      </c>
      <c r="R30" s="6">
        <f t="shared" si="3"/>
        <v>1.0314009661835748</v>
      </c>
      <c r="T30">
        <v>2000</v>
      </c>
      <c r="U30" t="s">
        <v>711</v>
      </c>
      <c r="V30">
        <v>50</v>
      </c>
    </row>
    <row r="31" spans="1:22" x14ac:dyDescent="0.25">
      <c r="A31" s="44">
        <v>3</v>
      </c>
      <c r="B31" s="44" t="s">
        <v>266</v>
      </c>
      <c r="C31" s="44">
        <v>2000</v>
      </c>
      <c r="D31" s="45">
        <v>98.9</v>
      </c>
      <c r="E31" s="44" t="s">
        <v>293</v>
      </c>
      <c r="K31">
        <v>2014</v>
      </c>
      <c r="L31" s="191">
        <v>104.875</v>
      </c>
      <c r="M31" s="48">
        <f t="shared" si="5"/>
        <v>1.0487500000000001</v>
      </c>
      <c r="N31" s="54">
        <f t="shared" si="6"/>
        <v>-1.7564402810304247E-2</v>
      </c>
      <c r="O31" s="48">
        <f t="shared" si="7"/>
        <v>1.1914228912240841</v>
      </c>
      <c r="P31" s="54">
        <f t="shared" si="8"/>
        <v>-1.7564402810304358E-2</v>
      </c>
      <c r="Q31" s="135">
        <v>104.85</v>
      </c>
      <c r="R31" s="6">
        <f t="shared" si="3"/>
        <v>1.0130434782608695</v>
      </c>
      <c r="T31">
        <v>2000</v>
      </c>
      <c r="U31" t="s">
        <v>717</v>
      </c>
      <c r="V31">
        <v>51.1</v>
      </c>
    </row>
    <row r="32" spans="1:22" x14ac:dyDescent="0.25">
      <c r="A32" s="44">
        <v>4</v>
      </c>
      <c r="B32" s="44" t="s">
        <v>265</v>
      </c>
      <c r="C32" s="44">
        <v>2000</v>
      </c>
      <c r="D32" s="45">
        <v>100.3</v>
      </c>
      <c r="E32" s="44" t="s">
        <v>293</v>
      </c>
      <c r="K32">
        <v>2015</v>
      </c>
      <c r="L32" s="191">
        <v>103</v>
      </c>
      <c r="M32" s="48">
        <f t="shared" si="5"/>
        <v>1.03</v>
      </c>
      <c r="N32" s="54">
        <f t="shared" si="6"/>
        <v>-1.7878426698450522E-2</v>
      </c>
      <c r="O32" s="48">
        <f t="shared" si="7"/>
        <v>1.1701221243964781</v>
      </c>
      <c r="P32" s="54">
        <f t="shared" si="8"/>
        <v>-1.7878426698450633E-2</v>
      </c>
      <c r="T32">
        <v>2000</v>
      </c>
      <c r="U32" t="s">
        <v>715</v>
      </c>
      <c r="V32">
        <v>51.8</v>
      </c>
    </row>
    <row r="33" spans="1:22" x14ac:dyDescent="0.25">
      <c r="A33" s="44">
        <v>1</v>
      </c>
      <c r="B33" s="44" t="s">
        <v>263</v>
      </c>
      <c r="C33" s="44">
        <v>2001</v>
      </c>
      <c r="D33" s="45">
        <v>102.5</v>
      </c>
      <c r="E33" s="44" t="s">
        <v>293</v>
      </c>
      <c r="K33">
        <v>2016</v>
      </c>
      <c r="L33" s="191">
        <v>103.9</v>
      </c>
      <c r="M33" s="48">
        <f t="shared" si="5"/>
        <v>1.0390000000000001</v>
      </c>
      <c r="N33" s="54">
        <f t="shared" si="6"/>
        <v>8.7378640776700767E-3</v>
      </c>
      <c r="O33" s="48">
        <f t="shared" si="7"/>
        <v>1.180346492473729</v>
      </c>
      <c r="P33" s="54">
        <f t="shared" si="8"/>
        <v>8.7378640776700767E-3</v>
      </c>
      <c r="T33">
        <v>2001</v>
      </c>
      <c r="U33" t="s">
        <v>713</v>
      </c>
      <c r="V33">
        <v>52.9</v>
      </c>
    </row>
    <row r="34" spans="1:22" x14ac:dyDescent="0.25">
      <c r="A34" s="44">
        <v>2</v>
      </c>
      <c r="B34" s="44" t="s">
        <v>267</v>
      </c>
      <c r="C34" s="44">
        <v>2001</v>
      </c>
      <c r="D34" s="45">
        <v>104.9</v>
      </c>
      <c r="E34" s="44" t="s">
        <v>293</v>
      </c>
      <c r="K34">
        <v>2017</v>
      </c>
      <c r="L34" s="191">
        <v>107.02500000000001</v>
      </c>
      <c r="M34" s="48">
        <f t="shared" si="5"/>
        <v>1.0702500000000001</v>
      </c>
      <c r="N34" s="54">
        <f t="shared" si="6"/>
        <v>3.007699711260825E-2</v>
      </c>
      <c r="O34" s="48">
        <f t="shared" si="7"/>
        <v>1.2158477705197388</v>
      </c>
      <c r="P34" s="54">
        <f t="shared" si="8"/>
        <v>3.0076997112608472E-2</v>
      </c>
      <c r="T34">
        <v>2001</v>
      </c>
      <c r="U34" t="s">
        <v>711</v>
      </c>
      <c r="V34">
        <v>54.1</v>
      </c>
    </row>
    <row r="35" spans="1:22" x14ac:dyDescent="0.25">
      <c r="A35" s="44">
        <v>3</v>
      </c>
      <c r="B35" s="44" t="s">
        <v>266</v>
      </c>
      <c r="C35" s="44">
        <v>2001</v>
      </c>
      <c r="D35" s="45">
        <v>106.3</v>
      </c>
      <c r="E35" s="44" t="s">
        <v>293</v>
      </c>
      <c r="T35">
        <v>2001</v>
      </c>
      <c r="U35" t="s">
        <v>717</v>
      </c>
      <c r="V35">
        <v>55</v>
      </c>
    </row>
    <row r="36" spans="1:22" x14ac:dyDescent="0.25">
      <c r="A36" s="44">
        <v>4</v>
      </c>
      <c r="B36" s="44" t="s">
        <v>265</v>
      </c>
      <c r="C36" s="44">
        <v>2001</v>
      </c>
      <c r="D36" s="45">
        <v>108.4</v>
      </c>
      <c r="E36" s="44" t="s">
        <v>293</v>
      </c>
      <c r="T36">
        <v>2001</v>
      </c>
      <c r="U36" t="s">
        <v>715</v>
      </c>
      <c r="V36">
        <v>56</v>
      </c>
    </row>
    <row r="37" spans="1:22" x14ac:dyDescent="0.25">
      <c r="A37" s="44">
        <v>1</v>
      </c>
      <c r="B37" s="44" t="s">
        <v>263</v>
      </c>
      <c r="C37" s="44">
        <v>2002</v>
      </c>
      <c r="D37" s="45">
        <v>109.9</v>
      </c>
      <c r="E37" s="44" t="s">
        <v>293</v>
      </c>
      <c r="T37">
        <v>2002</v>
      </c>
      <c r="U37" t="s">
        <v>713</v>
      </c>
      <c r="V37">
        <v>56.9</v>
      </c>
    </row>
    <row r="38" spans="1:22" x14ac:dyDescent="0.25">
      <c r="A38" s="44">
        <v>2</v>
      </c>
      <c r="B38" s="44" t="s">
        <v>267</v>
      </c>
      <c r="C38" s="44">
        <v>2002</v>
      </c>
      <c r="D38" s="45">
        <v>111.7</v>
      </c>
      <c r="E38" s="44" t="s">
        <v>293</v>
      </c>
      <c r="T38">
        <v>2002</v>
      </c>
      <c r="U38" t="s">
        <v>711</v>
      </c>
      <c r="V38">
        <v>58.3</v>
      </c>
    </row>
    <row r="39" spans="1:22" x14ac:dyDescent="0.25">
      <c r="A39" s="44">
        <v>3</v>
      </c>
      <c r="B39" s="44" t="s">
        <v>266</v>
      </c>
      <c r="C39" s="44">
        <v>2002</v>
      </c>
      <c r="D39" s="45">
        <v>116.2</v>
      </c>
      <c r="E39" s="44" t="s">
        <v>293</v>
      </c>
      <c r="T39">
        <v>2002</v>
      </c>
      <c r="U39" t="s">
        <v>717</v>
      </c>
      <c r="V39">
        <v>60</v>
      </c>
    </row>
    <row r="40" spans="1:22" x14ac:dyDescent="0.25">
      <c r="A40" s="44">
        <v>4</v>
      </c>
      <c r="B40" s="44" t="s">
        <v>265</v>
      </c>
      <c r="C40" s="44">
        <v>2002</v>
      </c>
      <c r="D40" s="45">
        <v>119.2</v>
      </c>
      <c r="E40" s="44" t="s">
        <v>293</v>
      </c>
      <c r="T40">
        <v>2002</v>
      </c>
      <c r="U40" t="s">
        <v>715</v>
      </c>
      <c r="V40">
        <v>61.6</v>
      </c>
    </row>
    <row r="41" spans="1:22" x14ac:dyDescent="0.25">
      <c r="A41" s="44">
        <v>1</v>
      </c>
      <c r="B41" s="44" t="s">
        <v>263</v>
      </c>
      <c r="C41" s="44">
        <v>2003</v>
      </c>
      <c r="D41" s="45">
        <v>121.7</v>
      </c>
      <c r="E41" s="44" t="s">
        <v>293</v>
      </c>
      <c r="T41">
        <v>2003</v>
      </c>
      <c r="U41" t="s">
        <v>713</v>
      </c>
      <c r="V41">
        <v>63.3</v>
      </c>
    </row>
    <row r="42" spans="1:22" x14ac:dyDescent="0.25">
      <c r="A42" s="44">
        <v>2</v>
      </c>
      <c r="B42" s="44" t="s">
        <v>267</v>
      </c>
      <c r="C42" s="44">
        <v>2003</v>
      </c>
      <c r="D42" s="45">
        <v>125.9</v>
      </c>
      <c r="E42" s="44" t="s">
        <v>293</v>
      </c>
      <c r="T42">
        <v>2003</v>
      </c>
      <c r="U42" t="s">
        <v>711</v>
      </c>
      <c r="V42">
        <v>65.2</v>
      </c>
    </row>
    <row r="43" spans="1:22" x14ac:dyDescent="0.25">
      <c r="A43" s="44">
        <v>3</v>
      </c>
      <c r="B43" s="44" t="s">
        <v>266</v>
      </c>
      <c r="C43" s="44">
        <v>2003</v>
      </c>
      <c r="D43" s="45">
        <v>129.6</v>
      </c>
      <c r="E43" s="44" t="s">
        <v>293</v>
      </c>
      <c r="T43">
        <v>2003</v>
      </c>
      <c r="U43" t="s">
        <v>717</v>
      </c>
      <c r="V43">
        <v>67.099999999999994</v>
      </c>
    </row>
    <row r="44" spans="1:22" x14ac:dyDescent="0.25">
      <c r="A44" s="44">
        <v>4</v>
      </c>
      <c r="B44" s="44" t="s">
        <v>265</v>
      </c>
      <c r="C44" s="44">
        <v>2003</v>
      </c>
      <c r="D44" s="45">
        <v>133.9</v>
      </c>
      <c r="E44" s="44" t="s">
        <v>293</v>
      </c>
      <c r="T44">
        <v>2003</v>
      </c>
      <c r="U44" t="s">
        <v>715</v>
      </c>
      <c r="V44">
        <v>69.400000000000006</v>
      </c>
    </row>
    <row r="45" spans="1:22" x14ac:dyDescent="0.25">
      <c r="A45" s="44">
        <v>1</v>
      </c>
      <c r="B45" s="44" t="s">
        <v>263</v>
      </c>
      <c r="C45" s="44">
        <v>2004</v>
      </c>
      <c r="D45" s="45">
        <v>139.5</v>
      </c>
      <c r="E45" s="44" t="s">
        <v>293</v>
      </c>
      <c r="T45">
        <v>2004</v>
      </c>
      <c r="U45" t="s">
        <v>713</v>
      </c>
      <c r="V45">
        <v>72.3</v>
      </c>
    </row>
    <row r="46" spans="1:22" x14ac:dyDescent="0.25">
      <c r="A46" s="44">
        <v>2</v>
      </c>
      <c r="B46" s="44" t="s">
        <v>267</v>
      </c>
      <c r="C46" s="44">
        <v>2004</v>
      </c>
      <c r="D46" s="45">
        <v>144.5</v>
      </c>
      <c r="E46" s="44" t="s">
        <v>293</v>
      </c>
      <c r="T46">
        <v>2004</v>
      </c>
      <c r="U46" t="s">
        <v>711</v>
      </c>
      <c r="V46">
        <v>74.7</v>
      </c>
    </row>
    <row r="47" spans="1:22" x14ac:dyDescent="0.25">
      <c r="A47" s="44">
        <v>3</v>
      </c>
      <c r="B47" s="44" t="s">
        <v>266</v>
      </c>
      <c r="C47" s="44">
        <v>2004</v>
      </c>
      <c r="D47" s="45">
        <v>149.6</v>
      </c>
      <c r="E47" s="44" t="s">
        <v>293</v>
      </c>
      <c r="T47">
        <v>2004</v>
      </c>
      <c r="U47" t="s">
        <v>717</v>
      </c>
      <c r="V47">
        <v>77.5</v>
      </c>
    </row>
    <row r="48" spans="1:22" x14ac:dyDescent="0.25">
      <c r="A48" s="44">
        <v>4</v>
      </c>
      <c r="B48" s="44" t="s">
        <v>265</v>
      </c>
      <c r="C48" s="44">
        <v>2004</v>
      </c>
      <c r="D48" s="45">
        <v>155.19999999999999</v>
      </c>
      <c r="E48" s="44" t="s">
        <v>293</v>
      </c>
      <c r="T48">
        <v>2004</v>
      </c>
      <c r="U48" t="s">
        <v>715</v>
      </c>
      <c r="V48">
        <v>80.5</v>
      </c>
    </row>
    <row r="49" spans="1:22" x14ac:dyDescent="0.25">
      <c r="A49" s="44">
        <v>1</v>
      </c>
      <c r="B49" s="44" t="s">
        <v>263</v>
      </c>
      <c r="C49" s="44">
        <v>2005</v>
      </c>
      <c r="D49" s="45">
        <v>160.4</v>
      </c>
      <c r="E49" s="44" t="s">
        <v>293</v>
      </c>
      <c r="T49">
        <v>2005</v>
      </c>
      <c r="U49" t="s">
        <v>713</v>
      </c>
      <c r="V49">
        <v>83.4</v>
      </c>
    </row>
    <row r="50" spans="1:22" x14ac:dyDescent="0.25">
      <c r="A50" s="44">
        <v>2</v>
      </c>
      <c r="B50" s="44" t="s">
        <v>267</v>
      </c>
      <c r="C50" s="44">
        <v>2005</v>
      </c>
      <c r="D50" s="45">
        <v>166.7</v>
      </c>
      <c r="E50" s="44" t="s">
        <v>293</v>
      </c>
      <c r="T50">
        <v>2005</v>
      </c>
      <c r="U50" t="s">
        <v>711</v>
      </c>
      <c r="V50">
        <v>86.5</v>
      </c>
    </row>
    <row r="51" spans="1:22" x14ac:dyDescent="0.25">
      <c r="A51" s="44">
        <v>3</v>
      </c>
      <c r="B51" s="44" t="s">
        <v>266</v>
      </c>
      <c r="C51" s="44">
        <v>2005</v>
      </c>
      <c r="D51" s="45">
        <v>172.9</v>
      </c>
      <c r="E51" s="44" t="s">
        <v>293</v>
      </c>
      <c r="T51">
        <v>2005</v>
      </c>
      <c r="U51" t="s">
        <v>717</v>
      </c>
      <c r="V51">
        <v>89.7</v>
      </c>
    </row>
    <row r="52" spans="1:22" x14ac:dyDescent="0.25">
      <c r="A52" s="44">
        <v>4</v>
      </c>
      <c r="B52" s="44" t="s">
        <v>265</v>
      </c>
      <c r="C52" s="44">
        <v>2005</v>
      </c>
      <c r="D52" s="45">
        <v>178.1</v>
      </c>
      <c r="E52" s="44" t="s">
        <v>293</v>
      </c>
      <c r="T52">
        <v>2005</v>
      </c>
      <c r="U52" t="s">
        <v>715</v>
      </c>
      <c r="V52">
        <v>92.4</v>
      </c>
    </row>
    <row r="53" spans="1:22" x14ac:dyDescent="0.25">
      <c r="A53" s="44">
        <v>1</v>
      </c>
      <c r="B53" s="44" t="s">
        <v>263</v>
      </c>
      <c r="C53" s="44">
        <v>2006</v>
      </c>
      <c r="D53" s="45">
        <v>184.2</v>
      </c>
      <c r="E53" s="44" t="s">
        <v>293</v>
      </c>
      <c r="T53">
        <v>2006</v>
      </c>
      <c r="U53" t="s">
        <v>713</v>
      </c>
      <c r="V53">
        <v>95.3</v>
      </c>
    </row>
    <row r="54" spans="1:22" x14ac:dyDescent="0.25">
      <c r="A54" s="44">
        <v>2</v>
      </c>
      <c r="B54" s="44" t="s">
        <v>267</v>
      </c>
      <c r="C54" s="44">
        <v>2006</v>
      </c>
      <c r="D54" s="45">
        <v>188.5</v>
      </c>
      <c r="E54" s="44" t="s">
        <v>293</v>
      </c>
      <c r="T54">
        <v>2006</v>
      </c>
      <c r="U54" t="s">
        <v>711</v>
      </c>
      <c r="V54">
        <v>97.7</v>
      </c>
    </row>
    <row r="55" spans="1:22" x14ac:dyDescent="0.25">
      <c r="A55" s="44">
        <v>3</v>
      </c>
      <c r="B55" s="44" t="s">
        <v>266</v>
      </c>
      <c r="C55" s="44">
        <v>2006</v>
      </c>
      <c r="D55" s="45">
        <v>192.2</v>
      </c>
      <c r="E55" s="44" t="s">
        <v>293</v>
      </c>
      <c r="T55">
        <v>2006</v>
      </c>
      <c r="U55" t="s">
        <v>717</v>
      </c>
      <c r="V55">
        <v>99.8</v>
      </c>
    </row>
    <row r="56" spans="1:22" x14ac:dyDescent="0.25">
      <c r="A56" s="44">
        <v>4</v>
      </c>
      <c r="B56" s="44" t="s">
        <v>265</v>
      </c>
      <c r="C56" s="44">
        <v>2006</v>
      </c>
      <c r="D56" s="45">
        <v>195.6</v>
      </c>
      <c r="E56" s="44" t="s">
        <v>293</v>
      </c>
      <c r="T56">
        <v>2006</v>
      </c>
      <c r="U56" t="s">
        <v>715</v>
      </c>
      <c r="V56">
        <v>101.6</v>
      </c>
    </row>
    <row r="57" spans="1:22" x14ac:dyDescent="0.25">
      <c r="A57" s="44">
        <v>1</v>
      </c>
      <c r="B57" s="44" t="s">
        <v>263</v>
      </c>
      <c r="C57" s="44">
        <v>2007</v>
      </c>
      <c r="D57" s="45">
        <v>199</v>
      </c>
      <c r="E57" s="44" t="s">
        <v>293</v>
      </c>
      <c r="T57">
        <v>2007</v>
      </c>
      <c r="U57" t="s">
        <v>713</v>
      </c>
      <c r="V57">
        <v>103.1</v>
      </c>
    </row>
    <row r="58" spans="1:22" x14ac:dyDescent="0.25">
      <c r="A58" s="44">
        <v>2</v>
      </c>
      <c r="B58" s="44" t="s">
        <v>267</v>
      </c>
      <c r="C58" s="44">
        <v>2007</v>
      </c>
      <c r="D58" s="45">
        <v>201.3</v>
      </c>
      <c r="E58" s="44" t="s">
        <v>293</v>
      </c>
      <c r="T58">
        <v>2007</v>
      </c>
      <c r="U58" t="s">
        <v>711</v>
      </c>
      <c r="V58">
        <v>104.4</v>
      </c>
    </row>
    <row r="59" spans="1:22" x14ac:dyDescent="0.25">
      <c r="A59" s="44">
        <v>3</v>
      </c>
      <c r="B59" s="44" t="s">
        <v>266</v>
      </c>
      <c r="C59" s="44">
        <v>2007</v>
      </c>
      <c r="D59" s="45">
        <v>203.3</v>
      </c>
      <c r="E59" s="44" t="s">
        <v>293</v>
      </c>
      <c r="T59">
        <v>2007</v>
      </c>
      <c r="U59" t="s">
        <v>717</v>
      </c>
      <c r="V59">
        <v>105.5</v>
      </c>
    </row>
    <row r="60" spans="1:22" x14ac:dyDescent="0.25">
      <c r="A60" s="44">
        <v>4</v>
      </c>
      <c r="B60" s="44" t="s">
        <v>265</v>
      </c>
      <c r="C60" s="44">
        <v>2007</v>
      </c>
      <c r="D60" s="45">
        <v>206.6</v>
      </c>
      <c r="E60" s="44" t="s">
        <v>293</v>
      </c>
      <c r="T60">
        <v>2007</v>
      </c>
      <c r="U60" t="s">
        <v>715</v>
      </c>
      <c r="V60">
        <v>107.2</v>
      </c>
    </row>
    <row r="61" spans="1:22" x14ac:dyDescent="0.25">
      <c r="A61" s="44">
        <v>1</v>
      </c>
      <c r="B61" s="44" t="s">
        <v>263</v>
      </c>
      <c r="C61" s="44">
        <v>2008</v>
      </c>
      <c r="D61" s="45">
        <v>207.5</v>
      </c>
      <c r="E61" s="44" t="s">
        <v>293</v>
      </c>
      <c r="T61">
        <v>2008</v>
      </c>
      <c r="U61" t="s">
        <v>713</v>
      </c>
      <c r="V61">
        <v>107.6</v>
      </c>
    </row>
    <row r="62" spans="1:22" x14ac:dyDescent="0.25">
      <c r="A62" s="44">
        <v>2</v>
      </c>
      <c r="B62" s="44" t="s">
        <v>267</v>
      </c>
      <c r="C62" s="44">
        <v>2008</v>
      </c>
      <c r="D62" s="45">
        <v>207.6</v>
      </c>
      <c r="E62" s="44" t="s">
        <v>293</v>
      </c>
      <c r="T62">
        <v>2008</v>
      </c>
      <c r="U62" t="s">
        <v>711</v>
      </c>
      <c r="V62">
        <v>107.3</v>
      </c>
    </row>
    <row r="63" spans="1:22" x14ac:dyDescent="0.25">
      <c r="A63" s="44">
        <v>3</v>
      </c>
      <c r="B63" s="44" t="s">
        <v>266</v>
      </c>
      <c r="C63" s="44">
        <v>2008</v>
      </c>
      <c r="D63" s="45">
        <v>205</v>
      </c>
      <c r="E63" s="44" t="s">
        <v>293</v>
      </c>
      <c r="T63">
        <v>2008</v>
      </c>
      <c r="U63" t="s">
        <v>717</v>
      </c>
      <c r="V63">
        <v>106.1</v>
      </c>
    </row>
    <row r="64" spans="1:22" x14ac:dyDescent="0.25">
      <c r="A64" s="44">
        <v>4</v>
      </c>
      <c r="B64" s="44" t="s">
        <v>265</v>
      </c>
      <c r="C64" s="44">
        <v>2008</v>
      </c>
      <c r="D64" s="45">
        <v>200.4</v>
      </c>
      <c r="E64" s="44" t="s">
        <v>293</v>
      </c>
      <c r="T64">
        <v>2008</v>
      </c>
      <c r="U64" t="s">
        <v>715</v>
      </c>
      <c r="V64">
        <v>103.1</v>
      </c>
    </row>
    <row r="65" spans="1:22" x14ac:dyDescent="0.25">
      <c r="A65" s="44">
        <v>1</v>
      </c>
      <c r="B65" s="44" t="s">
        <v>263</v>
      </c>
      <c r="C65" s="44">
        <v>2009</v>
      </c>
      <c r="D65" s="45">
        <v>193.3</v>
      </c>
      <c r="E65" s="44" t="s">
        <v>293</v>
      </c>
      <c r="T65">
        <v>2009</v>
      </c>
      <c r="U65" t="s">
        <v>713</v>
      </c>
      <c r="V65">
        <v>99.7</v>
      </c>
    </row>
    <row r="66" spans="1:22" x14ac:dyDescent="0.25">
      <c r="A66" s="44">
        <v>2</v>
      </c>
      <c r="B66" s="44" t="s">
        <v>267</v>
      </c>
      <c r="C66" s="44">
        <v>2009</v>
      </c>
      <c r="D66" s="45">
        <v>188.4</v>
      </c>
      <c r="E66" s="44" t="s">
        <v>293</v>
      </c>
      <c r="T66">
        <v>2009</v>
      </c>
      <c r="U66" t="s">
        <v>711</v>
      </c>
      <c r="V66">
        <v>97.6</v>
      </c>
    </row>
    <row r="67" spans="1:22" x14ac:dyDescent="0.25">
      <c r="A67" s="44">
        <v>3</v>
      </c>
      <c r="B67" s="44" t="s">
        <v>266</v>
      </c>
      <c r="C67" s="44">
        <v>2009</v>
      </c>
      <c r="D67" s="45">
        <v>188.8</v>
      </c>
      <c r="E67" s="44" t="s">
        <v>293</v>
      </c>
      <c r="T67">
        <v>2009</v>
      </c>
      <c r="U67" t="s">
        <v>717</v>
      </c>
      <c r="V67">
        <v>97.7</v>
      </c>
    </row>
    <row r="68" spans="1:22" x14ac:dyDescent="0.25">
      <c r="A68" s="44">
        <v>4</v>
      </c>
      <c r="B68" s="44" t="s">
        <v>265</v>
      </c>
      <c r="C68" s="44">
        <v>2009</v>
      </c>
      <c r="D68" s="45">
        <v>191.5</v>
      </c>
      <c r="E68" s="44" t="s">
        <v>293</v>
      </c>
      <c r="T68">
        <v>2009</v>
      </c>
      <c r="U68" t="s">
        <v>715</v>
      </c>
      <c r="V68">
        <v>98.8</v>
      </c>
    </row>
    <row r="69" spans="1:22" x14ac:dyDescent="0.25">
      <c r="A69" s="44">
        <v>1</v>
      </c>
      <c r="B69" s="44" t="s">
        <v>263</v>
      </c>
      <c r="C69" s="44">
        <v>2010</v>
      </c>
      <c r="D69" s="45">
        <v>195.9</v>
      </c>
      <c r="E69" s="44" t="s">
        <v>293</v>
      </c>
      <c r="T69">
        <v>2010</v>
      </c>
      <c r="U69" t="s">
        <v>713</v>
      </c>
      <c r="V69">
        <v>100.9</v>
      </c>
    </row>
    <row r="70" spans="1:22" x14ac:dyDescent="0.25">
      <c r="A70" s="44">
        <v>2</v>
      </c>
      <c r="B70" s="44" t="s">
        <v>267</v>
      </c>
      <c r="C70" s="44">
        <v>2010</v>
      </c>
      <c r="D70" s="45">
        <v>199.8</v>
      </c>
      <c r="E70" s="44" t="s">
        <v>293</v>
      </c>
      <c r="T70">
        <v>2010</v>
      </c>
      <c r="U70" t="s">
        <v>711</v>
      </c>
      <c r="V70">
        <v>102.6</v>
      </c>
    </row>
    <row r="71" spans="1:22" x14ac:dyDescent="0.25">
      <c r="A71" s="44">
        <v>3</v>
      </c>
      <c r="B71" s="44" t="s">
        <v>266</v>
      </c>
      <c r="C71" s="44">
        <v>2010</v>
      </c>
      <c r="D71" s="45">
        <v>204.7</v>
      </c>
      <c r="E71" s="44" t="s">
        <v>305</v>
      </c>
      <c r="T71">
        <v>2010</v>
      </c>
      <c r="U71" t="s">
        <v>717</v>
      </c>
      <c r="V71">
        <v>104.1</v>
      </c>
    </row>
    <row r="72" spans="1:22" x14ac:dyDescent="0.25">
      <c r="A72" s="44">
        <v>4</v>
      </c>
      <c r="B72" s="44" t="s">
        <v>265</v>
      </c>
      <c r="C72" s="44">
        <v>2010</v>
      </c>
      <c r="D72" s="45">
        <v>209.7</v>
      </c>
      <c r="E72" s="44" t="s">
        <v>304</v>
      </c>
      <c r="T72">
        <v>2010</v>
      </c>
      <c r="U72" t="s">
        <v>715</v>
      </c>
      <c r="V72">
        <v>106.4</v>
      </c>
    </row>
    <row r="73" spans="1:22" x14ac:dyDescent="0.25">
      <c r="T73">
        <v>2011</v>
      </c>
      <c r="U73" t="s">
        <v>713</v>
      </c>
      <c r="V73">
        <v>107.9</v>
      </c>
    </row>
    <row r="74" spans="1:22" x14ac:dyDescent="0.25">
      <c r="T74">
        <v>2011</v>
      </c>
      <c r="U74" t="s">
        <v>711</v>
      </c>
      <c r="V74">
        <v>109.8</v>
      </c>
    </row>
    <row r="75" spans="1:22" x14ac:dyDescent="0.25">
      <c r="T75">
        <v>2011</v>
      </c>
      <c r="U75" t="s">
        <v>717</v>
      </c>
      <c r="V75">
        <v>110.5</v>
      </c>
    </row>
    <row r="76" spans="1:22" x14ac:dyDescent="0.25">
      <c r="T76">
        <v>2011</v>
      </c>
      <c r="U76" t="s">
        <v>715</v>
      </c>
      <c r="V76">
        <v>110.3</v>
      </c>
    </row>
    <row r="77" spans="1:22" x14ac:dyDescent="0.25">
      <c r="T77">
        <v>2012</v>
      </c>
      <c r="U77" t="s">
        <v>713</v>
      </c>
      <c r="V77">
        <v>109.9</v>
      </c>
    </row>
    <row r="78" spans="1:22" x14ac:dyDescent="0.25">
      <c r="T78">
        <v>2012</v>
      </c>
      <c r="U78" t="s">
        <v>711</v>
      </c>
      <c r="V78">
        <v>109.5</v>
      </c>
    </row>
    <row r="79" spans="1:22" x14ac:dyDescent="0.25">
      <c r="T79">
        <v>2012</v>
      </c>
      <c r="U79" t="s">
        <v>717</v>
      </c>
      <c r="V79">
        <v>108.8</v>
      </c>
    </row>
    <row r="80" spans="1:22" x14ac:dyDescent="0.25">
      <c r="T80">
        <v>2012</v>
      </c>
      <c r="U80" t="s">
        <v>715</v>
      </c>
      <c r="V80">
        <v>108.1</v>
      </c>
    </row>
    <row r="81" spans="19:22" x14ac:dyDescent="0.25">
      <c r="S81" s="44">
        <f>AVERAGE(V81:V84)</f>
        <v>106.75</v>
      </c>
      <c r="T81">
        <v>2013</v>
      </c>
      <c r="U81" t="s">
        <v>713</v>
      </c>
      <c r="V81">
        <v>107.7</v>
      </c>
    </row>
    <row r="82" spans="19:22" x14ac:dyDescent="0.25">
      <c r="T82">
        <v>2013</v>
      </c>
      <c r="U82" t="s">
        <v>711</v>
      </c>
      <c r="V82">
        <v>107</v>
      </c>
    </row>
    <row r="83" spans="19:22" x14ac:dyDescent="0.25">
      <c r="T83">
        <v>2013</v>
      </c>
      <c r="U83" t="s">
        <v>717</v>
      </c>
      <c r="V83">
        <v>106.2</v>
      </c>
    </row>
    <row r="84" spans="19:22" x14ac:dyDescent="0.25">
      <c r="T84">
        <v>2013</v>
      </c>
      <c r="U84" t="s">
        <v>715</v>
      </c>
      <c r="V84">
        <v>106.1</v>
      </c>
    </row>
    <row r="85" spans="19:22" x14ac:dyDescent="0.25">
      <c r="S85" s="44">
        <f>AVERAGE(V85:V88)</f>
        <v>104.875</v>
      </c>
      <c r="T85">
        <v>2014</v>
      </c>
      <c r="U85" t="s">
        <v>713</v>
      </c>
      <c r="V85">
        <v>105.7</v>
      </c>
    </row>
    <row r="86" spans="19:22" x14ac:dyDescent="0.25">
      <c r="T86">
        <v>2014</v>
      </c>
      <c r="U86" t="s">
        <v>711</v>
      </c>
      <c r="V86">
        <v>105.6</v>
      </c>
    </row>
    <row r="87" spans="19:22" x14ac:dyDescent="0.25">
      <c r="T87">
        <v>2014</v>
      </c>
      <c r="U87" t="s">
        <v>717</v>
      </c>
      <c r="V87">
        <v>104.7</v>
      </c>
    </row>
    <row r="88" spans="19:22" x14ac:dyDescent="0.25">
      <c r="T88">
        <v>2014</v>
      </c>
      <c r="U88" t="s">
        <v>715</v>
      </c>
      <c r="V88">
        <v>103.5</v>
      </c>
    </row>
    <row r="89" spans="19:22" x14ac:dyDescent="0.25">
      <c r="S89" s="44">
        <f>AVERAGE(V90:V93)</f>
        <v>103</v>
      </c>
      <c r="T89">
        <v>2015</v>
      </c>
      <c r="U89" t="s">
        <v>713</v>
      </c>
      <c r="V89">
        <v>103.1</v>
      </c>
    </row>
    <row r="90" spans="19:22" x14ac:dyDescent="0.25">
      <c r="T90">
        <v>2015</v>
      </c>
      <c r="U90" t="s">
        <v>711</v>
      </c>
      <c r="V90">
        <v>102.8</v>
      </c>
    </row>
    <row r="91" spans="19:22" x14ac:dyDescent="0.25">
      <c r="T91">
        <v>2015</v>
      </c>
      <c r="U91" t="s">
        <v>717</v>
      </c>
      <c r="V91">
        <v>102.8</v>
      </c>
    </row>
    <row r="92" spans="19:22" x14ac:dyDescent="0.25">
      <c r="T92">
        <v>2015</v>
      </c>
      <c r="U92" t="s">
        <v>715</v>
      </c>
      <c r="V92">
        <v>103</v>
      </c>
    </row>
    <row r="93" spans="19:22" x14ac:dyDescent="0.25">
      <c r="S93" s="44">
        <f>AVERAGE(V93:V96)</f>
        <v>103.9</v>
      </c>
      <c r="T93">
        <v>2016</v>
      </c>
      <c r="U93" t="s">
        <v>713</v>
      </c>
      <c r="V93">
        <v>103.4</v>
      </c>
    </row>
    <row r="94" spans="19:22" x14ac:dyDescent="0.25">
      <c r="T94">
        <v>2016</v>
      </c>
      <c r="U94" t="s">
        <v>711</v>
      </c>
      <c r="V94">
        <v>103.4</v>
      </c>
    </row>
    <row r="95" spans="19:22" x14ac:dyDescent="0.25">
      <c r="T95">
        <v>2016</v>
      </c>
      <c r="U95" t="s">
        <v>717</v>
      </c>
      <c r="V95">
        <v>104.2</v>
      </c>
    </row>
    <row r="96" spans="19:22" x14ac:dyDescent="0.25">
      <c r="T96">
        <v>2016</v>
      </c>
      <c r="U96" t="s">
        <v>715</v>
      </c>
      <c r="V96">
        <v>104.6</v>
      </c>
    </row>
    <row r="97" spans="19:22" x14ac:dyDescent="0.25">
      <c r="S97" s="44">
        <f>AVERAGE(V97:V100)</f>
        <v>107.02500000000001</v>
      </c>
      <c r="T97">
        <v>2017</v>
      </c>
      <c r="U97" t="s">
        <v>713</v>
      </c>
      <c r="V97">
        <v>105.9</v>
      </c>
    </row>
    <row r="98" spans="19:22" x14ac:dyDescent="0.25">
      <c r="T98">
        <v>2017</v>
      </c>
      <c r="U98" t="s">
        <v>711</v>
      </c>
      <c r="V98">
        <v>106.6</v>
      </c>
    </row>
    <row r="99" spans="19:22" x14ac:dyDescent="0.25">
      <c r="T99">
        <v>2017</v>
      </c>
      <c r="U99" t="s">
        <v>717</v>
      </c>
      <c r="V99">
        <v>107.6</v>
      </c>
    </row>
    <row r="100" spans="19:22" x14ac:dyDescent="0.25">
      <c r="T100">
        <v>2017</v>
      </c>
      <c r="U100" t="s">
        <v>715</v>
      </c>
      <c r="V100">
        <v>108</v>
      </c>
    </row>
    <row r="101" spans="19:22" x14ac:dyDescent="0.25">
      <c r="T101">
        <v>2018</v>
      </c>
      <c r="U101" t="s">
        <v>713</v>
      </c>
      <c r="V101">
        <v>109.2</v>
      </c>
    </row>
  </sheetData>
  <phoneticPr fontId="3" type="noConversion"/>
  <pageMargins left="0.78740157499999996" right="0.78740157499999996" top="0.984251969" bottom="0.984251969" header="0.4921259845" footer="0.4921259845"/>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workbookViewId="0">
      <pane xSplit="1" ySplit="1" topLeftCell="B29" activePane="bottomRight" state="frozen"/>
      <selection pane="topRight" activeCell="B1" sqref="B1"/>
      <selection pane="bottomLeft" activeCell="A2" sqref="A2"/>
      <selection pane="bottomRight" activeCell="N3" sqref="N3"/>
    </sheetView>
  </sheetViews>
  <sheetFormatPr baseColWidth="10" defaultRowHeight="12.75" x14ac:dyDescent="0.2"/>
  <cols>
    <col min="1" max="1" width="4.875" style="60" bestFit="1" customWidth="1"/>
    <col min="2" max="2" width="15.125" style="60" bestFit="1" customWidth="1"/>
    <col min="3" max="3" width="10.875" style="60" bestFit="1" customWidth="1"/>
    <col min="4" max="5" width="11.875" style="60" bestFit="1" customWidth="1"/>
    <col min="6" max="6" width="18.375" style="60" bestFit="1" customWidth="1"/>
    <col min="7" max="7" width="18.5" style="60" bestFit="1" customWidth="1"/>
    <col min="8" max="8" width="15.125" style="60" bestFit="1" customWidth="1"/>
    <col min="9" max="9" width="10.875" style="60" bestFit="1" customWidth="1"/>
    <col min="10" max="10" width="5.875" style="60" bestFit="1" customWidth="1"/>
    <col min="11" max="11" width="13.75" style="60" bestFit="1" customWidth="1"/>
    <col min="12" max="12" width="10.875" style="60" bestFit="1" customWidth="1"/>
    <col min="13" max="13" width="17.375" style="60" bestFit="1" customWidth="1"/>
    <col min="14" max="14" width="15.375" style="60" bestFit="1" customWidth="1"/>
    <col min="15" max="15" width="23" style="60" bestFit="1" customWidth="1"/>
    <col min="16" max="16" width="23.125" style="60" bestFit="1" customWidth="1"/>
    <col min="17" max="17" width="8.125" style="60" bestFit="1" customWidth="1"/>
    <col min="18" max="18" width="13" style="60" bestFit="1" customWidth="1"/>
    <col min="19" max="19" width="11.375" style="60" bestFit="1" customWidth="1"/>
    <col min="20" max="20" width="3.875" style="60" bestFit="1" customWidth="1"/>
    <col min="21" max="21" width="5.375" style="60" bestFit="1" customWidth="1"/>
    <col min="22" max="22" width="2.875" style="60" bestFit="1" customWidth="1"/>
    <col min="23" max="23" width="5.375" style="60" bestFit="1" customWidth="1"/>
    <col min="24" max="16384" width="11" style="60"/>
  </cols>
  <sheetData>
    <row r="1" spans="1:23" x14ac:dyDescent="0.2">
      <c r="B1" s="60" t="s">
        <v>533</v>
      </c>
      <c r="C1" s="60" t="s">
        <v>534</v>
      </c>
      <c r="D1" s="67" t="s">
        <v>496</v>
      </c>
      <c r="E1" s="67" t="s">
        <v>22</v>
      </c>
      <c r="F1" s="68" t="s">
        <v>535</v>
      </c>
      <c r="G1" s="68" t="s">
        <v>536</v>
      </c>
      <c r="H1" s="68" t="s">
        <v>678</v>
      </c>
      <c r="I1" s="68" t="s">
        <v>578</v>
      </c>
      <c r="J1" s="68" t="s">
        <v>540</v>
      </c>
      <c r="K1" s="68" t="s">
        <v>679</v>
      </c>
      <c r="L1" s="68" t="s">
        <v>578</v>
      </c>
      <c r="M1" s="68" t="s">
        <v>537</v>
      </c>
      <c r="N1" s="60" t="str">
        <f>CONCATENATE("VOL_",L1)</f>
        <v>VOL_IPCARBU10</v>
      </c>
      <c r="O1" s="60" t="str">
        <f>CONCATENATE("VOL_",F1)</f>
        <v>VOL_PARTENERTOTRDB</v>
      </c>
      <c r="P1" s="60" t="str">
        <f>CONCATENATE("VOL_",G1)</f>
        <v>VOL_PARTENERTOTCFM</v>
      </c>
      <c r="Q1" s="60" t="s">
        <v>675</v>
      </c>
      <c r="R1" s="60" t="s">
        <v>676</v>
      </c>
      <c r="S1" s="60" t="s">
        <v>677</v>
      </c>
    </row>
    <row r="2" spans="1:23" x14ac:dyDescent="0.2">
      <c r="A2" s="60">
        <v>1960</v>
      </c>
      <c r="B2" s="156">
        <v>997.779</v>
      </c>
      <c r="C2" s="108">
        <f>SUM(Q2:S2)</f>
        <v>815.77800000000002</v>
      </c>
      <c r="D2" s="80">
        <v>31911.7</v>
      </c>
      <c r="E2" s="72">
        <v>26160.784</v>
      </c>
      <c r="F2" s="155">
        <f>($B2+$C2)/D2</f>
        <v>5.6830472835981784E-2</v>
      </c>
      <c r="G2" s="155">
        <f>($B2+$C2)/E2</f>
        <v>6.9323495809605701E-2</v>
      </c>
      <c r="H2" s="158">
        <v>11.472</v>
      </c>
      <c r="I2" s="89">
        <v>9.633933626550359</v>
      </c>
      <c r="J2" s="89">
        <v>10.896000000000001</v>
      </c>
      <c r="K2" s="96">
        <f>H2/J2</f>
        <v>1.052863436123348</v>
      </c>
      <c r="L2" s="96">
        <f>I2/J2</f>
        <v>0.88417158833979059</v>
      </c>
      <c r="Q2" s="142">
        <v>806.41</v>
      </c>
      <c r="R2" s="142">
        <v>0</v>
      </c>
      <c r="S2" s="142">
        <v>9.3680000000000003</v>
      </c>
      <c r="T2" s="142"/>
      <c r="U2" s="142"/>
      <c r="V2" s="142"/>
      <c r="W2" s="142"/>
    </row>
    <row r="3" spans="1:23" x14ac:dyDescent="0.2">
      <c r="A3" s="60">
        <v>1961</v>
      </c>
      <c r="B3" s="156">
        <v>1037.6300000000001</v>
      </c>
      <c r="C3" s="108">
        <f t="shared" ref="C3:C56" si="0">SUM(Q3:S3)</f>
        <v>902.00900000000001</v>
      </c>
      <c r="D3" s="80">
        <v>34435.5</v>
      </c>
      <c r="E3" s="72">
        <v>28509.200000000001</v>
      </c>
      <c r="F3" s="155">
        <f t="shared" ref="F3:F53" si="1">(B3+C3)/D3</f>
        <v>5.6326726779050693E-2</v>
      </c>
      <c r="G3" s="155">
        <f t="shared" ref="G3:G53" si="2">($B3+$C3)/E3</f>
        <v>6.8035546420102982E-2</v>
      </c>
      <c r="H3" s="158">
        <v>11.378</v>
      </c>
      <c r="I3" s="89">
        <v>9.6394696704800058</v>
      </c>
      <c r="J3" s="89">
        <v>11.221</v>
      </c>
      <c r="K3" s="96">
        <f t="shared" ref="K3:K53" si="3">H3/J3</f>
        <v>1.0139916228500134</v>
      </c>
      <c r="L3" s="96">
        <f t="shared" ref="L3:L53" si="4">I3/J3</f>
        <v>0.8590562044808846</v>
      </c>
      <c r="M3" s="96">
        <f>ABS((K3/K2)-1)</f>
        <v>3.6920090431158736E-2</v>
      </c>
      <c r="N3" s="96">
        <f>ABS((L3/L2)-1)</f>
        <v>2.8405554069052541E-2</v>
      </c>
      <c r="O3" s="96">
        <f>ABS((F3/F2)-1)</f>
        <v>8.8640131217093687E-3</v>
      </c>
      <c r="P3" s="96">
        <f>ABS((G3/G2)-1)</f>
        <v>1.857882921888443E-2</v>
      </c>
      <c r="Q3" s="142">
        <v>891.5</v>
      </c>
      <c r="R3" s="142">
        <v>0</v>
      </c>
      <c r="S3" s="142">
        <v>10.509</v>
      </c>
      <c r="T3" s="142"/>
      <c r="U3" s="142"/>
      <c r="V3" s="142"/>
      <c r="W3" s="142"/>
    </row>
    <row r="4" spans="1:23" x14ac:dyDescent="0.2">
      <c r="A4" s="60">
        <v>1962</v>
      </c>
      <c r="B4" s="156">
        <v>1167.204</v>
      </c>
      <c r="C4" s="108">
        <f t="shared" si="0"/>
        <v>975.42200000000003</v>
      </c>
      <c r="D4" s="80">
        <v>39577.800000000003</v>
      </c>
      <c r="E4" s="72">
        <v>31918.286</v>
      </c>
      <c r="F4" s="155">
        <f t="shared" si="1"/>
        <v>5.4137066739434733E-2</v>
      </c>
      <c r="G4" s="155">
        <f t="shared" si="2"/>
        <v>6.7128479267339114E-2</v>
      </c>
      <c r="H4" s="158">
        <v>11.257999999999999</v>
      </c>
      <c r="I4" s="89">
        <v>9.6362223898989363</v>
      </c>
      <c r="J4" s="89">
        <v>11.7</v>
      </c>
      <c r="K4" s="96">
        <f t="shared" si="3"/>
        <v>0.9622222222222222</v>
      </c>
      <c r="L4" s="96">
        <f t="shared" si="4"/>
        <v>0.82360875127341338</v>
      </c>
      <c r="M4" s="96">
        <f t="shared" ref="M4:M53" si="5">ABS((K4/K3)-1)</f>
        <v>5.1055057518407887E-2</v>
      </c>
      <c r="N4" s="96">
        <f t="shared" ref="N4:N53" si="6">ABS((L4/L3)-1)</f>
        <v>4.126325265166042E-2</v>
      </c>
      <c r="O4" s="96">
        <f t="shared" ref="O4:O53" si="7">ABS((F4/F3)-1)</f>
        <v>3.8874263867758607E-2</v>
      </c>
      <c r="P4" s="96">
        <f t="shared" ref="P4:P53" si="8">ABS((G4/G3)-1)</f>
        <v>1.3332253512934988E-2</v>
      </c>
      <c r="Q4" s="142">
        <v>963.52</v>
      </c>
      <c r="R4" s="142">
        <v>0</v>
      </c>
      <c r="S4" s="142">
        <v>11.901999999999999</v>
      </c>
      <c r="T4" s="142"/>
      <c r="U4" s="142"/>
      <c r="V4" s="142"/>
      <c r="W4" s="142"/>
    </row>
    <row r="5" spans="1:23" x14ac:dyDescent="0.2">
      <c r="A5" s="60">
        <v>1963</v>
      </c>
      <c r="B5" s="156">
        <v>1339.8920000000001</v>
      </c>
      <c r="C5" s="108">
        <f t="shared" si="0"/>
        <v>1066.8440000000001</v>
      </c>
      <c r="D5" s="80">
        <v>44090.9</v>
      </c>
      <c r="E5" s="72">
        <v>35877.247000000003</v>
      </c>
      <c r="F5" s="155">
        <f t="shared" si="1"/>
        <v>5.458577620325282E-2</v>
      </c>
      <c r="G5" s="155">
        <f t="shared" si="2"/>
        <v>6.7082516113903604E-2</v>
      </c>
      <c r="H5" s="158">
        <v>11.223000000000001</v>
      </c>
      <c r="I5" s="89">
        <v>9.6383216102822917</v>
      </c>
      <c r="J5" s="89">
        <v>12.266</v>
      </c>
      <c r="K5" s="96">
        <f t="shared" si="3"/>
        <v>0.91496820479373886</v>
      </c>
      <c r="L5" s="96">
        <f t="shared" si="4"/>
        <v>0.78577544515590181</v>
      </c>
      <c r="M5" s="96">
        <f t="shared" si="5"/>
        <v>4.9109255988031175E-2</v>
      </c>
      <c r="N5" s="96">
        <f t="shared" si="6"/>
        <v>4.5936017628535386E-2</v>
      </c>
      <c r="O5" s="96">
        <f t="shared" si="7"/>
        <v>8.288396302994272E-3</v>
      </c>
      <c r="P5" s="96">
        <f t="shared" si="8"/>
        <v>6.847042259435776E-4</v>
      </c>
      <c r="Q5" s="142">
        <v>1053.43</v>
      </c>
      <c r="R5" s="142">
        <v>0</v>
      </c>
      <c r="S5" s="142">
        <v>13.414</v>
      </c>
      <c r="T5" s="142"/>
      <c r="U5" s="142"/>
      <c r="V5" s="142"/>
      <c r="W5" s="142"/>
    </row>
    <row r="6" spans="1:23" x14ac:dyDescent="0.2">
      <c r="A6" s="60">
        <v>1964</v>
      </c>
      <c r="B6" s="156">
        <v>1351.8050000000001</v>
      </c>
      <c r="C6" s="108">
        <f t="shared" si="0"/>
        <v>1184.231</v>
      </c>
      <c r="D6" s="80">
        <v>47882.1</v>
      </c>
      <c r="E6" s="72">
        <v>39101.538</v>
      </c>
      <c r="F6" s="155">
        <f t="shared" si="1"/>
        <v>5.2964176592087651E-2</v>
      </c>
      <c r="G6" s="155">
        <f t="shared" si="2"/>
        <v>6.4857704574178138E-2</v>
      </c>
      <c r="H6" s="158">
        <v>11.428000000000001</v>
      </c>
      <c r="I6" s="89">
        <v>9.6122537300577342</v>
      </c>
      <c r="J6" s="89">
        <v>12.67</v>
      </c>
      <c r="K6" s="96">
        <f t="shared" si="3"/>
        <v>0.90197316495659041</v>
      </c>
      <c r="L6" s="96">
        <f t="shared" si="4"/>
        <v>0.75866248856020002</v>
      </c>
      <c r="M6" s="96">
        <f t="shared" si="5"/>
        <v>1.4202722858635219E-2</v>
      </c>
      <c r="N6" s="96">
        <f t="shared" si="6"/>
        <v>3.4504713481244509E-2</v>
      </c>
      <c r="O6" s="96">
        <f t="shared" si="7"/>
        <v>2.9707365617135495E-2</v>
      </c>
      <c r="P6" s="96">
        <f t="shared" si="8"/>
        <v>3.316529654236311E-2</v>
      </c>
      <c r="Q6" s="142">
        <v>1169.17</v>
      </c>
      <c r="R6" s="142">
        <v>0</v>
      </c>
      <c r="S6" s="142">
        <v>15.061</v>
      </c>
      <c r="T6" s="142"/>
      <c r="U6" s="142"/>
      <c r="V6" s="142"/>
      <c r="W6" s="142"/>
    </row>
    <row r="7" spans="1:23" x14ac:dyDescent="0.2">
      <c r="A7" s="60">
        <v>1965</v>
      </c>
      <c r="B7" s="156">
        <v>1443.299</v>
      </c>
      <c r="C7" s="108">
        <f t="shared" si="0"/>
        <v>1302.319</v>
      </c>
      <c r="D7" s="80">
        <v>51445.7</v>
      </c>
      <c r="E7" s="72">
        <v>41690.182999999997</v>
      </c>
      <c r="F7" s="155">
        <f t="shared" si="1"/>
        <v>5.3369241744207971E-2</v>
      </c>
      <c r="G7" s="155">
        <f t="shared" si="2"/>
        <v>6.5857662462167649E-2</v>
      </c>
      <c r="H7" s="158">
        <v>11.349</v>
      </c>
      <c r="I7" s="89">
        <v>9.5427159367251804</v>
      </c>
      <c r="J7" s="89">
        <v>13.005000000000001</v>
      </c>
      <c r="K7" s="96">
        <f t="shared" si="3"/>
        <v>0.87266435986159163</v>
      </c>
      <c r="L7" s="96">
        <f t="shared" si="4"/>
        <v>0.73377285172819529</v>
      </c>
      <c r="M7" s="96">
        <f t="shared" si="5"/>
        <v>3.2494098753380718E-2</v>
      </c>
      <c r="N7" s="96">
        <f t="shared" si="6"/>
        <v>3.2807259100473773E-2</v>
      </c>
      <c r="O7" s="96">
        <f t="shared" si="7"/>
        <v>7.6479080424489698E-3</v>
      </c>
      <c r="P7" s="96">
        <f t="shared" si="8"/>
        <v>1.5417719368187921E-2</v>
      </c>
      <c r="Q7" s="142">
        <v>1285.99</v>
      </c>
      <c r="R7" s="142">
        <v>0</v>
      </c>
      <c r="S7" s="142">
        <v>16.329000000000001</v>
      </c>
      <c r="T7" s="142"/>
      <c r="U7" s="142"/>
      <c r="V7" s="142"/>
      <c r="W7" s="142"/>
    </row>
    <row r="8" spans="1:23" x14ac:dyDescent="0.2">
      <c r="A8" s="60">
        <v>1966</v>
      </c>
      <c r="B8" s="156">
        <v>1507.6010000000001</v>
      </c>
      <c r="C8" s="108">
        <f t="shared" si="0"/>
        <v>1444.5630000000001</v>
      </c>
      <c r="D8" s="80">
        <v>55574.7</v>
      </c>
      <c r="E8" s="72">
        <v>45008.733999999997</v>
      </c>
      <c r="F8" s="155">
        <f t="shared" si="1"/>
        <v>5.3120646625172969E-2</v>
      </c>
      <c r="G8" s="155">
        <f t="shared" si="2"/>
        <v>6.5590913976829479E-2</v>
      </c>
      <c r="H8" s="158">
        <v>11.233000000000001</v>
      </c>
      <c r="I8" s="89">
        <v>9.5447511281958626</v>
      </c>
      <c r="J8" s="89">
        <v>13.397</v>
      </c>
      <c r="K8" s="96">
        <f t="shared" si="3"/>
        <v>0.83847129954467425</v>
      </c>
      <c r="L8" s="96">
        <f t="shared" si="4"/>
        <v>0.712454365021711</v>
      </c>
      <c r="M8" s="96">
        <f t="shared" si="5"/>
        <v>3.918237284531767E-2</v>
      </c>
      <c r="N8" s="96">
        <f t="shared" si="6"/>
        <v>2.9053250820433862E-2</v>
      </c>
      <c r="O8" s="96">
        <f t="shared" si="7"/>
        <v>4.6580223160465062E-3</v>
      </c>
      <c r="P8" s="96">
        <f t="shared" si="8"/>
        <v>4.0503788832682019E-3</v>
      </c>
      <c r="Q8" s="142">
        <v>1426.46</v>
      </c>
      <c r="R8" s="142">
        <v>0</v>
      </c>
      <c r="S8" s="142">
        <v>18.103000000000002</v>
      </c>
      <c r="T8" s="142"/>
      <c r="U8" s="142"/>
      <c r="V8" s="142"/>
      <c r="W8" s="142"/>
    </row>
    <row r="9" spans="1:23" x14ac:dyDescent="0.2">
      <c r="A9" s="60">
        <v>1967</v>
      </c>
      <c r="B9" s="156">
        <v>1691.4970000000001</v>
      </c>
      <c r="C9" s="108">
        <f t="shared" si="0"/>
        <v>1626.5700000000002</v>
      </c>
      <c r="D9" s="80">
        <v>60552.9</v>
      </c>
      <c r="E9" s="72">
        <v>48740.9</v>
      </c>
      <c r="F9" s="155">
        <f t="shared" si="1"/>
        <v>5.4796169960480832E-2</v>
      </c>
      <c r="G9" s="155">
        <f t="shared" si="2"/>
        <v>6.8075620269629822E-2</v>
      </c>
      <c r="H9" s="158">
        <v>11.353999999999999</v>
      </c>
      <c r="I9" s="89">
        <v>9.6731616960843976</v>
      </c>
      <c r="J9" s="89">
        <v>13.818</v>
      </c>
      <c r="K9" s="96">
        <f t="shared" si="3"/>
        <v>0.82168186423505574</v>
      </c>
      <c r="L9" s="96">
        <f t="shared" si="4"/>
        <v>0.70004064959360235</v>
      </c>
      <c r="M9" s="96">
        <f t="shared" si="5"/>
        <v>2.0023864047267859E-2</v>
      </c>
      <c r="N9" s="96">
        <f t="shared" si="6"/>
        <v>1.7423874478936452E-2</v>
      </c>
      <c r="O9" s="96">
        <f t="shared" si="7"/>
        <v>3.1541847506687981E-2</v>
      </c>
      <c r="P9" s="96">
        <f t="shared" si="8"/>
        <v>3.788186720005271E-2</v>
      </c>
      <c r="Q9" s="142">
        <v>1606.44</v>
      </c>
      <c r="R9" s="142">
        <v>0</v>
      </c>
      <c r="S9" s="142">
        <v>20.13</v>
      </c>
      <c r="T9" s="142"/>
      <c r="U9" s="142"/>
      <c r="V9" s="142"/>
      <c r="W9" s="142"/>
    </row>
    <row r="10" spans="1:23" x14ac:dyDescent="0.2">
      <c r="A10" s="60">
        <v>1968</v>
      </c>
      <c r="B10" s="156">
        <v>1936.8710000000001</v>
      </c>
      <c r="C10" s="108">
        <f t="shared" si="0"/>
        <v>1803.625</v>
      </c>
      <c r="D10" s="80">
        <v>66481.600000000006</v>
      </c>
      <c r="E10" s="72">
        <v>53403.601999999999</v>
      </c>
      <c r="F10" s="155">
        <f t="shared" si="1"/>
        <v>5.6263627830858462E-2</v>
      </c>
      <c r="G10" s="155">
        <f t="shared" si="2"/>
        <v>7.0042017016005778E-2</v>
      </c>
      <c r="H10" s="158">
        <v>11.962999999999999</v>
      </c>
      <c r="I10" s="89">
        <v>9.7300911081849044</v>
      </c>
      <c r="J10" s="89">
        <v>14.513999999999999</v>
      </c>
      <c r="K10" s="96">
        <f t="shared" si="3"/>
        <v>0.82423866611547469</v>
      </c>
      <c r="L10" s="96">
        <f t="shared" si="4"/>
        <v>0.6703934896089917</v>
      </c>
      <c r="M10" s="96">
        <f t="shared" si="5"/>
        <v>3.1116688729635467E-3</v>
      </c>
      <c r="N10" s="96">
        <f t="shared" si="6"/>
        <v>4.2350626355515009E-2</v>
      </c>
      <c r="O10" s="96">
        <f t="shared" si="7"/>
        <v>2.6780299999725532E-2</v>
      </c>
      <c r="P10" s="96">
        <f t="shared" si="8"/>
        <v>2.8885476747587013E-2</v>
      </c>
      <c r="Q10" s="142">
        <v>1780.97</v>
      </c>
      <c r="R10" s="142">
        <v>0</v>
      </c>
      <c r="S10" s="142">
        <v>22.655000000000001</v>
      </c>
      <c r="T10" s="142"/>
      <c r="U10" s="142"/>
      <c r="V10" s="142"/>
      <c r="W10" s="142"/>
    </row>
    <row r="11" spans="1:23" x14ac:dyDescent="0.2">
      <c r="A11" s="60">
        <v>1969</v>
      </c>
      <c r="B11" s="156">
        <v>2173.6419999999998</v>
      </c>
      <c r="C11" s="108">
        <f t="shared" si="0"/>
        <v>2080.277</v>
      </c>
      <c r="D11" s="80">
        <v>74577.8</v>
      </c>
      <c r="E11" s="72">
        <v>60894.786999999997</v>
      </c>
      <c r="F11" s="155">
        <f t="shared" si="1"/>
        <v>5.7040017270555042E-2</v>
      </c>
      <c r="G11" s="155">
        <f t="shared" si="2"/>
        <v>6.9856866401388357E-2</v>
      </c>
      <c r="H11" s="158">
        <v>12.497999999999999</v>
      </c>
      <c r="I11" s="89">
        <v>10.451012366141624</v>
      </c>
      <c r="J11" s="89">
        <v>15.544</v>
      </c>
      <c r="K11" s="96">
        <f t="shared" si="3"/>
        <v>0.80404014410705094</v>
      </c>
      <c r="L11" s="96">
        <f t="shared" si="4"/>
        <v>0.6723502551557915</v>
      </c>
      <c r="M11" s="96">
        <f t="shared" si="5"/>
        <v>2.4505671523051276E-2</v>
      </c>
      <c r="N11" s="96">
        <f t="shared" si="6"/>
        <v>2.9188313686356882E-3</v>
      </c>
      <c r="O11" s="96">
        <f t="shared" si="7"/>
        <v>1.3799135776146221E-2</v>
      </c>
      <c r="P11" s="96">
        <f t="shared" si="8"/>
        <v>2.6434220844198109E-3</v>
      </c>
      <c r="Q11" s="142">
        <v>2053.8200000000002</v>
      </c>
      <c r="R11" s="142">
        <v>0</v>
      </c>
      <c r="S11" s="142">
        <v>26.457000000000001</v>
      </c>
      <c r="T11" s="142"/>
      <c r="U11" s="142"/>
      <c r="V11" s="142"/>
      <c r="W11" s="142"/>
    </row>
    <row r="12" spans="1:23" x14ac:dyDescent="0.2">
      <c r="A12" s="60">
        <v>1970</v>
      </c>
      <c r="B12" s="156">
        <v>2461.0070000000001</v>
      </c>
      <c r="C12" s="108">
        <f t="shared" si="0"/>
        <v>2310.2129999999997</v>
      </c>
      <c r="D12" s="80">
        <v>83989.2</v>
      </c>
      <c r="E12" s="72">
        <v>66849.695999999996</v>
      </c>
      <c r="F12" s="155">
        <f t="shared" si="1"/>
        <v>5.6807541922056642E-2</v>
      </c>
      <c r="G12" s="155">
        <f t="shared" si="2"/>
        <v>7.1372351491321664E-2</v>
      </c>
      <c r="H12" s="158">
        <v>12.923999999999999</v>
      </c>
      <c r="I12" s="89">
        <v>10.552555632316157</v>
      </c>
      <c r="J12" s="89">
        <v>16.324000000000002</v>
      </c>
      <c r="K12" s="96">
        <f t="shared" si="3"/>
        <v>0.79171771624601806</v>
      </c>
      <c r="L12" s="96">
        <f t="shared" si="4"/>
        <v>0.64644423133522144</v>
      </c>
      <c r="M12" s="96">
        <f t="shared" si="5"/>
        <v>1.5325637595766883E-2</v>
      </c>
      <c r="N12" s="96">
        <f t="shared" si="6"/>
        <v>3.8530548061690428E-2</v>
      </c>
      <c r="O12" s="96">
        <f t="shared" si="7"/>
        <v>4.0756535432959762E-3</v>
      </c>
      <c r="P12" s="96">
        <f t="shared" si="8"/>
        <v>2.1694146445469409E-2</v>
      </c>
      <c r="Q12" s="142">
        <v>2280.4699999999998</v>
      </c>
      <c r="R12" s="142">
        <v>0</v>
      </c>
      <c r="S12" s="142">
        <v>29.742999999999999</v>
      </c>
      <c r="T12" s="142"/>
      <c r="U12" s="142"/>
      <c r="V12" s="142"/>
      <c r="W12" s="142"/>
    </row>
    <row r="13" spans="1:23" x14ac:dyDescent="0.2">
      <c r="A13" s="60">
        <v>1971</v>
      </c>
      <c r="B13" s="156">
        <v>2817.0430000000001</v>
      </c>
      <c r="C13" s="108">
        <f t="shared" si="0"/>
        <v>2632.4739999999997</v>
      </c>
      <c r="D13" s="80">
        <v>93629.1</v>
      </c>
      <c r="E13" s="72">
        <v>74593.706000000006</v>
      </c>
      <c r="F13" s="155">
        <f t="shared" si="1"/>
        <v>5.8203240231936432E-2</v>
      </c>
      <c r="G13" s="155">
        <f t="shared" si="2"/>
        <v>7.3055989469138313E-2</v>
      </c>
      <c r="H13" s="158">
        <v>14.117000000000001</v>
      </c>
      <c r="I13" s="89">
        <v>11.001178492930983</v>
      </c>
      <c r="J13" s="89">
        <v>17.247</v>
      </c>
      <c r="K13" s="96">
        <f t="shared" si="3"/>
        <v>0.81851916275294256</v>
      </c>
      <c r="L13" s="96">
        <f t="shared" si="4"/>
        <v>0.63786041009630556</v>
      </c>
      <c r="M13" s="96">
        <f t="shared" si="5"/>
        <v>3.3852275826294909E-2</v>
      </c>
      <c r="N13" s="96">
        <f t="shared" si="6"/>
        <v>1.3278517809937163E-2</v>
      </c>
      <c r="O13" s="96">
        <f t="shared" si="7"/>
        <v>2.456889107778637E-2</v>
      </c>
      <c r="P13" s="96">
        <f t="shared" si="8"/>
        <v>2.3589498491181971E-2</v>
      </c>
      <c r="Q13" s="142">
        <v>2600.4499999999998</v>
      </c>
      <c r="R13" s="142">
        <v>0</v>
      </c>
      <c r="S13" s="142">
        <v>32.024000000000001</v>
      </c>
      <c r="T13" s="142"/>
      <c r="U13" s="142"/>
      <c r="V13" s="142"/>
      <c r="W13" s="142"/>
    </row>
    <row r="14" spans="1:23" x14ac:dyDescent="0.2">
      <c r="A14" s="60">
        <v>1972</v>
      </c>
      <c r="B14" s="156">
        <v>3101.32</v>
      </c>
      <c r="C14" s="108">
        <f t="shared" si="0"/>
        <v>2922.2170000000001</v>
      </c>
      <c r="D14" s="80">
        <v>104922.5</v>
      </c>
      <c r="E14" s="72">
        <v>83046.157000000007</v>
      </c>
      <c r="F14" s="155">
        <f t="shared" si="1"/>
        <v>5.7409392646953709E-2</v>
      </c>
      <c r="G14" s="155">
        <f t="shared" si="2"/>
        <v>7.2532399060922223E-2</v>
      </c>
      <c r="H14" s="158">
        <v>14.709</v>
      </c>
      <c r="I14" s="89">
        <v>11.004074132756053</v>
      </c>
      <c r="J14" s="89">
        <v>18.257999999999999</v>
      </c>
      <c r="K14" s="96">
        <f t="shared" si="3"/>
        <v>0.80561945448570493</v>
      </c>
      <c r="L14" s="96">
        <f t="shared" si="4"/>
        <v>0.60269876945755574</v>
      </c>
      <c r="M14" s="96">
        <f t="shared" si="5"/>
        <v>1.5759812175748955E-2</v>
      </c>
      <c r="N14" s="96">
        <f t="shared" si="6"/>
        <v>5.5124350221768759E-2</v>
      </c>
      <c r="O14" s="96">
        <f t="shared" si="7"/>
        <v>1.36392335172284E-2</v>
      </c>
      <c r="P14" s="96">
        <f t="shared" si="8"/>
        <v>7.1669744263374024E-3</v>
      </c>
      <c r="Q14" s="142">
        <v>2889.94</v>
      </c>
      <c r="R14" s="142">
        <v>0</v>
      </c>
      <c r="S14" s="142">
        <v>32.277000000000001</v>
      </c>
      <c r="T14" s="142"/>
      <c r="U14" s="142"/>
      <c r="V14" s="142"/>
      <c r="W14" s="142"/>
    </row>
    <row r="15" spans="1:23" x14ac:dyDescent="0.2">
      <c r="A15" s="60">
        <v>1973</v>
      </c>
      <c r="B15" s="156">
        <v>3502.145</v>
      </c>
      <c r="C15" s="108">
        <f t="shared" si="0"/>
        <v>3312.4249999999997</v>
      </c>
      <c r="D15" s="80">
        <v>118923.4</v>
      </c>
      <c r="E15" s="72">
        <v>94051.126000000004</v>
      </c>
      <c r="F15" s="155">
        <f t="shared" si="1"/>
        <v>5.730217938605859E-2</v>
      </c>
      <c r="G15" s="155">
        <f t="shared" si="2"/>
        <v>7.2456017166663153E-2</v>
      </c>
      <c r="H15" s="158">
        <v>15.256</v>
      </c>
      <c r="I15" s="89">
        <v>11.422633553967259</v>
      </c>
      <c r="J15" s="89">
        <v>19.585999999999999</v>
      </c>
      <c r="K15" s="96">
        <f t="shared" si="3"/>
        <v>0.77892372102522212</v>
      </c>
      <c r="L15" s="96">
        <f t="shared" si="4"/>
        <v>0.5832040005088972</v>
      </c>
      <c r="M15" s="96">
        <f t="shared" si="5"/>
        <v>3.3136902680093505E-2</v>
      </c>
      <c r="N15" s="96">
        <f t="shared" si="6"/>
        <v>3.2345791855862505E-2</v>
      </c>
      <c r="O15" s="96">
        <f t="shared" si="7"/>
        <v>1.8675212530890883E-3</v>
      </c>
      <c r="P15" s="96">
        <f t="shared" si="8"/>
        <v>1.0530727681420382E-3</v>
      </c>
      <c r="Q15" s="142">
        <v>3277.74</v>
      </c>
      <c r="R15" s="142">
        <v>0</v>
      </c>
      <c r="S15" s="142">
        <v>34.685000000000002</v>
      </c>
      <c r="T15" s="142"/>
      <c r="U15" s="142"/>
      <c r="V15" s="142"/>
      <c r="W15" s="142"/>
    </row>
    <row r="16" spans="1:23" x14ac:dyDescent="0.2">
      <c r="A16" s="60">
        <v>1974</v>
      </c>
      <c r="B16" s="156">
        <v>4613.5249999999996</v>
      </c>
      <c r="C16" s="108">
        <f t="shared" si="0"/>
        <v>4426.5740000000005</v>
      </c>
      <c r="D16" s="80">
        <v>140846.39999999999</v>
      </c>
      <c r="E16" s="72">
        <v>110624.375</v>
      </c>
      <c r="F16" s="155">
        <f t="shared" si="1"/>
        <v>6.418409700212431E-2</v>
      </c>
      <c r="G16" s="155">
        <f t="shared" si="2"/>
        <v>8.1718870728083218E-2</v>
      </c>
      <c r="H16" s="158">
        <v>20.538</v>
      </c>
      <c r="I16" s="89">
        <v>16.104175287705569</v>
      </c>
      <c r="J16" s="89">
        <v>22.402999999999999</v>
      </c>
      <c r="K16" s="96">
        <f t="shared" si="3"/>
        <v>0.91675222068472983</v>
      </c>
      <c r="L16" s="96">
        <f t="shared" si="4"/>
        <v>0.71884012354173865</v>
      </c>
      <c r="M16" s="96">
        <f t="shared" si="5"/>
        <v>0.17694736459957516</v>
      </c>
      <c r="N16" s="96">
        <f t="shared" si="6"/>
        <v>0.23257063208497697</v>
      </c>
      <c r="O16" s="96">
        <f t="shared" si="7"/>
        <v>0.12009870636334052</v>
      </c>
      <c r="P16" s="96">
        <f t="shared" si="8"/>
        <v>0.12784105342298457</v>
      </c>
      <c r="Q16" s="142">
        <v>4374.42</v>
      </c>
      <c r="R16" s="142">
        <v>0</v>
      </c>
      <c r="S16" s="142">
        <v>52.154000000000003</v>
      </c>
      <c r="T16" s="142"/>
      <c r="U16" s="142"/>
      <c r="V16" s="142"/>
      <c r="W16" s="142"/>
    </row>
    <row r="17" spans="1:23" x14ac:dyDescent="0.2">
      <c r="A17" s="60">
        <v>1975</v>
      </c>
      <c r="B17" s="156">
        <v>5370.4260000000004</v>
      </c>
      <c r="C17" s="108">
        <f t="shared" si="0"/>
        <v>4883.7179999999998</v>
      </c>
      <c r="D17" s="80">
        <v>162035.5</v>
      </c>
      <c r="E17" s="72">
        <v>125970.655</v>
      </c>
      <c r="F17" s="155">
        <f t="shared" si="1"/>
        <v>6.3283317544612139E-2</v>
      </c>
      <c r="G17" s="155">
        <f t="shared" si="2"/>
        <v>8.1401053284989269E-2</v>
      </c>
      <c r="H17" s="158">
        <v>22.779</v>
      </c>
      <c r="I17" s="89">
        <v>16.763405343633682</v>
      </c>
      <c r="J17" s="89">
        <v>25.015000000000001</v>
      </c>
      <c r="K17" s="96">
        <f t="shared" si="3"/>
        <v>0.91061363182090738</v>
      </c>
      <c r="L17" s="96">
        <f t="shared" si="4"/>
        <v>0.67013413326538807</v>
      </c>
      <c r="M17" s="96">
        <f t="shared" si="5"/>
        <v>6.6960174464998357E-3</v>
      </c>
      <c r="N17" s="96">
        <f t="shared" si="6"/>
        <v>6.7756360115758807E-2</v>
      </c>
      <c r="O17" s="96">
        <f t="shared" si="7"/>
        <v>1.4034309113710175E-2</v>
      </c>
      <c r="P17" s="96">
        <f t="shared" si="8"/>
        <v>3.8891560818489213E-3</v>
      </c>
      <c r="Q17" s="142">
        <v>4818.53</v>
      </c>
      <c r="R17" s="142">
        <v>0</v>
      </c>
      <c r="S17" s="142">
        <v>65.188000000000002</v>
      </c>
      <c r="T17" s="142"/>
      <c r="U17" s="142"/>
      <c r="V17" s="142"/>
      <c r="W17" s="142"/>
    </row>
    <row r="18" spans="1:23" x14ac:dyDescent="0.2">
      <c r="A18" s="60">
        <v>1976</v>
      </c>
      <c r="B18" s="156">
        <v>6250.9960000000001</v>
      </c>
      <c r="C18" s="108">
        <f t="shared" si="0"/>
        <v>5611.2179999999998</v>
      </c>
      <c r="D18" s="80">
        <v>181938.6</v>
      </c>
      <c r="E18" s="72">
        <v>145670.72700000001</v>
      </c>
      <c r="F18" s="155">
        <f t="shared" si="1"/>
        <v>6.519899570514448E-2</v>
      </c>
      <c r="G18" s="155">
        <f t="shared" si="2"/>
        <v>8.1431693548148484E-2</v>
      </c>
      <c r="H18" s="158">
        <v>25.568999999999999</v>
      </c>
      <c r="I18" s="89">
        <v>18.151261248805522</v>
      </c>
      <c r="J18" s="89">
        <v>27.425999999999998</v>
      </c>
      <c r="K18" s="96">
        <f t="shared" si="3"/>
        <v>0.93229052723692851</v>
      </c>
      <c r="L18" s="96">
        <f t="shared" si="4"/>
        <v>0.6618267792899265</v>
      </c>
      <c r="M18" s="96">
        <f t="shared" si="5"/>
        <v>2.3804712183667753E-2</v>
      </c>
      <c r="N18" s="96">
        <f t="shared" si="6"/>
        <v>1.2396554007750638E-2</v>
      </c>
      <c r="O18" s="96">
        <f t="shared" si="7"/>
        <v>3.0271455967552097E-2</v>
      </c>
      <c r="P18" s="96">
        <f t="shared" si="8"/>
        <v>3.7641113871034193E-4</v>
      </c>
      <c r="Q18" s="142">
        <v>5524.76</v>
      </c>
      <c r="R18" s="142">
        <v>0</v>
      </c>
      <c r="S18" s="142">
        <v>86.457999999999998</v>
      </c>
      <c r="T18" s="142"/>
      <c r="U18" s="142"/>
      <c r="V18" s="142"/>
      <c r="W18" s="142"/>
    </row>
    <row r="19" spans="1:23" x14ac:dyDescent="0.2">
      <c r="A19" s="60">
        <v>1977</v>
      </c>
      <c r="B19" s="156">
        <v>7072.9840000000004</v>
      </c>
      <c r="C19" s="108">
        <f t="shared" si="0"/>
        <v>6476.2290000000003</v>
      </c>
      <c r="D19" s="80">
        <v>204453.3</v>
      </c>
      <c r="E19" s="72">
        <v>163386.95499999999</v>
      </c>
      <c r="F19" s="155">
        <f t="shared" si="1"/>
        <v>6.6270453937402829E-2</v>
      </c>
      <c r="G19" s="155">
        <f t="shared" si="2"/>
        <v>8.2927140664320484E-2</v>
      </c>
      <c r="H19" s="158">
        <v>27.762</v>
      </c>
      <c r="I19" s="89">
        <v>21.260802308874496</v>
      </c>
      <c r="J19" s="89">
        <v>29.984999999999999</v>
      </c>
      <c r="K19" s="96">
        <f t="shared" si="3"/>
        <v>0.92586293146573295</v>
      </c>
      <c r="L19" s="96">
        <f t="shared" si="4"/>
        <v>0.70904793426294799</v>
      </c>
      <c r="M19" s="96">
        <f t="shared" si="5"/>
        <v>6.8944128288478401E-3</v>
      </c>
      <c r="N19" s="96">
        <f t="shared" si="6"/>
        <v>7.1349719368692055E-2</v>
      </c>
      <c r="O19" s="96">
        <f t="shared" si="7"/>
        <v>1.6433661602763161E-2</v>
      </c>
      <c r="P19" s="96">
        <f t="shared" si="8"/>
        <v>1.8364435897280984E-2</v>
      </c>
      <c r="Q19" s="142">
        <v>6357.91</v>
      </c>
      <c r="R19" s="142">
        <v>0</v>
      </c>
      <c r="S19" s="142">
        <v>118.319</v>
      </c>
      <c r="T19" s="142"/>
      <c r="U19" s="142"/>
      <c r="V19" s="142"/>
      <c r="W19" s="142"/>
    </row>
    <row r="20" spans="1:23" x14ac:dyDescent="0.2">
      <c r="A20" s="60">
        <v>1978</v>
      </c>
      <c r="B20" s="156">
        <v>8464.2450000000008</v>
      </c>
      <c r="C20" s="108">
        <f t="shared" si="0"/>
        <v>7486.48</v>
      </c>
      <c r="D20" s="80">
        <v>235597.8</v>
      </c>
      <c r="E20" s="72">
        <v>184590.022</v>
      </c>
      <c r="F20" s="155">
        <f t="shared" si="1"/>
        <v>6.7703200114771878E-2</v>
      </c>
      <c r="G20" s="155">
        <f t="shared" si="2"/>
        <v>8.6411631718641871E-2</v>
      </c>
      <c r="H20" s="158">
        <v>29.873000000000001</v>
      </c>
      <c r="I20" s="89">
        <v>23.422042316282155</v>
      </c>
      <c r="J20" s="89">
        <v>32.594999999999999</v>
      </c>
      <c r="K20" s="96">
        <f t="shared" si="3"/>
        <v>0.91649025924221517</v>
      </c>
      <c r="L20" s="96">
        <f t="shared" si="4"/>
        <v>0.71857776702813791</v>
      </c>
      <c r="M20" s="96">
        <f t="shared" si="5"/>
        <v>1.0123174721640371E-2</v>
      </c>
      <c r="N20" s="96">
        <f t="shared" si="6"/>
        <v>1.3440322303591712E-2</v>
      </c>
      <c r="O20" s="96">
        <f t="shared" si="7"/>
        <v>2.1619682562041609E-2</v>
      </c>
      <c r="P20" s="96">
        <f t="shared" si="8"/>
        <v>4.2018704930707917E-2</v>
      </c>
      <c r="Q20" s="142">
        <v>7322</v>
      </c>
      <c r="R20" s="142">
        <v>0</v>
      </c>
      <c r="S20" s="142">
        <v>164.48</v>
      </c>
      <c r="T20" s="142"/>
      <c r="U20" s="142"/>
      <c r="V20" s="142"/>
      <c r="W20" s="142"/>
    </row>
    <row r="21" spans="1:23" x14ac:dyDescent="0.2">
      <c r="A21" s="60">
        <v>1979</v>
      </c>
      <c r="B21" s="156">
        <v>9908.7970000000005</v>
      </c>
      <c r="C21" s="108">
        <f t="shared" si="0"/>
        <v>8666.853000000001</v>
      </c>
      <c r="D21" s="80">
        <v>263596.79999999999</v>
      </c>
      <c r="E21" s="72">
        <v>211776.00099999999</v>
      </c>
      <c r="F21" s="155">
        <f t="shared" si="1"/>
        <v>7.046993741957415E-2</v>
      </c>
      <c r="G21" s="155">
        <f t="shared" si="2"/>
        <v>8.7713668745685688E-2</v>
      </c>
      <c r="H21" s="158">
        <v>34.396999999999998</v>
      </c>
      <c r="I21" s="89">
        <v>26.922022342711937</v>
      </c>
      <c r="J21" s="89">
        <v>36.158000000000001</v>
      </c>
      <c r="K21" s="96">
        <f t="shared" si="3"/>
        <v>0.95129708501576404</v>
      </c>
      <c r="L21" s="96">
        <f t="shared" si="4"/>
        <v>0.74456613592322407</v>
      </c>
      <c r="M21" s="96">
        <f t="shared" si="5"/>
        <v>3.7978391393191924E-2</v>
      </c>
      <c r="N21" s="96">
        <f t="shared" si="6"/>
        <v>3.6166397135507955E-2</v>
      </c>
      <c r="O21" s="96">
        <f t="shared" si="7"/>
        <v>4.0865679910433217E-2</v>
      </c>
      <c r="P21" s="96">
        <f t="shared" si="8"/>
        <v>1.506784446894005E-2</v>
      </c>
      <c r="Q21" s="142">
        <v>8425.02</v>
      </c>
      <c r="R21" s="142">
        <v>0</v>
      </c>
      <c r="S21" s="142">
        <v>241.833</v>
      </c>
      <c r="T21" s="142"/>
      <c r="U21" s="142"/>
      <c r="V21" s="142"/>
      <c r="W21" s="142"/>
    </row>
    <row r="22" spans="1:23" x14ac:dyDescent="0.2">
      <c r="A22" s="60">
        <v>1980</v>
      </c>
      <c r="B22" s="156">
        <v>13140.49</v>
      </c>
      <c r="C22" s="108">
        <f t="shared" si="0"/>
        <v>10270.588</v>
      </c>
      <c r="D22" s="80">
        <v>299749.59999999998</v>
      </c>
      <c r="E22" s="72">
        <v>242302.97500000001</v>
      </c>
      <c r="F22" s="155">
        <f t="shared" si="1"/>
        <v>7.8102115899404051E-2</v>
      </c>
      <c r="G22" s="155">
        <f t="shared" si="2"/>
        <v>9.6619028305368518E-2</v>
      </c>
      <c r="H22" s="158">
        <v>45.345999999999997</v>
      </c>
      <c r="I22" s="89">
        <v>31.30742972787926</v>
      </c>
      <c r="J22" s="89">
        <v>40.881999999999998</v>
      </c>
      <c r="K22" s="96">
        <f t="shared" si="3"/>
        <v>1.1091923095738956</v>
      </c>
      <c r="L22" s="96">
        <f t="shared" si="4"/>
        <v>0.76579985636415193</v>
      </c>
      <c r="M22" s="96">
        <f t="shared" si="5"/>
        <v>0.1659788798317563</v>
      </c>
      <c r="N22" s="96">
        <f t="shared" si="6"/>
        <v>2.8518246286609816E-2</v>
      </c>
      <c r="O22" s="96">
        <f t="shared" si="7"/>
        <v>0.10830403373836317</v>
      </c>
      <c r="P22" s="96">
        <f t="shared" si="8"/>
        <v>0.10152761464695725</v>
      </c>
      <c r="Q22" s="142">
        <v>9895.33</v>
      </c>
      <c r="R22" s="142">
        <v>0</v>
      </c>
      <c r="S22" s="142">
        <v>375.25799999999998</v>
      </c>
      <c r="T22" s="142"/>
      <c r="U22" s="142"/>
      <c r="V22" s="142"/>
      <c r="W22" s="142"/>
    </row>
    <row r="23" spans="1:23" x14ac:dyDescent="0.2">
      <c r="A23" s="60">
        <v>1981</v>
      </c>
      <c r="B23" s="156">
        <v>15006.108</v>
      </c>
      <c r="C23" s="108">
        <f t="shared" si="0"/>
        <v>12156.369999999999</v>
      </c>
      <c r="D23" s="80">
        <v>346513.1</v>
      </c>
      <c r="E23" s="72">
        <v>281002.864</v>
      </c>
      <c r="F23" s="155">
        <f t="shared" si="1"/>
        <v>7.8388026311270773E-2</v>
      </c>
      <c r="G23" s="155">
        <f t="shared" si="2"/>
        <v>9.6662637573686788E-2</v>
      </c>
      <c r="H23" s="158">
        <v>54.655999999999999</v>
      </c>
      <c r="I23" s="89">
        <v>35.691326494669049</v>
      </c>
      <c r="J23" s="89">
        <v>46.457000000000001</v>
      </c>
      <c r="K23" s="96">
        <f t="shared" si="3"/>
        <v>1.1764857825516069</v>
      </c>
      <c r="L23" s="96">
        <f t="shared" si="4"/>
        <v>0.76826584787371222</v>
      </c>
      <c r="M23" s="96">
        <f t="shared" si="5"/>
        <v>6.0668896093917679E-2</v>
      </c>
      <c r="N23" s="96">
        <f t="shared" si="6"/>
        <v>3.2201514391347885E-3</v>
      </c>
      <c r="O23" s="96">
        <f t="shared" si="7"/>
        <v>3.6607255587668419E-3</v>
      </c>
      <c r="P23" s="96">
        <f t="shared" si="8"/>
        <v>4.5135279336938616E-4</v>
      </c>
      <c r="Q23" s="142">
        <v>11606.72</v>
      </c>
      <c r="R23" s="142">
        <v>0</v>
      </c>
      <c r="S23" s="142">
        <v>549.65</v>
      </c>
      <c r="T23" s="142"/>
      <c r="U23" s="142"/>
      <c r="V23" s="142"/>
      <c r="W23" s="142"/>
    </row>
    <row r="24" spans="1:23" x14ac:dyDescent="0.2">
      <c r="A24" s="60">
        <v>1982</v>
      </c>
      <c r="B24" s="156">
        <v>17221.650000000001</v>
      </c>
      <c r="C24" s="108">
        <f t="shared" si="0"/>
        <v>14128.788</v>
      </c>
      <c r="D24" s="80">
        <v>395889.7</v>
      </c>
      <c r="E24" s="72">
        <v>324504.06699999998</v>
      </c>
      <c r="F24" s="155">
        <f t="shared" si="1"/>
        <v>7.9189829894538807E-2</v>
      </c>
      <c r="G24" s="155">
        <f t="shared" si="2"/>
        <v>9.661030843104966E-2</v>
      </c>
      <c r="H24" s="158">
        <v>63.761000000000003</v>
      </c>
      <c r="I24" s="89">
        <v>40.563464588186903</v>
      </c>
      <c r="J24" s="89">
        <v>51.936999999999998</v>
      </c>
      <c r="K24" s="96">
        <f t="shared" si="3"/>
        <v>1.2276604347574949</v>
      </c>
      <c r="L24" s="96">
        <f t="shared" si="4"/>
        <v>0.78101285380724539</v>
      </c>
      <c r="M24" s="96">
        <f t="shared" si="5"/>
        <v>4.3497892592376575E-2</v>
      </c>
      <c r="N24" s="96">
        <f t="shared" si="6"/>
        <v>1.6591920581674025E-2</v>
      </c>
      <c r="O24" s="96">
        <f t="shared" si="7"/>
        <v>1.0228648698005882E-2</v>
      </c>
      <c r="P24" s="96">
        <f t="shared" si="8"/>
        <v>5.4135852228565096E-4</v>
      </c>
      <c r="Q24" s="142">
        <v>13366.84</v>
      </c>
      <c r="R24" s="142">
        <v>0</v>
      </c>
      <c r="S24" s="142">
        <v>761.94799999999998</v>
      </c>
      <c r="T24" s="142"/>
      <c r="U24" s="142"/>
      <c r="V24" s="142"/>
      <c r="W24" s="142"/>
    </row>
    <row r="25" spans="1:23" x14ac:dyDescent="0.2">
      <c r="A25" s="60">
        <v>1983</v>
      </c>
      <c r="B25" s="156">
        <v>19803.855</v>
      </c>
      <c r="C25" s="108">
        <f t="shared" si="0"/>
        <v>15306.539000000001</v>
      </c>
      <c r="D25" s="80">
        <v>433335.4</v>
      </c>
      <c r="E25" s="72">
        <v>358620.98599999998</v>
      </c>
      <c r="F25" s="155">
        <f t="shared" si="1"/>
        <v>8.1023599733601265E-2</v>
      </c>
      <c r="G25" s="155">
        <f t="shared" si="2"/>
        <v>9.7903902366717616E-2</v>
      </c>
      <c r="H25" s="158">
        <v>70.245000000000005</v>
      </c>
      <c r="I25" s="89">
        <v>43.443971431490823</v>
      </c>
      <c r="J25" s="89">
        <v>56.901000000000003</v>
      </c>
      <c r="K25" s="96">
        <f t="shared" si="3"/>
        <v>1.2345125744714505</v>
      </c>
      <c r="L25" s="96">
        <f t="shared" si="4"/>
        <v>0.76350101811024096</v>
      </c>
      <c r="M25" s="96">
        <f t="shared" si="5"/>
        <v>5.5814617136449307E-3</v>
      </c>
      <c r="N25" s="96">
        <f t="shared" si="6"/>
        <v>2.2421955812428118E-2</v>
      </c>
      <c r="O25" s="96">
        <f t="shared" si="7"/>
        <v>2.3156633137166427E-2</v>
      </c>
      <c r="P25" s="96">
        <f t="shared" si="8"/>
        <v>1.3389812709180937E-2</v>
      </c>
      <c r="Q25" s="142">
        <v>14382.03</v>
      </c>
      <c r="R25" s="142">
        <v>0</v>
      </c>
      <c r="S25" s="142">
        <v>924.50900000000001</v>
      </c>
      <c r="T25" s="142"/>
      <c r="U25" s="142"/>
      <c r="V25" s="142"/>
      <c r="W25" s="142"/>
    </row>
    <row r="26" spans="1:23" x14ac:dyDescent="0.2">
      <c r="A26" s="60">
        <v>1984</v>
      </c>
      <c r="B26" s="156">
        <v>22371.074000000001</v>
      </c>
      <c r="C26" s="108">
        <f t="shared" si="0"/>
        <v>16766.112000000001</v>
      </c>
      <c r="D26" s="80">
        <v>462165.4</v>
      </c>
      <c r="E26" s="72">
        <v>389721.72899999999</v>
      </c>
      <c r="F26" s="155">
        <f t="shared" si="1"/>
        <v>8.4682206846293559E-2</v>
      </c>
      <c r="G26" s="155">
        <f t="shared" si="2"/>
        <v>0.10042341262424195</v>
      </c>
      <c r="H26" s="158">
        <v>75.840999999999994</v>
      </c>
      <c r="I26" s="89">
        <v>47.045058802899561</v>
      </c>
      <c r="J26" s="89">
        <v>61.4</v>
      </c>
      <c r="K26" s="96">
        <f t="shared" si="3"/>
        <v>1.2351954397394136</v>
      </c>
      <c r="L26" s="96">
        <f t="shared" si="4"/>
        <v>0.76620616942833164</v>
      </c>
      <c r="M26" s="96">
        <f t="shared" si="5"/>
        <v>5.5314565609476674E-4</v>
      </c>
      <c r="N26" s="96">
        <f t="shared" si="6"/>
        <v>3.543088029910324E-3</v>
      </c>
      <c r="O26" s="96">
        <f t="shared" si="7"/>
        <v>4.5154832971152636E-2</v>
      </c>
      <c r="P26" s="96">
        <f t="shared" si="8"/>
        <v>2.57345233092654E-2</v>
      </c>
      <c r="Q26" s="142">
        <v>15643.66</v>
      </c>
      <c r="R26" s="142">
        <v>0</v>
      </c>
      <c r="S26" s="142">
        <v>1122.452</v>
      </c>
      <c r="T26" s="142"/>
      <c r="U26" s="142"/>
      <c r="V26" s="142"/>
      <c r="W26" s="142"/>
    </row>
    <row r="27" spans="1:23" x14ac:dyDescent="0.2">
      <c r="A27" s="60">
        <v>1985</v>
      </c>
      <c r="B27" s="156">
        <v>25052.558000000001</v>
      </c>
      <c r="C27" s="108">
        <f t="shared" si="0"/>
        <v>18555.974999999999</v>
      </c>
      <c r="D27" s="80">
        <v>494454.5</v>
      </c>
      <c r="E27" s="72">
        <v>421869.56599999999</v>
      </c>
      <c r="F27" s="155">
        <f t="shared" si="1"/>
        <v>8.8195239400187475E-2</v>
      </c>
      <c r="G27" s="155">
        <f t="shared" si="2"/>
        <v>0.10336970598158768</v>
      </c>
      <c r="H27" s="158">
        <v>80.578000000000003</v>
      </c>
      <c r="I27" s="89">
        <v>52.229354801081591</v>
      </c>
      <c r="J27" s="89">
        <v>65.204999999999998</v>
      </c>
      <c r="K27" s="96">
        <f t="shared" si="3"/>
        <v>1.2357641285177519</v>
      </c>
      <c r="L27" s="96">
        <f t="shared" si="4"/>
        <v>0.80100229738642115</v>
      </c>
      <c r="M27" s="96">
        <f t="shared" si="5"/>
        <v>4.6040388431012325E-4</v>
      </c>
      <c r="N27" s="96">
        <f t="shared" si="6"/>
        <v>4.541353143116944E-2</v>
      </c>
      <c r="O27" s="96">
        <f t="shared" si="7"/>
        <v>4.1484896116021241E-2</v>
      </c>
      <c r="P27" s="96">
        <f t="shared" si="8"/>
        <v>2.9338709772490867E-2</v>
      </c>
      <c r="Q27" s="142">
        <v>17138.64</v>
      </c>
      <c r="R27" s="142">
        <v>0</v>
      </c>
      <c r="S27" s="142">
        <v>1417.335</v>
      </c>
      <c r="T27" s="142"/>
      <c r="U27" s="142"/>
      <c r="V27" s="142"/>
      <c r="W27" s="142"/>
    </row>
    <row r="28" spans="1:23" x14ac:dyDescent="0.2">
      <c r="A28" s="60">
        <v>1986</v>
      </c>
      <c r="B28" s="156">
        <v>23227.219000000001</v>
      </c>
      <c r="C28" s="108">
        <f t="shared" si="0"/>
        <v>16748.064000000002</v>
      </c>
      <c r="D28" s="80">
        <v>520851.3</v>
      </c>
      <c r="E28" s="72">
        <v>449572.87599999999</v>
      </c>
      <c r="F28" s="155">
        <f t="shared" si="1"/>
        <v>7.6749895795594644E-2</v>
      </c>
      <c r="G28" s="155">
        <f t="shared" si="2"/>
        <v>8.8918360368342164E-2</v>
      </c>
      <c r="H28" s="158">
        <v>72.361000000000004</v>
      </c>
      <c r="I28" s="89">
        <v>45.384588940309754</v>
      </c>
      <c r="J28" s="89">
        <v>66.965000000000003</v>
      </c>
      <c r="K28" s="96">
        <f t="shared" si="3"/>
        <v>1.0805794071529904</v>
      </c>
      <c r="L28" s="96">
        <f t="shared" si="4"/>
        <v>0.67773596565832528</v>
      </c>
      <c r="M28" s="96">
        <f t="shared" si="5"/>
        <v>0.12557794629538177</v>
      </c>
      <c r="N28" s="96">
        <f t="shared" si="6"/>
        <v>0.15389011009119424</v>
      </c>
      <c r="O28" s="96">
        <f t="shared" si="7"/>
        <v>0.12977280499981836</v>
      </c>
      <c r="P28" s="96">
        <f t="shared" si="8"/>
        <v>0.13980252218014055</v>
      </c>
      <c r="Q28" s="142">
        <v>15460.95</v>
      </c>
      <c r="R28" s="142">
        <v>0</v>
      </c>
      <c r="S28" s="142">
        <v>1287.114</v>
      </c>
      <c r="T28" s="142"/>
      <c r="U28" s="142"/>
      <c r="V28" s="142"/>
      <c r="W28" s="142"/>
    </row>
    <row r="29" spans="1:23" x14ac:dyDescent="0.2">
      <c r="A29" s="60">
        <v>1987</v>
      </c>
      <c r="B29" s="156">
        <v>21958.338</v>
      </c>
      <c r="C29" s="108">
        <f t="shared" si="0"/>
        <v>16936.216</v>
      </c>
      <c r="D29" s="80">
        <v>543642.9</v>
      </c>
      <c r="E29" s="72">
        <v>478272.73599999998</v>
      </c>
      <c r="F29" s="155">
        <f t="shared" si="1"/>
        <v>7.154430601411331E-2</v>
      </c>
      <c r="G29" s="155">
        <f t="shared" si="2"/>
        <v>8.1322958789773053E-2</v>
      </c>
      <c r="H29" s="158">
        <v>67.751000000000005</v>
      </c>
      <c r="I29" s="89">
        <v>45.749073735006682</v>
      </c>
      <c r="J29" s="89">
        <v>68.972999999999999</v>
      </c>
      <c r="K29" s="96">
        <f t="shared" si="3"/>
        <v>0.98228292230293024</v>
      </c>
      <c r="L29" s="96">
        <f t="shared" si="4"/>
        <v>0.66328960223575428</v>
      </c>
      <c r="M29" s="96">
        <f t="shared" si="5"/>
        <v>9.0966461325635017E-2</v>
      </c>
      <c r="N29" s="96">
        <f t="shared" si="6"/>
        <v>2.1315621650001115E-2</v>
      </c>
      <c r="O29" s="96">
        <f t="shared" si="7"/>
        <v>6.7825366113137164E-2</v>
      </c>
      <c r="P29" s="96">
        <f t="shared" si="8"/>
        <v>8.5419946421699033E-2</v>
      </c>
      <c r="Q29" s="142">
        <v>15541.89</v>
      </c>
      <c r="R29" s="142">
        <v>0</v>
      </c>
      <c r="S29" s="142">
        <v>1394.326</v>
      </c>
      <c r="T29" s="142"/>
      <c r="U29" s="142"/>
      <c r="V29" s="142"/>
      <c r="W29" s="142"/>
    </row>
    <row r="30" spans="1:23" x14ac:dyDescent="0.2">
      <c r="A30" s="60">
        <v>1988</v>
      </c>
      <c r="B30" s="156">
        <v>20536.802</v>
      </c>
      <c r="C30" s="108">
        <f t="shared" si="0"/>
        <v>17582.864000000001</v>
      </c>
      <c r="D30" s="80">
        <v>577509.80000000005</v>
      </c>
      <c r="E30" s="72">
        <v>507385.72</v>
      </c>
      <c r="F30" s="155">
        <f t="shared" si="1"/>
        <v>6.6006959535578433E-2</v>
      </c>
      <c r="G30" s="155">
        <f t="shared" si="2"/>
        <v>7.5129560209144242E-2</v>
      </c>
      <c r="H30" s="158">
        <v>66.789000000000001</v>
      </c>
      <c r="I30" s="89">
        <v>46.049214224372086</v>
      </c>
      <c r="J30" s="89">
        <v>70.828999999999994</v>
      </c>
      <c r="K30" s="96">
        <f t="shared" si="3"/>
        <v>0.94296121645088882</v>
      </c>
      <c r="L30" s="96">
        <f t="shared" si="4"/>
        <v>0.6501463274135183</v>
      </c>
      <c r="M30" s="96">
        <f t="shared" si="5"/>
        <v>4.0030937074476469E-2</v>
      </c>
      <c r="N30" s="96">
        <f t="shared" si="6"/>
        <v>1.9815288492287308E-2</v>
      </c>
      <c r="O30" s="96">
        <f t="shared" si="7"/>
        <v>7.7397444842676077E-2</v>
      </c>
      <c r="P30" s="96">
        <f t="shared" si="8"/>
        <v>7.6158057611249608E-2</v>
      </c>
      <c r="Q30" s="142">
        <v>15984.53</v>
      </c>
      <c r="R30" s="142">
        <v>0</v>
      </c>
      <c r="S30" s="142">
        <v>1598.3340000000001</v>
      </c>
      <c r="T30" s="142"/>
      <c r="U30" s="142"/>
      <c r="V30" s="142"/>
      <c r="W30" s="142"/>
    </row>
    <row r="31" spans="1:23" x14ac:dyDescent="0.2">
      <c r="A31" s="60">
        <v>1989</v>
      </c>
      <c r="B31" s="156">
        <v>20879.554</v>
      </c>
      <c r="C31" s="108">
        <f t="shared" si="0"/>
        <v>19088.973000000002</v>
      </c>
      <c r="D31" s="80">
        <v>621289.6</v>
      </c>
      <c r="E31" s="72">
        <v>543716.43599999999</v>
      </c>
      <c r="F31" s="155">
        <f t="shared" si="1"/>
        <v>6.4331556491529884E-2</v>
      </c>
      <c r="G31" s="155">
        <f t="shared" si="2"/>
        <v>7.3509874547916007E-2</v>
      </c>
      <c r="H31" s="158">
        <v>67.852999999999994</v>
      </c>
      <c r="I31" s="89">
        <v>49.041123708855366</v>
      </c>
      <c r="J31" s="89">
        <v>73.545000000000002</v>
      </c>
      <c r="K31" s="96">
        <f t="shared" si="3"/>
        <v>0.92260520769596832</v>
      </c>
      <c r="L31" s="96">
        <f t="shared" si="4"/>
        <v>0.66681791704202009</v>
      </c>
      <c r="M31" s="96">
        <f t="shared" si="5"/>
        <v>2.1587323423052696E-2</v>
      </c>
      <c r="N31" s="96">
        <f t="shared" si="6"/>
        <v>2.5642826738445867E-2</v>
      </c>
      <c r="O31" s="96">
        <f t="shared" si="7"/>
        <v>2.5382218115129085E-2</v>
      </c>
      <c r="P31" s="96">
        <f t="shared" si="8"/>
        <v>2.1558567050298016E-2</v>
      </c>
      <c r="Q31" s="142">
        <v>17058.25</v>
      </c>
      <c r="R31" s="142">
        <v>4.5069999999999997</v>
      </c>
      <c r="S31" s="142">
        <v>2026.2159999999999</v>
      </c>
      <c r="T31" s="142"/>
      <c r="U31" s="142"/>
      <c r="V31" s="142"/>
      <c r="W31" s="142"/>
    </row>
    <row r="32" spans="1:23" x14ac:dyDescent="0.2">
      <c r="A32" s="60">
        <v>1990</v>
      </c>
      <c r="B32" s="156">
        <v>22307.297999999999</v>
      </c>
      <c r="C32" s="108">
        <f t="shared" si="0"/>
        <v>19810.366999999998</v>
      </c>
      <c r="D32" s="80">
        <v>662852.9</v>
      </c>
      <c r="E32" s="72">
        <v>573408.95700000005</v>
      </c>
      <c r="F32" s="155">
        <f t="shared" si="1"/>
        <v>6.3539987529661543E-2</v>
      </c>
      <c r="G32" s="155">
        <f t="shared" si="2"/>
        <v>7.3451355242781791E-2</v>
      </c>
      <c r="H32" s="158">
        <v>70.004000000000005</v>
      </c>
      <c r="I32" s="89">
        <v>51.286758912946951</v>
      </c>
      <c r="J32" s="89">
        <v>75.656999999999996</v>
      </c>
      <c r="K32" s="96">
        <f t="shared" si="3"/>
        <v>0.9252812033255351</v>
      </c>
      <c r="L32" s="96">
        <f t="shared" si="4"/>
        <v>0.67788517801323012</v>
      </c>
      <c r="M32" s="96">
        <f t="shared" si="5"/>
        <v>2.9004774818577328E-3</v>
      </c>
      <c r="N32" s="96">
        <f t="shared" si="6"/>
        <v>1.6597125974514793E-2</v>
      </c>
      <c r="O32" s="96">
        <f t="shared" si="7"/>
        <v>1.230452059670839E-2</v>
      </c>
      <c r="P32" s="96">
        <f t="shared" si="8"/>
        <v>7.960740716006498E-4</v>
      </c>
      <c r="Q32" s="142">
        <v>14882.21</v>
      </c>
      <c r="R32" s="142">
        <v>2378.9110000000001</v>
      </c>
      <c r="S32" s="142">
        <v>2549.2460000000001</v>
      </c>
      <c r="T32" s="142"/>
      <c r="U32" s="142"/>
      <c r="V32" s="142"/>
      <c r="W32" s="142"/>
    </row>
    <row r="33" spans="1:23" x14ac:dyDescent="0.2">
      <c r="A33" s="60">
        <v>1991</v>
      </c>
      <c r="B33" s="156">
        <v>25193.647000000001</v>
      </c>
      <c r="C33" s="108">
        <f t="shared" si="0"/>
        <v>20086.503000000001</v>
      </c>
      <c r="D33" s="80">
        <v>691253.8</v>
      </c>
      <c r="E33" s="72">
        <v>592510.87699999998</v>
      </c>
      <c r="F33" s="155">
        <f t="shared" si="1"/>
        <v>6.5504377697453528E-2</v>
      </c>
      <c r="G33" s="155">
        <f t="shared" si="2"/>
        <v>7.6420791174775349E-2</v>
      </c>
      <c r="H33" s="158">
        <v>72.543999999999997</v>
      </c>
      <c r="I33" s="89">
        <v>51.75029097658264</v>
      </c>
      <c r="J33" s="89">
        <v>77.724000000000004</v>
      </c>
      <c r="K33" s="96">
        <f t="shared" si="3"/>
        <v>0.93335391899541964</v>
      </c>
      <c r="L33" s="96">
        <f t="shared" si="4"/>
        <v>0.66582125182160767</v>
      </c>
      <c r="M33" s="96">
        <f t="shared" si="5"/>
        <v>8.7246078714995345E-3</v>
      </c>
      <c r="N33" s="96">
        <f t="shared" si="6"/>
        <v>1.7796415356033934E-2</v>
      </c>
      <c r="O33" s="96">
        <f t="shared" si="7"/>
        <v>3.09158097784481E-2</v>
      </c>
      <c r="P33" s="96">
        <f t="shared" si="8"/>
        <v>4.0427244972928822E-2</v>
      </c>
      <c r="Q33" s="142">
        <v>12948.3</v>
      </c>
      <c r="R33" s="142">
        <v>4165.8270000000002</v>
      </c>
      <c r="S33" s="142">
        <v>2972.3760000000002</v>
      </c>
      <c r="T33" s="142"/>
      <c r="U33" s="142"/>
      <c r="V33" s="142"/>
      <c r="W33" s="142"/>
    </row>
    <row r="34" spans="1:23" x14ac:dyDescent="0.2">
      <c r="A34" s="60">
        <v>1992</v>
      </c>
      <c r="B34" s="156">
        <v>25363.263999999999</v>
      </c>
      <c r="C34" s="108">
        <f t="shared" si="0"/>
        <v>19781.501</v>
      </c>
      <c r="D34" s="80">
        <v>723532.5</v>
      </c>
      <c r="E34" s="72">
        <v>613680.98</v>
      </c>
      <c r="F34" s="155">
        <f t="shared" si="1"/>
        <v>6.2394937338682087E-2</v>
      </c>
      <c r="G34" s="155">
        <f t="shared" si="2"/>
        <v>7.356389797187457E-2</v>
      </c>
      <c r="H34" s="158">
        <v>72.352000000000004</v>
      </c>
      <c r="I34" s="89">
        <v>50.759725604543355</v>
      </c>
      <c r="J34" s="89">
        <v>79.724000000000004</v>
      </c>
      <c r="K34" s="96">
        <f t="shared" si="3"/>
        <v>0.90753098188751191</v>
      </c>
      <c r="L34" s="96">
        <f t="shared" si="4"/>
        <v>0.63669316146384214</v>
      </c>
      <c r="M34" s="96">
        <f t="shared" si="5"/>
        <v>2.7666822394340262E-2</v>
      </c>
      <c r="N34" s="96">
        <f t="shared" si="6"/>
        <v>4.3747612858668239E-2</v>
      </c>
      <c r="O34" s="96">
        <f t="shared" si="7"/>
        <v>4.7469199282116348E-2</v>
      </c>
      <c r="P34" s="96">
        <f t="shared" si="8"/>
        <v>3.7383716642857445E-2</v>
      </c>
      <c r="Q34" s="142">
        <v>11173.75</v>
      </c>
      <c r="R34" s="142">
        <v>5316.8230000000003</v>
      </c>
      <c r="S34" s="142">
        <v>3290.9279999999999</v>
      </c>
      <c r="T34" s="142"/>
      <c r="U34" s="142"/>
      <c r="V34" s="142"/>
      <c r="W34" s="142"/>
    </row>
    <row r="35" spans="1:23" x14ac:dyDescent="0.2">
      <c r="A35" s="60">
        <v>1993</v>
      </c>
      <c r="B35" s="156">
        <v>25669.667000000001</v>
      </c>
      <c r="C35" s="108">
        <f t="shared" si="0"/>
        <v>20335.567999999996</v>
      </c>
      <c r="D35" s="80">
        <v>739115.5</v>
      </c>
      <c r="E35" s="72">
        <v>622644.42599999998</v>
      </c>
      <c r="F35" s="155">
        <f t="shared" si="1"/>
        <v>6.2243634452260846E-2</v>
      </c>
      <c r="G35" s="155">
        <f t="shared" si="2"/>
        <v>7.3886849506623553E-2</v>
      </c>
      <c r="H35" s="158">
        <v>72.741</v>
      </c>
      <c r="I35" s="89">
        <v>52.694173727726714</v>
      </c>
      <c r="J35" s="89">
        <v>80.921000000000006</v>
      </c>
      <c r="K35" s="96">
        <f t="shared" si="3"/>
        <v>0.89891375539106033</v>
      </c>
      <c r="L35" s="96">
        <f t="shared" si="4"/>
        <v>0.6511804565900905</v>
      </c>
      <c r="M35" s="96">
        <f t="shared" si="5"/>
        <v>9.4952422214051868E-3</v>
      </c>
      <c r="N35" s="96">
        <f t="shared" si="6"/>
        <v>2.2753966907607559E-2</v>
      </c>
      <c r="O35" s="96">
        <f t="shared" si="7"/>
        <v>2.4249224836938588E-3</v>
      </c>
      <c r="P35" s="96">
        <f t="shared" si="8"/>
        <v>4.3900818696753774E-3</v>
      </c>
      <c r="Q35" s="142">
        <v>10119.959999999999</v>
      </c>
      <c r="R35" s="142">
        <v>6331.2759999999998</v>
      </c>
      <c r="S35" s="142">
        <v>3884.3319999999999</v>
      </c>
      <c r="T35" s="142"/>
      <c r="U35" s="142"/>
      <c r="V35" s="142"/>
      <c r="W35" s="142"/>
    </row>
    <row r="36" spans="1:23" x14ac:dyDescent="0.2">
      <c r="A36" s="60">
        <v>1994</v>
      </c>
      <c r="B36" s="156">
        <v>24793.736000000001</v>
      </c>
      <c r="C36" s="108">
        <f t="shared" si="0"/>
        <v>20996.259000000002</v>
      </c>
      <c r="D36" s="80">
        <v>751735.8</v>
      </c>
      <c r="E36" s="72">
        <v>638776.68700000003</v>
      </c>
      <c r="F36" s="155">
        <f t="shared" si="1"/>
        <v>6.0912351121231688E-2</v>
      </c>
      <c r="G36" s="155">
        <f t="shared" si="2"/>
        <v>7.1683885670674144E-2</v>
      </c>
      <c r="H36" s="158">
        <v>72.724999999999994</v>
      </c>
      <c r="I36" s="89">
        <v>54.86354369318839</v>
      </c>
      <c r="J36" s="89">
        <v>81.671999999999997</v>
      </c>
      <c r="K36" s="96">
        <f t="shared" si="3"/>
        <v>0.89045205211088252</v>
      </c>
      <c r="L36" s="96">
        <f t="shared" si="4"/>
        <v>0.67175462451254275</v>
      </c>
      <c r="M36" s="96">
        <f t="shared" si="5"/>
        <v>9.413253751464401E-3</v>
      </c>
      <c r="N36" s="96">
        <f t="shared" si="6"/>
        <v>3.159518642526371E-2</v>
      </c>
      <c r="O36" s="96">
        <f t="shared" si="7"/>
        <v>2.1388264723683714E-2</v>
      </c>
      <c r="P36" s="96">
        <f t="shared" si="8"/>
        <v>2.9815371079692898E-2</v>
      </c>
      <c r="Q36" s="142">
        <v>9252.69</v>
      </c>
      <c r="R36" s="142">
        <v>7242.0110000000004</v>
      </c>
      <c r="S36" s="142">
        <v>4501.558</v>
      </c>
      <c r="T36" s="142"/>
      <c r="U36" s="142"/>
      <c r="V36" s="142"/>
      <c r="W36" s="142"/>
    </row>
    <row r="37" spans="1:23" x14ac:dyDescent="0.2">
      <c r="A37" s="60">
        <v>1995</v>
      </c>
      <c r="B37" s="156">
        <v>25691.544000000002</v>
      </c>
      <c r="C37" s="108">
        <f t="shared" si="0"/>
        <v>21508.448</v>
      </c>
      <c r="D37" s="80">
        <v>777037.4</v>
      </c>
      <c r="E37" s="72">
        <v>655094.78300000005</v>
      </c>
      <c r="F37" s="155">
        <f t="shared" si="1"/>
        <v>6.0743526630764488E-2</v>
      </c>
      <c r="G37" s="155">
        <f t="shared" si="2"/>
        <v>7.2050630267345595E-2</v>
      </c>
      <c r="H37" s="158">
        <v>72.95</v>
      </c>
      <c r="I37" s="89">
        <v>57.146821233219619</v>
      </c>
      <c r="J37" s="89">
        <v>82.421999999999997</v>
      </c>
      <c r="K37" s="96">
        <f t="shared" si="3"/>
        <v>0.88507922642013059</v>
      </c>
      <c r="L37" s="96">
        <f t="shared" si="4"/>
        <v>0.69334426771031543</v>
      </c>
      <c r="M37" s="96">
        <f t="shared" si="5"/>
        <v>6.0338180792725016E-3</v>
      </c>
      <c r="N37" s="96">
        <f t="shared" si="6"/>
        <v>3.2139180602499318E-2</v>
      </c>
      <c r="O37" s="96">
        <f t="shared" si="7"/>
        <v>2.7715970137353052E-3</v>
      </c>
      <c r="P37" s="96">
        <f t="shared" si="8"/>
        <v>5.1161372355892354E-3</v>
      </c>
      <c r="Q37" s="142">
        <v>8440.66</v>
      </c>
      <c r="R37" s="142">
        <v>8070.6440000000002</v>
      </c>
      <c r="S37" s="142">
        <v>4997.1440000000002</v>
      </c>
      <c r="T37" s="142"/>
      <c r="U37" s="142"/>
      <c r="V37" s="142"/>
      <c r="W37" s="142"/>
    </row>
    <row r="38" spans="1:23" x14ac:dyDescent="0.2">
      <c r="A38" s="60">
        <v>1996</v>
      </c>
      <c r="B38" s="156">
        <v>27894.71</v>
      </c>
      <c r="C38" s="108">
        <f t="shared" si="0"/>
        <v>22783.800000000003</v>
      </c>
      <c r="D38" s="80">
        <v>795981.3</v>
      </c>
      <c r="E38" s="72">
        <v>677650.75</v>
      </c>
      <c r="F38" s="155">
        <f t="shared" si="1"/>
        <v>6.3667965566527748E-2</v>
      </c>
      <c r="G38" s="155">
        <f t="shared" si="2"/>
        <v>7.4785588298987349E-2</v>
      </c>
      <c r="H38" s="158">
        <v>74.879000000000005</v>
      </c>
      <c r="I38" s="89">
        <v>61.278766556500663</v>
      </c>
      <c r="J38" s="89">
        <v>83.700999999999993</v>
      </c>
      <c r="K38" s="96">
        <f t="shared" si="3"/>
        <v>0.89460102029844335</v>
      </c>
      <c r="L38" s="96">
        <f t="shared" si="4"/>
        <v>0.73211510682668868</v>
      </c>
      <c r="M38" s="96">
        <f t="shared" si="5"/>
        <v>1.0758126045761429E-2</v>
      </c>
      <c r="N38" s="96">
        <f t="shared" si="6"/>
        <v>5.5918597617326871E-2</v>
      </c>
      <c r="O38" s="96">
        <f t="shared" si="7"/>
        <v>4.8144042632555006E-2</v>
      </c>
      <c r="P38" s="96">
        <f t="shared" si="8"/>
        <v>3.7958835633965071E-2</v>
      </c>
      <c r="Q38" s="142">
        <v>7630.44</v>
      </c>
      <c r="R38" s="142">
        <v>9192.9570000000003</v>
      </c>
      <c r="S38" s="142">
        <v>5960.4030000000002</v>
      </c>
      <c r="T38" s="142"/>
      <c r="U38" s="142"/>
      <c r="V38" s="142"/>
      <c r="W38" s="142"/>
    </row>
    <row r="39" spans="1:23" x14ac:dyDescent="0.2">
      <c r="A39" s="60">
        <v>1997</v>
      </c>
      <c r="B39" s="156">
        <v>26894.651000000002</v>
      </c>
      <c r="C39" s="108">
        <f t="shared" si="0"/>
        <v>23689.554</v>
      </c>
      <c r="D39" s="80">
        <v>817156.8</v>
      </c>
      <c r="E39" s="72">
        <v>687277.57</v>
      </c>
      <c r="F39" s="155">
        <f t="shared" si="1"/>
        <v>6.1902691135899496E-2</v>
      </c>
      <c r="G39" s="155">
        <f t="shared" si="2"/>
        <v>7.3600837868170219E-2</v>
      </c>
      <c r="H39" s="158">
        <v>75.304000000000002</v>
      </c>
      <c r="I39" s="89">
        <v>63.654769724664291</v>
      </c>
      <c r="J39" s="89">
        <v>84.346999999999994</v>
      </c>
      <c r="K39" s="96">
        <f t="shared" si="3"/>
        <v>0.89278812524452567</v>
      </c>
      <c r="L39" s="96">
        <f t="shared" si="4"/>
        <v>0.75467734151379773</v>
      </c>
      <c r="M39" s="96">
        <f t="shared" si="5"/>
        <v>2.026484447014032E-3</v>
      </c>
      <c r="N39" s="96">
        <f t="shared" si="6"/>
        <v>3.0817878878232285E-2</v>
      </c>
      <c r="O39" s="96">
        <f t="shared" si="7"/>
        <v>2.7726257858572301E-2</v>
      </c>
      <c r="P39" s="96">
        <f t="shared" si="8"/>
        <v>1.5841961770502899E-2</v>
      </c>
      <c r="Q39" s="142">
        <v>6896.65</v>
      </c>
      <c r="R39" s="142">
        <v>10126.337</v>
      </c>
      <c r="S39" s="142">
        <v>6666.567</v>
      </c>
      <c r="T39" s="142"/>
      <c r="U39" s="142"/>
      <c r="V39" s="142"/>
      <c r="W39" s="142"/>
    </row>
    <row r="40" spans="1:23" x14ac:dyDescent="0.2">
      <c r="A40" s="60">
        <v>1998</v>
      </c>
      <c r="B40" s="156">
        <v>27601.868999999999</v>
      </c>
      <c r="C40" s="108">
        <f t="shared" si="0"/>
        <v>23288.825999999997</v>
      </c>
      <c r="D40" s="80">
        <v>845668.7</v>
      </c>
      <c r="E40" s="72">
        <v>716172.16700000002</v>
      </c>
      <c r="F40" s="155">
        <f t="shared" si="1"/>
        <v>6.0178051996012144E-2</v>
      </c>
      <c r="G40" s="155">
        <f t="shared" si="2"/>
        <v>7.1059302979027933E-2</v>
      </c>
      <c r="H40" s="158">
        <v>73.552999999999997</v>
      </c>
      <c r="I40" s="89">
        <v>61.819078497258729</v>
      </c>
      <c r="J40" s="89">
        <v>84.512</v>
      </c>
      <c r="K40" s="96">
        <f t="shared" si="3"/>
        <v>0.8703261075350246</v>
      </c>
      <c r="L40" s="96">
        <f t="shared" si="4"/>
        <v>0.73148284855711299</v>
      </c>
      <c r="M40" s="96">
        <f t="shared" si="5"/>
        <v>2.515940464973021E-2</v>
      </c>
      <c r="N40" s="96">
        <f t="shared" si="6"/>
        <v>3.073431741061583E-2</v>
      </c>
      <c r="O40" s="96">
        <f t="shared" si="7"/>
        <v>2.7860487294504299E-2</v>
      </c>
      <c r="P40" s="96">
        <f t="shared" si="8"/>
        <v>3.453133092988081E-2</v>
      </c>
      <c r="Q40" s="142">
        <v>5921.45</v>
      </c>
      <c r="R40" s="142">
        <v>10564.504999999999</v>
      </c>
      <c r="S40" s="142">
        <v>6802.8710000000001</v>
      </c>
      <c r="T40" s="142"/>
      <c r="U40" s="142"/>
      <c r="V40" s="142"/>
      <c r="W40" s="142"/>
    </row>
    <row r="41" spans="1:23" x14ac:dyDescent="0.2">
      <c r="A41" s="60">
        <v>1999</v>
      </c>
      <c r="B41" s="156">
        <v>26999.465</v>
      </c>
      <c r="C41" s="108">
        <f t="shared" si="0"/>
        <v>24583.043999999998</v>
      </c>
      <c r="D41" s="80">
        <v>867141.7</v>
      </c>
      <c r="E41" s="72">
        <v>737466.33799999999</v>
      </c>
      <c r="F41" s="155">
        <f t="shared" si="1"/>
        <v>5.9485674601971052E-2</v>
      </c>
      <c r="G41" s="155">
        <f t="shared" si="2"/>
        <v>6.9945577638012818E-2</v>
      </c>
      <c r="H41" s="158">
        <v>71.284000000000006</v>
      </c>
      <c r="I41" s="89">
        <v>64.450574879945705</v>
      </c>
      <c r="J41" s="89">
        <v>84.08</v>
      </c>
      <c r="K41" s="96">
        <f t="shared" si="3"/>
        <v>0.84781160799238831</v>
      </c>
      <c r="L41" s="96">
        <f t="shared" si="4"/>
        <v>0.7665387117024941</v>
      </c>
      <c r="M41" s="96">
        <f t="shared" si="5"/>
        <v>2.5869038453187221E-2</v>
      </c>
      <c r="N41" s="96">
        <f t="shared" si="6"/>
        <v>4.7924381568932972E-2</v>
      </c>
      <c r="O41" s="96">
        <f t="shared" si="7"/>
        <v>1.150548033836285E-2</v>
      </c>
      <c r="P41" s="96">
        <f t="shared" si="8"/>
        <v>1.5673181333397124E-2</v>
      </c>
      <c r="Q41" s="142">
        <v>5206.57</v>
      </c>
      <c r="R41" s="142">
        <v>11695.617</v>
      </c>
      <c r="S41" s="142">
        <v>7680.857</v>
      </c>
      <c r="T41" s="142"/>
      <c r="U41" s="142"/>
      <c r="V41" s="142"/>
      <c r="W41" s="142"/>
    </row>
    <row r="42" spans="1:23" x14ac:dyDescent="0.2">
      <c r="A42" s="60">
        <v>2000</v>
      </c>
      <c r="B42" s="156">
        <v>28311.019</v>
      </c>
      <c r="C42" s="108">
        <f t="shared" si="0"/>
        <v>28409.957999999999</v>
      </c>
      <c r="D42" s="80">
        <v>916987.4</v>
      </c>
      <c r="E42" s="72">
        <v>781704.00100000005</v>
      </c>
      <c r="F42" s="155">
        <f t="shared" si="1"/>
        <v>6.1855786677112466E-2</v>
      </c>
      <c r="G42" s="155">
        <f t="shared" si="2"/>
        <v>7.256068400243483E-2</v>
      </c>
      <c r="H42" s="158">
        <v>74.95</v>
      </c>
      <c r="I42" s="89">
        <v>76.229993890592866</v>
      </c>
      <c r="J42" s="89">
        <v>85.995999999999995</v>
      </c>
      <c r="K42" s="96">
        <f t="shared" si="3"/>
        <v>0.87155216521698697</v>
      </c>
      <c r="L42" s="96">
        <f t="shared" si="4"/>
        <v>0.88643650740258695</v>
      </c>
      <c r="M42" s="96">
        <f t="shared" si="5"/>
        <v>2.8002161094274447E-2</v>
      </c>
      <c r="N42" s="96">
        <f t="shared" si="6"/>
        <v>0.15641453441248654</v>
      </c>
      <c r="O42" s="96">
        <f t="shared" si="7"/>
        <v>3.9843409207346969E-2</v>
      </c>
      <c r="P42" s="96">
        <f t="shared" si="8"/>
        <v>3.7387729899892808E-2</v>
      </c>
      <c r="Q42" s="142">
        <v>4255.88</v>
      </c>
      <c r="R42" s="142">
        <v>14302.936</v>
      </c>
      <c r="S42" s="142">
        <v>9851.1419999999998</v>
      </c>
      <c r="T42" s="142"/>
      <c r="U42" s="142"/>
      <c r="V42" s="142"/>
      <c r="W42" s="142"/>
    </row>
    <row r="43" spans="1:23" x14ac:dyDescent="0.2">
      <c r="A43" s="60">
        <v>2001</v>
      </c>
      <c r="B43" s="156">
        <v>30671.743999999999</v>
      </c>
      <c r="C43" s="108">
        <f t="shared" si="0"/>
        <v>27363.446</v>
      </c>
      <c r="D43" s="80">
        <v>964453.5</v>
      </c>
      <c r="E43" s="72">
        <v>816548.43599999999</v>
      </c>
      <c r="F43" s="155">
        <f t="shared" si="1"/>
        <v>6.0174171175696914E-2</v>
      </c>
      <c r="G43" s="155">
        <f t="shared" si="2"/>
        <v>7.1073787470949251E-2</v>
      </c>
      <c r="H43" s="158">
        <v>76.244</v>
      </c>
      <c r="I43" s="89">
        <v>72.492598857687739</v>
      </c>
      <c r="J43" s="89">
        <v>87.646000000000001</v>
      </c>
      <c r="K43" s="96">
        <f t="shared" si="3"/>
        <v>0.86990849553887228</v>
      </c>
      <c r="L43" s="96">
        <f t="shared" si="4"/>
        <v>0.82710675738411032</v>
      </c>
      <c r="M43" s="96">
        <f t="shared" si="5"/>
        <v>1.8859108424169602E-3</v>
      </c>
      <c r="N43" s="96">
        <f t="shared" si="6"/>
        <v>6.6930625626332896E-2</v>
      </c>
      <c r="O43" s="96">
        <f t="shared" si="7"/>
        <v>2.7186066037662604E-2</v>
      </c>
      <c r="P43" s="96">
        <f t="shared" si="8"/>
        <v>2.0491765643164128E-2</v>
      </c>
      <c r="Q43" s="142">
        <v>2983.91</v>
      </c>
      <c r="R43" s="142">
        <v>14358.428</v>
      </c>
      <c r="S43" s="142">
        <v>10021.108</v>
      </c>
      <c r="T43" s="142"/>
      <c r="U43" s="142"/>
      <c r="V43" s="142"/>
      <c r="W43" s="142"/>
    </row>
    <row r="44" spans="1:23" x14ac:dyDescent="0.2">
      <c r="A44" s="60">
        <v>2002</v>
      </c>
      <c r="B44" s="156">
        <v>29546.888999999999</v>
      </c>
      <c r="C44" s="108">
        <f t="shared" si="0"/>
        <v>26513.084000000003</v>
      </c>
      <c r="D44" s="80">
        <v>1003377.3</v>
      </c>
      <c r="E44" s="72">
        <v>840252.13300000003</v>
      </c>
      <c r="F44" s="155">
        <f t="shared" si="1"/>
        <v>5.5871278929670816E-2</v>
      </c>
      <c r="G44" s="155">
        <f t="shared" si="2"/>
        <v>6.6718037120412757E-2</v>
      </c>
      <c r="H44" s="158">
        <v>76.05</v>
      </c>
      <c r="I44" s="89">
        <v>70.490687414447891</v>
      </c>
      <c r="J44" s="89">
        <v>88.563000000000002</v>
      </c>
      <c r="K44" s="96">
        <f t="shared" si="3"/>
        <v>0.85871074828088478</v>
      </c>
      <c r="L44" s="96">
        <f t="shared" si="4"/>
        <v>0.79593834236021688</v>
      </c>
      <c r="M44" s="96">
        <f t="shared" si="5"/>
        <v>1.2872327739541056E-2</v>
      </c>
      <c r="N44" s="96">
        <f t="shared" si="6"/>
        <v>3.768366628084352E-2</v>
      </c>
      <c r="O44" s="96">
        <f t="shared" si="7"/>
        <v>7.1507295604662069E-2</v>
      </c>
      <c r="P44" s="96">
        <f t="shared" si="8"/>
        <v>6.1284905526061473E-2</v>
      </c>
      <c r="Q44" s="142">
        <v>2133.11</v>
      </c>
      <c r="R44" s="142">
        <v>14162.661</v>
      </c>
      <c r="S44" s="142">
        <v>10217.313</v>
      </c>
      <c r="T44" s="142"/>
      <c r="U44" s="142"/>
      <c r="V44" s="142"/>
      <c r="W44" s="142"/>
    </row>
    <row r="45" spans="1:23" x14ac:dyDescent="0.2">
      <c r="A45" s="60">
        <v>2003</v>
      </c>
      <c r="B45" s="156">
        <v>32046.924999999999</v>
      </c>
      <c r="C45" s="108">
        <f t="shared" si="0"/>
        <v>27015.116999999998</v>
      </c>
      <c r="D45" s="80">
        <v>1029031.5</v>
      </c>
      <c r="E45" s="72">
        <v>868521.29200000002</v>
      </c>
      <c r="F45" s="155">
        <f t="shared" si="1"/>
        <v>5.7395757078379038E-2</v>
      </c>
      <c r="G45" s="155">
        <f t="shared" si="2"/>
        <v>6.8002986851357472E-2</v>
      </c>
      <c r="H45" s="158">
        <v>77.897000000000006</v>
      </c>
      <c r="I45" s="89">
        <v>71.995814604911772</v>
      </c>
      <c r="J45" s="89">
        <v>90.028000000000006</v>
      </c>
      <c r="K45" s="96">
        <f t="shared" si="3"/>
        <v>0.86525303238992313</v>
      </c>
      <c r="L45" s="96">
        <f t="shared" si="4"/>
        <v>0.79970469859279081</v>
      </c>
      <c r="M45" s="96">
        <f t="shared" si="5"/>
        <v>7.6187285673736671E-3</v>
      </c>
      <c r="N45" s="96">
        <f t="shared" si="6"/>
        <v>4.7319698425452028E-3</v>
      </c>
      <c r="O45" s="96">
        <f t="shared" si="7"/>
        <v>2.7285542373697735E-2</v>
      </c>
      <c r="P45" s="96">
        <f t="shared" si="8"/>
        <v>1.9259405498180948E-2</v>
      </c>
      <c r="Q45" s="142">
        <v>1536.87</v>
      </c>
      <c r="R45" s="142">
        <v>14034.129000000001</v>
      </c>
      <c r="S45" s="142">
        <v>11444.118</v>
      </c>
      <c r="T45" s="142"/>
      <c r="U45" s="142"/>
      <c r="V45" s="142"/>
      <c r="W45" s="142"/>
    </row>
    <row r="46" spans="1:23" x14ac:dyDescent="0.2">
      <c r="A46" s="60">
        <v>2004</v>
      </c>
      <c r="B46" s="156">
        <v>33781.771000000001</v>
      </c>
      <c r="C46" s="108">
        <f t="shared" si="0"/>
        <v>28597.063000000002</v>
      </c>
      <c r="D46" s="80">
        <v>1074974.8</v>
      </c>
      <c r="E46" s="80">
        <v>905537.03500000003</v>
      </c>
      <c r="F46" s="155">
        <f t="shared" si="1"/>
        <v>5.8028182614141277E-2</v>
      </c>
      <c r="G46" s="155">
        <f t="shared" si="2"/>
        <v>6.8886010830026406E-2</v>
      </c>
      <c r="H46" s="158">
        <v>79.326999999999998</v>
      </c>
      <c r="I46" s="89">
        <v>77.566611111322871</v>
      </c>
      <c r="J46" s="89">
        <v>91.915999999999997</v>
      </c>
      <c r="K46" s="96">
        <f t="shared" si="3"/>
        <v>0.86303799120936509</v>
      </c>
      <c r="L46" s="96">
        <f t="shared" si="4"/>
        <v>0.84388584263156441</v>
      </c>
      <c r="M46" s="96">
        <f t="shared" si="5"/>
        <v>2.5599923925604395E-3</v>
      </c>
      <c r="N46" s="96">
        <f t="shared" si="6"/>
        <v>5.5246823129234457E-2</v>
      </c>
      <c r="O46" s="96">
        <f t="shared" si="7"/>
        <v>1.1018680961009109E-2</v>
      </c>
      <c r="P46" s="96">
        <f t="shared" si="8"/>
        <v>1.2985076384939731E-2</v>
      </c>
      <c r="Q46" s="142">
        <v>1157.58</v>
      </c>
      <c r="R46" s="142">
        <v>14386.07</v>
      </c>
      <c r="S46" s="142">
        <v>13053.413</v>
      </c>
      <c r="T46" s="142"/>
      <c r="U46" s="142"/>
      <c r="V46" s="142"/>
      <c r="W46" s="142"/>
    </row>
    <row r="47" spans="1:23" x14ac:dyDescent="0.2">
      <c r="A47" s="60">
        <v>2005</v>
      </c>
      <c r="B47" s="156">
        <v>35950</v>
      </c>
      <c r="C47" s="108">
        <f t="shared" si="0"/>
        <v>31377.381999999998</v>
      </c>
      <c r="D47" s="80">
        <v>1105656.1000000001</v>
      </c>
      <c r="E47" s="80">
        <v>945812.402</v>
      </c>
      <c r="F47" s="155">
        <f t="shared" si="1"/>
        <v>6.0893601545724742E-2</v>
      </c>
      <c r="G47" s="155">
        <f t="shared" si="2"/>
        <v>7.1184710474963719E-2</v>
      </c>
      <c r="H47" s="158">
        <v>84.602999999999994</v>
      </c>
      <c r="I47" s="89">
        <v>87.747521553072858</v>
      </c>
      <c r="J47" s="89">
        <v>93.584000000000003</v>
      </c>
      <c r="K47" s="96">
        <f t="shared" si="3"/>
        <v>0.9040327406394254</v>
      </c>
      <c r="L47" s="96">
        <f t="shared" si="4"/>
        <v>0.9376338001482396</v>
      </c>
      <c r="M47" s="96">
        <f t="shared" si="5"/>
        <v>4.7500515443839042E-2</v>
      </c>
      <c r="N47" s="96">
        <f t="shared" si="6"/>
        <v>0.11109080491779855</v>
      </c>
      <c r="O47" s="96">
        <f t="shared" si="7"/>
        <v>4.9379780694444264E-2</v>
      </c>
      <c r="P47" s="96">
        <f t="shared" si="8"/>
        <v>3.3369614777218892E-2</v>
      </c>
      <c r="Q47" s="142">
        <v>513.14</v>
      </c>
      <c r="R47" s="142">
        <v>15506.782999999999</v>
      </c>
      <c r="S47" s="142">
        <v>15357.459000000001</v>
      </c>
      <c r="T47" s="142"/>
      <c r="U47" s="142"/>
      <c r="V47" s="142"/>
      <c r="W47" s="142"/>
    </row>
    <row r="48" spans="1:23" x14ac:dyDescent="0.2">
      <c r="A48" s="60">
        <v>2006</v>
      </c>
      <c r="B48" s="156">
        <v>38111.487000000001</v>
      </c>
      <c r="C48" s="108">
        <f t="shared" si="0"/>
        <v>32649.879000000001</v>
      </c>
      <c r="D48" s="80">
        <v>1155893.5</v>
      </c>
      <c r="E48" s="72">
        <v>987164.12199999997</v>
      </c>
      <c r="F48" s="155">
        <f t="shared" si="1"/>
        <v>6.1217894209111834E-2</v>
      </c>
      <c r="G48" s="155">
        <f t="shared" si="2"/>
        <v>7.1681460481603704E-2</v>
      </c>
      <c r="H48" s="158">
        <v>89.799000000000007</v>
      </c>
      <c r="I48" s="89">
        <v>92.951826375864968</v>
      </c>
      <c r="J48" s="89">
        <v>95.564999999999998</v>
      </c>
      <c r="K48" s="96">
        <f t="shared" si="3"/>
        <v>0.93966410296656733</v>
      </c>
      <c r="L48" s="96">
        <f t="shared" si="4"/>
        <v>0.97265553681645966</v>
      </c>
      <c r="M48" s="96">
        <f t="shared" si="5"/>
        <v>3.9413796343194196E-2</v>
      </c>
      <c r="N48" s="96">
        <f t="shared" si="6"/>
        <v>3.7351188345261299E-2</v>
      </c>
      <c r="O48" s="96">
        <f t="shared" si="7"/>
        <v>5.3255622126995306E-3</v>
      </c>
      <c r="P48" s="96">
        <f t="shared" si="8"/>
        <v>6.9783244649803677E-3</v>
      </c>
      <c r="Q48" s="142">
        <v>145.9</v>
      </c>
      <c r="R48" s="142">
        <v>15860.275</v>
      </c>
      <c r="S48" s="142">
        <v>16643.704000000002</v>
      </c>
      <c r="T48" s="142"/>
      <c r="U48" s="142"/>
      <c r="V48" s="142"/>
      <c r="W48" s="142"/>
    </row>
    <row r="49" spans="1:23" x14ac:dyDescent="0.2">
      <c r="A49" s="60">
        <v>2007</v>
      </c>
      <c r="B49" s="156">
        <v>37550.78</v>
      </c>
      <c r="C49" s="108">
        <f t="shared" si="0"/>
        <v>33521.591999999997</v>
      </c>
      <c r="D49" s="80">
        <v>1216268.2</v>
      </c>
      <c r="E49" s="72">
        <v>1032729.947</v>
      </c>
      <c r="F49" s="155">
        <f t="shared" si="1"/>
        <v>5.8434786011835223E-2</v>
      </c>
      <c r="G49" s="155">
        <f t="shared" si="2"/>
        <v>6.8819900310298637E-2</v>
      </c>
      <c r="H49" s="158">
        <v>91.838999999999999</v>
      </c>
      <c r="I49" s="89">
        <v>94.722983904105746</v>
      </c>
      <c r="J49" s="89">
        <v>97.594999999999999</v>
      </c>
      <c r="K49" s="96">
        <f t="shared" si="3"/>
        <v>0.9410215687279061</v>
      </c>
      <c r="L49" s="96">
        <f t="shared" si="4"/>
        <v>0.97057209799790711</v>
      </c>
      <c r="M49" s="96">
        <f t="shared" si="5"/>
        <v>1.4446287317491091E-3</v>
      </c>
      <c r="N49" s="96">
        <f t="shared" si="6"/>
        <v>2.1420109583416558E-3</v>
      </c>
      <c r="O49" s="96">
        <f t="shared" si="7"/>
        <v>4.5462331451158744E-2</v>
      </c>
      <c r="P49" s="96">
        <f t="shared" si="8"/>
        <v>3.9920505972941944E-2</v>
      </c>
      <c r="Q49" s="142">
        <v>36.1</v>
      </c>
      <c r="R49" s="142">
        <v>15660.285</v>
      </c>
      <c r="S49" s="142">
        <v>17825.206999999999</v>
      </c>
      <c r="T49" s="142"/>
      <c r="U49" s="142"/>
      <c r="V49" s="142"/>
      <c r="W49" s="142"/>
    </row>
    <row r="50" spans="1:23" x14ac:dyDescent="0.2">
      <c r="A50" s="60">
        <v>2008</v>
      </c>
      <c r="B50" s="156">
        <v>42808.2</v>
      </c>
      <c r="C50" s="108">
        <f t="shared" si="0"/>
        <v>36778.625999999997</v>
      </c>
      <c r="D50" s="108">
        <v>1254095.8999999999</v>
      </c>
      <c r="E50" s="157">
        <v>1066598.0970000001</v>
      </c>
      <c r="F50" s="155">
        <f t="shared" si="1"/>
        <v>6.3461515183966394E-2</v>
      </c>
      <c r="G50" s="155">
        <f t="shared" si="2"/>
        <v>7.4617446087567874E-2</v>
      </c>
      <c r="H50" s="158">
        <v>100.255</v>
      </c>
      <c r="I50" s="89">
        <v>106.97602800213363</v>
      </c>
      <c r="J50" s="89">
        <v>100.32599999999999</v>
      </c>
      <c r="K50" s="96">
        <f t="shared" si="3"/>
        <v>0.99929230707892269</v>
      </c>
      <c r="L50" s="96">
        <f t="shared" si="4"/>
        <v>1.0662841935503622</v>
      </c>
      <c r="M50" s="96">
        <f t="shared" si="5"/>
        <v>6.1922850960566489E-2</v>
      </c>
      <c r="N50" s="96">
        <f t="shared" si="6"/>
        <v>9.8614101672497734E-2</v>
      </c>
      <c r="O50" s="96">
        <f t="shared" si="7"/>
        <v>8.602289004896968E-2</v>
      </c>
      <c r="P50" s="96">
        <f t="shared" si="8"/>
        <v>8.4242286767765906E-2</v>
      </c>
      <c r="Q50" s="142">
        <v>0</v>
      </c>
      <c r="R50" s="142">
        <v>15527.236999999999</v>
      </c>
      <c r="S50" s="142">
        <v>21251.388999999999</v>
      </c>
      <c r="T50" s="142"/>
      <c r="U50" s="142"/>
      <c r="V50" s="142"/>
      <c r="W50" s="142"/>
    </row>
    <row r="51" spans="1:23" x14ac:dyDescent="0.2">
      <c r="A51" s="60">
        <v>2009</v>
      </c>
      <c r="B51" s="156">
        <v>40477.194000000003</v>
      </c>
      <c r="C51" s="108">
        <f t="shared" si="0"/>
        <v>29978.135000000002</v>
      </c>
      <c r="D51" s="72">
        <v>1255298.209</v>
      </c>
      <c r="E51" s="72">
        <v>1051463.202</v>
      </c>
      <c r="F51" s="155">
        <f t="shared" si="1"/>
        <v>5.6126367818310173E-2</v>
      </c>
      <c r="G51" s="155">
        <f t="shared" si="2"/>
        <v>6.700693744297101E-2</v>
      </c>
      <c r="H51" s="158">
        <v>95.165999999999997</v>
      </c>
      <c r="I51" s="89">
        <v>88.467671399471655</v>
      </c>
      <c r="J51" s="89">
        <v>98.83</v>
      </c>
      <c r="K51" s="96">
        <f t="shared" si="3"/>
        <v>0.96292623697257917</v>
      </c>
      <c r="L51" s="96">
        <f t="shared" si="4"/>
        <v>0.89514996862766016</v>
      </c>
      <c r="M51" s="96">
        <f t="shared" si="5"/>
        <v>3.639182434281607E-2</v>
      </c>
      <c r="N51" s="96">
        <f t="shared" si="6"/>
        <v>0.16049588464111386</v>
      </c>
      <c r="O51" s="96">
        <f t="shared" si="7"/>
        <v>0.11558418270336934</v>
      </c>
      <c r="P51" s="96">
        <f t="shared" si="8"/>
        <v>0.10199368972861245</v>
      </c>
      <c r="Q51" s="142">
        <v>0</v>
      </c>
      <c r="R51" s="142">
        <v>13229.526</v>
      </c>
      <c r="S51" s="142">
        <v>16748.609</v>
      </c>
      <c r="T51" s="142"/>
      <c r="U51" s="142"/>
      <c r="V51" s="142"/>
      <c r="W51" s="142"/>
    </row>
    <row r="52" spans="1:23" x14ac:dyDescent="0.2">
      <c r="A52" s="60">
        <v>2010</v>
      </c>
      <c r="B52" s="156">
        <v>44889.167999999998</v>
      </c>
      <c r="C52" s="108">
        <f t="shared" si="0"/>
        <v>33366.934000000001</v>
      </c>
      <c r="D52" s="80">
        <v>1285390.2620000001</v>
      </c>
      <c r="E52" s="80">
        <v>1082393.7</v>
      </c>
      <c r="F52" s="155">
        <f t="shared" si="1"/>
        <v>6.088120029650574E-2</v>
      </c>
      <c r="G52" s="155">
        <f t="shared" si="2"/>
        <v>7.229911075794325E-2</v>
      </c>
      <c r="H52" s="158">
        <v>100</v>
      </c>
      <c r="I52" s="89">
        <v>100</v>
      </c>
      <c r="J52" s="89">
        <v>100</v>
      </c>
      <c r="K52" s="96">
        <f t="shared" si="3"/>
        <v>1</v>
      </c>
      <c r="L52" s="96">
        <f t="shared" si="4"/>
        <v>1</v>
      </c>
      <c r="M52" s="96">
        <f t="shared" si="5"/>
        <v>3.8501145367042744E-2</v>
      </c>
      <c r="N52" s="96">
        <f t="shared" si="6"/>
        <v>0.11713124621239013</v>
      </c>
      <c r="O52" s="96">
        <f t="shared" si="7"/>
        <v>8.4716554144171674E-2</v>
      </c>
      <c r="P52" s="96">
        <f t="shared" si="8"/>
        <v>7.897948357177742E-2</v>
      </c>
      <c r="Q52" s="142">
        <v>0</v>
      </c>
      <c r="R52" s="142">
        <v>13810.368</v>
      </c>
      <c r="S52" s="142">
        <v>19556.565999999999</v>
      </c>
      <c r="T52" s="142"/>
      <c r="U52" s="142"/>
      <c r="V52" s="142"/>
      <c r="W52" s="142"/>
    </row>
    <row r="53" spans="1:23" x14ac:dyDescent="0.2">
      <c r="A53" s="60">
        <v>2011</v>
      </c>
      <c r="B53" s="156">
        <v>44268.421999999999</v>
      </c>
      <c r="C53" s="108">
        <f t="shared" si="0"/>
        <v>37552.396000000001</v>
      </c>
      <c r="D53" s="80">
        <v>1311387.8959999999</v>
      </c>
      <c r="E53" s="80">
        <v>1106881</v>
      </c>
      <c r="F53" s="155">
        <f t="shared" si="1"/>
        <v>6.2392537135328267E-2</v>
      </c>
      <c r="G53" s="155">
        <f t="shared" si="2"/>
        <v>7.3920157632121244E-2</v>
      </c>
      <c r="H53" s="158">
        <v>109.982</v>
      </c>
      <c r="I53" s="89">
        <v>114.4263667779281</v>
      </c>
      <c r="J53" s="89">
        <v>101.81699999999999</v>
      </c>
      <c r="K53" s="96">
        <f t="shared" si="3"/>
        <v>1.0801928950961039</v>
      </c>
      <c r="L53" s="96">
        <f t="shared" si="4"/>
        <v>1.1238434326087796</v>
      </c>
      <c r="M53" s="96">
        <f t="shared" si="5"/>
        <v>8.0192895096103944E-2</v>
      </c>
      <c r="N53" s="96">
        <f t="shared" si="6"/>
        <v>0.12384343260877961</v>
      </c>
      <c r="O53" s="96">
        <f t="shared" si="7"/>
        <v>2.4824360089189534E-2</v>
      </c>
      <c r="P53" s="96">
        <f t="shared" si="8"/>
        <v>2.242139435995627E-2</v>
      </c>
      <c r="Q53" s="142"/>
      <c r="R53" s="142">
        <v>14558.566999999999</v>
      </c>
      <c r="S53" s="142">
        <v>22993.829000000002</v>
      </c>
      <c r="T53" s="142"/>
      <c r="U53" s="142"/>
      <c r="V53" s="142"/>
      <c r="W53" s="142"/>
    </row>
    <row r="54" spans="1:23" x14ac:dyDescent="0.2">
      <c r="A54" s="60">
        <v>2012</v>
      </c>
      <c r="B54" s="156">
        <v>50051.468999999997</v>
      </c>
      <c r="C54" s="108">
        <f t="shared" si="0"/>
        <v>38888.627999999997</v>
      </c>
      <c r="D54" s="108">
        <v>1318313.9369999999</v>
      </c>
      <c r="E54" s="108">
        <v>1119646</v>
      </c>
      <c r="F54" s="155">
        <f t="shared" ref="F54:F56" si="9">(B54+C54)/D54</f>
        <v>6.7465035833873616E-2</v>
      </c>
      <c r="G54" s="155">
        <f t="shared" ref="G54:G56" si="10">($B54+$C54)/E54</f>
        <v>7.9435908313877771E-2</v>
      </c>
      <c r="H54" s="158">
        <v>116.136</v>
      </c>
      <c r="I54" s="89">
        <v>120.22692151147632</v>
      </c>
      <c r="J54" s="60">
        <v>103.25</v>
      </c>
      <c r="K54" s="96">
        <f t="shared" ref="K54:K56" si="11">H54/J54</f>
        <v>1.1248038740920097</v>
      </c>
      <c r="L54" s="96">
        <f t="shared" ref="L54:L56" si="12">I54/J54</f>
        <v>1.1644253899416592</v>
      </c>
      <c r="M54" s="96">
        <f t="shared" ref="M54:M56" si="13">ABS((K54/K53)-1)</f>
        <v>4.1299085745177599E-2</v>
      </c>
      <c r="N54" s="96">
        <f t="shared" ref="N54:N56" si="14">ABS((L54/L53)-1)</f>
        <v>3.610997417912265E-2</v>
      </c>
      <c r="O54" s="96">
        <f t="shared" ref="O54:O56" si="15">ABS((F54/F53)-1)</f>
        <v>8.1299766469556944E-2</v>
      </c>
      <c r="P54" s="96">
        <f t="shared" ref="P54:P56" si="16">ABS((G54/G53)-1)</f>
        <v>7.4617680189574154E-2</v>
      </c>
      <c r="Q54" s="142"/>
      <c r="R54" s="142">
        <v>14347.063</v>
      </c>
      <c r="S54" s="142">
        <v>24541.564999999999</v>
      </c>
      <c r="T54" s="142"/>
      <c r="U54" s="142"/>
      <c r="V54" s="142"/>
      <c r="W54" s="142"/>
    </row>
    <row r="55" spans="1:23" x14ac:dyDescent="0.2">
      <c r="A55" s="60">
        <v>2013</v>
      </c>
      <c r="B55" s="156">
        <v>53621.082999999999</v>
      </c>
      <c r="C55" s="108">
        <f t="shared" si="0"/>
        <v>37085.61</v>
      </c>
      <c r="D55" s="108">
        <v>1327595.4809999999</v>
      </c>
      <c r="E55" s="108">
        <v>1132688</v>
      </c>
      <c r="F55" s="155">
        <f t="shared" si="9"/>
        <v>6.8324044709519471E-2</v>
      </c>
      <c r="G55" s="155">
        <f t="shared" si="10"/>
        <v>8.0080916368850022E-2</v>
      </c>
      <c r="H55" s="158">
        <v>120.855</v>
      </c>
      <c r="I55" s="89">
        <v>117.18444165809863</v>
      </c>
      <c r="J55" s="60">
        <v>104.062</v>
      </c>
      <c r="K55" s="96">
        <f t="shared" si="11"/>
        <v>1.1613749495493073</v>
      </c>
      <c r="L55" s="96">
        <f t="shared" si="12"/>
        <v>1.1261021473554096</v>
      </c>
      <c r="M55" s="96">
        <f t="shared" si="13"/>
        <v>3.2513290805314288E-2</v>
      </c>
      <c r="N55" s="96">
        <f t="shared" si="14"/>
        <v>3.2911720164543801E-2</v>
      </c>
      <c r="O55" s="96">
        <f t="shared" si="15"/>
        <v>1.273265277381741E-2</v>
      </c>
      <c r="P55" s="96">
        <f t="shared" si="16"/>
        <v>8.1198549706715806E-3</v>
      </c>
      <c r="Q55" s="142"/>
      <c r="R55" s="142">
        <v>13553.416999999999</v>
      </c>
      <c r="S55" s="142">
        <v>23532.192999999999</v>
      </c>
      <c r="T55" s="142"/>
      <c r="U55" s="142"/>
      <c r="V55" s="142"/>
      <c r="W55" s="142"/>
    </row>
    <row r="56" spans="1:23" x14ac:dyDescent="0.2">
      <c r="A56" s="60">
        <v>2014</v>
      </c>
      <c r="B56" s="156">
        <v>48857.635999999999</v>
      </c>
      <c r="C56" s="108">
        <f t="shared" si="0"/>
        <v>35784.926999999996</v>
      </c>
      <c r="D56" s="108">
        <v>1342287.93</v>
      </c>
      <c r="E56" s="108">
        <v>1138980</v>
      </c>
      <c r="F56" s="155">
        <f t="shared" si="9"/>
        <v>6.3058425177078062E-2</v>
      </c>
      <c r="G56" s="155">
        <f t="shared" si="10"/>
        <v>7.43143540711865E-2</v>
      </c>
      <c r="H56" s="158">
        <v>123.294</v>
      </c>
      <c r="I56" s="89">
        <v>112.46808731955775</v>
      </c>
      <c r="J56" s="60">
        <v>104.029</v>
      </c>
      <c r="K56" s="96">
        <f t="shared" si="11"/>
        <v>1.1851887454459815</v>
      </c>
      <c r="L56" s="96">
        <f t="shared" si="12"/>
        <v>1.0811224496972744</v>
      </c>
      <c r="M56" s="96">
        <f t="shared" si="13"/>
        <v>2.0504829991309537E-2</v>
      </c>
      <c r="N56" s="96">
        <f t="shared" si="14"/>
        <v>3.9942822028860792E-2</v>
      </c>
      <c r="O56" s="96">
        <f t="shared" si="15"/>
        <v>7.7068322796582933E-2</v>
      </c>
      <c r="P56" s="96">
        <f t="shared" si="16"/>
        <v>7.2009194688818612E-2</v>
      </c>
      <c r="Q56" s="142"/>
      <c r="R56" s="142">
        <v>13141.416999999999</v>
      </c>
      <c r="S56" s="142">
        <v>22643.51</v>
      </c>
      <c r="T56" s="142"/>
      <c r="U56" s="142"/>
      <c r="V56" s="142"/>
      <c r="W56" s="142"/>
    </row>
  </sheetData>
  <phoneticPr fontId="10" type="noConversion"/>
  <pageMargins left="0.78740157499999996" right="0.78740157499999996" top="0.984251969" bottom="0.984251969" header="0.4921259845" footer="0.4921259845"/>
  <headerFooter alignWithMargins="0"/>
  <ignoredErrors>
    <ignoredError sqref="C2:C56" formulaRange="1"/>
  </ignoredErrors>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1"/>
  <dimension ref="A1:P55"/>
  <sheetViews>
    <sheetView workbookViewId="0">
      <pane xSplit="1" ySplit="1" topLeftCell="B2" activePane="bottomRight" state="frozen"/>
      <selection pane="topRight" activeCell="B1" sqref="B1"/>
      <selection pane="bottomLeft" activeCell="A2" sqref="A2"/>
      <selection pane="bottomRight" activeCell="B53" sqref="B53:P55"/>
    </sheetView>
  </sheetViews>
  <sheetFormatPr baseColWidth="10" defaultRowHeight="13.5" x14ac:dyDescent="0.25"/>
  <cols>
    <col min="1" max="1" width="4.875" bestFit="1" customWidth="1"/>
    <col min="2" max="2" width="6.875" bestFit="1" customWidth="1"/>
    <col min="3" max="4" width="8.875" bestFit="1" customWidth="1"/>
    <col min="5" max="5" width="11.375" customWidth="1"/>
    <col min="6" max="7" width="8.875" bestFit="1" customWidth="1"/>
    <col min="8" max="8" width="7.875" bestFit="1" customWidth="1"/>
    <col min="9" max="10" width="9.875" bestFit="1" customWidth="1"/>
    <col min="11" max="11" width="9" customWidth="1"/>
    <col min="13" max="14" width="6.875" bestFit="1" customWidth="1"/>
    <col min="15" max="16" width="5.875" bestFit="1" customWidth="1"/>
  </cols>
  <sheetData>
    <row r="1" spans="1:16" x14ac:dyDescent="0.25">
      <c r="B1" t="s">
        <v>108</v>
      </c>
      <c r="C1" t="s">
        <v>109</v>
      </c>
      <c r="D1" t="s">
        <v>110</v>
      </c>
      <c r="E1" t="s">
        <v>379</v>
      </c>
      <c r="F1" t="s">
        <v>380</v>
      </c>
      <c r="G1" t="s">
        <v>112</v>
      </c>
      <c r="H1" t="s">
        <v>381</v>
      </c>
      <c r="I1" t="s">
        <v>382</v>
      </c>
      <c r="J1" t="s">
        <v>383</v>
      </c>
      <c r="K1" t="s">
        <v>384</v>
      </c>
      <c r="L1" t="s">
        <v>385</v>
      </c>
      <c r="M1" t="s">
        <v>113</v>
      </c>
      <c r="N1" t="s">
        <v>114</v>
      </c>
      <c r="O1" t="s">
        <v>115</v>
      </c>
      <c r="P1" t="s">
        <v>116</v>
      </c>
    </row>
    <row r="2" spans="1:16" x14ac:dyDescent="0.25">
      <c r="A2" s="1">
        <v>1961</v>
      </c>
      <c r="B2" s="8">
        <f>100*(LN(data2018!O3)-LN(data2018!O2))</f>
        <v>14.426702453085483</v>
      </c>
      <c r="C2" s="8">
        <f>100*(LN(data2018!V3)-LN(data2018!V2))</f>
        <v>13.303830504609904</v>
      </c>
      <c r="D2" s="8">
        <f>100*(LN(data2018!X3)-LN(data2018!X2))</f>
        <v>13.325021429306915</v>
      </c>
      <c r="E2" s="8">
        <f>100*(LN(data2018!CC3)-LN(data2018!CC2))</f>
        <v>-0.32970970067247585</v>
      </c>
      <c r="F2" s="8">
        <f>100*(LN(data2018!CJ3)-LN(data2018!CJ2))</f>
        <v>-3.2688370282297652</v>
      </c>
      <c r="G2" s="8">
        <f>100*(LN(data2018!BB3)-LN(data2018!BB2))</f>
        <v>7.6115295295025476</v>
      </c>
      <c r="H2" s="8">
        <f>100*(LN(data2018!BC3)-LN(data2018!BC2))</f>
        <v>4.6724022019454026</v>
      </c>
      <c r="I2" s="8">
        <f>100*(LN(data2018!BE3)-LN(data2018!BE2))</f>
        <v>3.5495302534696904</v>
      </c>
      <c r="J2" s="8">
        <f>100*(LN(data2018!BF3)-LN(data2018!BF2))</f>
        <v>3.5707211781666359</v>
      </c>
      <c r="K2" s="8">
        <f t="shared" ref="K2:K45" si="0">G2-E2</f>
        <v>7.9412392301750234</v>
      </c>
      <c r="L2" s="8">
        <f t="shared" ref="L2:L45" si="1">H2-F2</f>
        <v>7.9412392301751673</v>
      </c>
      <c r="M2" s="10">
        <f t="shared" ref="M2:M45" si="2">I2-F2</f>
        <v>6.8183672816994552</v>
      </c>
      <c r="N2" s="10">
        <f t="shared" ref="N2:N45" si="3">J2-F2</f>
        <v>6.8395582063964007</v>
      </c>
      <c r="O2" s="10">
        <f>100*(LN(data2018!C3)-LN(data2018!C2))</f>
        <v>1.1228719484755345</v>
      </c>
      <c r="P2" s="10">
        <f>100*(LN(data2018!H3)-LN(data2018!H2))</f>
        <v>1.101681023778589</v>
      </c>
    </row>
    <row r="3" spans="1:16" x14ac:dyDescent="0.25">
      <c r="A3" s="1">
        <v>1962</v>
      </c>
      <c r="B3" s="8">
        <f>100*(LN(data2018!O4)-LN(data2018!O3))</f>
        <v>10.899028370840647</v>
      </c>
      <c r="C3" s="8">
        <f>100*(LN(data2018!V4)-LN(data2018!V3))</f>
        <v>8.4489860874986888</v>
      </c>
      <c r="D3" s="8">
        <f>100*(LN(data2018!X4)-LN(data2018!X3))</f>
        <v>8.9752338447869775</v>
      </c>
      <c r="E3" s="8">
        <f>100*(LN(data2018!CC4)-LN(data2018!CC3))</f>
        <v>3.4199484991837004E-2</v>
      </c>
      <c r="F3" s="8">
        <f>100*(LN(data2018!CJ4)-LN(data2018!CJ3))</f>
        <v>-4.1459824271062757</v>
      </c>
      <c r="G3" s="8">
        <f>100*(LN(data2018!BB4)-LN(data2018!BB3))</f>
        <v>13.918034599989859</v>
      </c>
      <c r="H3" s="8">
        <f>100*(LN(data2018!BC4)-LN(data2018!BC3))</f>
        <v>9.737852687891646</v>
      </c>
      <c r="I3" s="8">
        <f>100*(LN(data2018!BE4)-LN(data2018!BE3))</f>
        <v>7.287810404549866</v>
      </c>
      <c r="J3" s="8">
        <f>100*(LN(data2018!BF4)-LN(data2018!BF3))</f>
        <v>7.8140581618383109</v>
      </c>
      <c r="K3" s="8">
        <f t="shared" si="0"/>
        <v>13.883835114998021</v>
      </c>
      <c r="L3" s="8">
        <f t="shared" si="1"/>
        <v>13.883835114997922</v>
      </c>
      <c r="M3" s="10">
        <f t="shared" si="2"/>
        <v>11.433792831656142</v>
      </c>
      <c r="N3" s="10">
        <f t="shared" si="3"/>
        <v>11.960040588944587</v>
      </c>
      <c r="O3" s="10">
        <f>100*(LN(data2018!C4)-LN(data2018!C3))</f>
        <v>2.4500422833419577</v>
      </c>
      <c r="P3" s="10">
        <f>100*(LN(data2018!H4)-LN(data2018!H3))</f>
        <v>1.9237945260535128</v>
      </c>
    </row>
    <row r="4" spans="1:16" x14ac:dyDescent="0.25">
      <c r="A4" s="1">
        <v>1963</v>
      </c>
      <c r="B4" s="8">
        <f>100*(LN(data2018!O5)-LN(data2018!O4))</f>
        <v>10.807422152942259</v>
      </c>
      <c r="C4" s="8">
        <f>100*(LN(data2018!V5)-LN(data2018!V4))</f>
        <v>9.7918102965769194</v>
      </c>
      <c r="D4" s="8">
        <f>100*(LN(data2018!X5)-LN(data2018!X4))</f>
        <v>9.0631039510663314</v>
      </c>
      <c r="E4" s="8">
        <f>100*(LN(data2018!CC5)-LN(data2018!CC4))</f>
        <v>-0.20112022562932541</v>
      </c>
      <c r="F4" s="8">
        <f>100*(LN(data2018!CJ5)-LN(data2018!CJ4))</f>
        <v>-4.9253567656374733</v>
      </c>
      <c r="G4" s="8">
        <f>100*(LN(data2018!BB5)-LN(data2018!BB4))</f>
        <v>10.798505695202643</v>
      </c>
      <c r="H4" s="8">
        <f>100*(LN(data2018!BC5)-LN(data2018!BC4))</f>
        <v>6.0742691551945782</v>
      </c>
      <c r="I4" s="8">
        <f>100*(LN(data2018!BE5)-LN(data2018!BE4))</f>
        <v>5.0586572988292389</v>
      </c>
      <c r="J4" s="8">
        <f>100*(LN(data2018!BF5)-LN(data2018!BF4))</f>
        <v>4.3299509533184732</v>
      </c>
      <c r="K4" s="8">
        <f t="shared" si="0"/>
        <v>10.999625920831967</v>
      </c>
      <c r="L4" s="8">
        <f t="shared" si="1"/>
        <v>10.999625920832052</v>
      </c>
      <c r="M4" s="10">
        <f t="shared" si="2"/>
        <v>9.984014064466713</v>
      </c>
      <c r="N4" s="10">
        <f t="shared" si="3"/>
        <v>9.2553077189559474</v>
      </c>
      <c r="O4" s="10">
        <f>100*(LN(data2018!C5)-LN(data2018!C4))</f>
        <v>1.0156118563653393</v>
      </c>
      <c r="P4" s="10">
        <f>100*(LN(data2018!H5)-LN(data2018!H4))</f>
        <v>1.7443182018759273</v>
      </c>
    </row>
    <row r="5" spans="1:16" x14ac:dyDescent="0.25">
      <c r="A5" s="1">
        <v>1964</v>
      </c>
      <c r="B5" s="8">
        <f>100*(LN(data2018!O6)-LN(data2018!O5))</f>
        <v>14.645564360545649</v>
      </c>
      <c r="C5" s="8">
        <f>100*(LN(data2018!V6)-LN(data2018!V5))</f>
        <v>13.604845618833883</v>
      </c>
      <c r="D5" s="8">
        <f>100*(LN(data2018!X6)-LN(data2018!X5))</f>
        <v>13.598226137876601</v>
      </c>
      <c r="E5" s="8">
        <f>100*(LN(data2018!CC6)-LN(data2018!CC5))</f>
        <v>-1.1339975842624694</v>
      </c>
      <c r="F5" s="8">
        <f>100*(LN(data2018!CJ6)-LN(data2018!CJ5))</f>
        <v>-4.3745762971880433</v>
      </c>
      <c r="G5" s="8">
        <f>100*(LN(data2018!BB6)-LN(data2018!BB5))</f>
        <v>8.2488327423565266</v>
      </c>
      <c r="H5" s="8">
        <f>100*(LN(data2018!BC6)-LN(data2018!BC5))</f>
        <v>5.0082540294308586</v>
      </c>
      <c r="I5" s="8">
        <f>100*(LN(data2018!BE6)-LN(data2018!BE5))</f>
        <v>3.9675352877189596</v>
      </c>
      <c r="J5" s="8">
        <f>100*(LN(data2018!BF6)-LN(data2018!BF5))</f>
        <v>3.9609158067618111</v>
      </c>
      <c r="K5" s="8">
        <f t="shared" si="0"/>
        <v>9.382830326618997</v>
      </c>
      <c r="L5" s="8">
        <f t="shared" si="1"/>
        <v>9.382830326618901</v>
      </c>
      <c r="M5" s="10">
        <f t="shared" si="2"/>
        <v>8.342111584907002</v>
      </c>
      <c r="N5" s="10">
        <f t="shared" si="3"/>
        <v>8.3354921039498535</v>
      </c>
      <c r="O5" s="10">
        <f>100*(LN(data2018!C6)-LN(data2018!C5))</f>
        <v>1.040718741711899</v>
      </c>
      <c r="P5" s="10">
        <f>100*(LN(data2018!H6)-LN(data2018!H5))</f>
        <v>1.0473382226692252</v>
      </c>
    </row>
    <row r="6" spans="1:16" x14ac:dyDescent="0.25">
      <c r="A6" s="1">
        <v>1965</v>
      </c>
      <c r="B6" s="8">
        <f>100*(LN(data2018!O7)-LN(data2018!O6))</f>
        <v>10.648348040245104</v>
      </c>
      <c r="C6" s="8">
        <f>100*(LN(data2018!V7)-LN(data2018!V6))</f>
        <v>9.8443861233031615</v>
      </c>
      <c r="D6" s="8">
        <f>100*(LN(data2018!X7)-LN(data2018!X6))</f>
        <v>9.660823406019869</v>
      </c>
      <c r="E6" s="8">
        <f>100*(LN(data2018!CC7)-LN(data2018!CC6))</f>
        <v>-0.71883304980471241</v>
      </c>
      <c r="F6" s="8">
        <f>100*(LN(data2018!CJ7)-LN(data2018!CJ6))</f>
        <v>-3.3285235065614147</v>
      </c>
      <c r="G6" s="8">
        <f>100*(LN(data2018!BB7)-LN(data2018!BB6))</f>
        <v>7.1785143122619743</v>
      </c>
      <c r="H6" s="8">
        <f>100*(LN(data2018!BC7)-LN(data2018!BC6))</f>
        <v>4.5688238555053218</v>
      </c>
      <c r="I6" s="8">
        <f>100*(LN(data2018!BE7)-LN(data2018!BE6))</f>
        <v>3.7648619385633353</v>
      </c>
      <c r="J6" s="8">
        <f>100*(LN(data2018!BF7)-LN(data2018!BF6))</f>
        <v>3.5812992212798989</v>
      </c>
      <c r="K6" s="8">
        <f t="shared" si="0"/>
        <v>7.8973473620666867</v>
      </c>
      <c r="L6" s="8">
        <f t="shared" si="1"/>
        <v>7.8973473620667365</v>
      </c>
      <c r="M6" s="10">
        <f t="shared" si="2"/>
        <v>7.09338544512475</v>
      </c>
      <c r="N6" s="10">
        <f t="shared" si="3"/>
        <v>6.9098227278413136</v>
      </c>
      <c r="O6" s="10">
        <f>100*(LN(data2018!C7)-LN(data2018!C6))</f>
        <v>0.80396191694180885</v>
      </c>
      <c r="P6" s="10">
        <f>100*(LN(data2018!H7)-LN(data2018!H6))</f>
        <v>0.98752463422506764</v>
      </c>
    </row>
    <row r="7" spans="1:16" x14ac:dyDescent="0.25">
      <c r="A7" s="1">
        <v>1966</v>
      </c>
      <c r="B7" s="8">
        <f>100*(LN(data2018!O8)-LN(data2018!O7))</f>
        <v>10.080469912196577</v>
      </c>
      <c r="C7" s="8">
        <f>100*(LN(data2018!V8)-LN(data2018!V7))</f>
        <v>9.2266939498396603</v>
      </c>
      <c r="D7" s="8">
        <f>100*(LN(data2018!X8)-LN(data2018!X7))</f>
        <v>9.0864388582559634</v>
      </c>
      <c r="E7" s="8">
        <f>100*(LN(data2018!CC8)-LN(data2018!CC7))</f>
        <v>0.48398320555387286</v>
      </c>
      <c r="F7" s="8">
        <f>100*(LN(data2018!CJ8)-LN(data2018!CJ7))</f>
        <v>-2.4857070338695193</v>
      </c>
      <c r="G7" s="8">
        <f>100*(LN(data2018!BB8)-LN(data2018!BB7))</f>
        <v>7.7201179225319549</v>
      </c>
      <c r="H7" s="8">
        <f>100*(LN(data2018!BC8)-LN(data2018!BC7))</f>
        <v>4.7504276831086045</v>
      </c>
      <c r="I7" s="8">
        <f>100*(LN(data2018!BE8)-LN(data2018!BE7))</f>
        <v>3.8966517207517981</v>
      </c>
      <c r="J7" s="8">
        <f>100*(LN(data2018!BF8)-LN(data2018!BF7))</f>
        <v>3.7563966291681794</v>
      </c>
      <c r="K7" s="8">
        <f t="shared" si="0"/>
        <v>7.2361347169780821</v>
      </c>
      <c r="L7" s="8">
        <f t="shared" si="1"/>
        <v>7.2361347169781238</v>
      </c>
      <c r="M7" s="10">
        <f t="shared" si="2"/>
        <v>6.3823587546213174</v>
      </c>
      <c r="N7" s="10">
        <f t="shared" si="3"/>
        <v>6.2421036630376987</v>
      </c>
      <c r="O7" s="10">
        <f>100*(LN(data2018!C8)-LN(data2018!C7))</f>
        <v>0.85377596235680642</v>
      </c>
      <c r="P7" s="10">
        <f>100*(LN(data2018!H8)-LN(data2018!H7))</f>
        <v>0.99403105394060276</v>
      </c>
    </row>
    <row r="8" spans="1:16" x14ac:dyDescent="0.25">
      <c r="A8" s="1">
        <v>1967</v>
      </c>
      <c r="B8" s="8">
        <f>100*(LN(data2018!O9)-LN(data2018!O8))</f>
        <v>9.5725203674152937</v>
      </c>
      <c r="C8" s="8">
        <f>100*(LN(data2018!V9)-LN(data2018!V8))</f>
        <v>8.8670745341261856</v>
      </c>
      <c r="D8" s="8">
        <f>100*(LN(data2018!X9)-LN(data2018!X8))</f>
        <v>8.447540644911566</v>
      </c>
      <c r="E8" s="8">
        <f>100*(LN(data2018!CC9)-LN(data2018!CC8))</f>
        <v>1.4655593105243447</v>
      </c>
      <c r="F8" s="8">
        <f>100*(LN(data2018!CJ9)-LN(data2018!CJ8))</f>
        <v>-1.6285695666510989</v>
      </c>
      <c r="G8" s="8">
        <f>100*(LN(data2018!BB9)-LN(data2018!BB8))</f>
        <v>8.5789301429407772</v>
      </c>
      <c r="H8" s="8">
        <f>100*(LN(data2018!BC9)-LN(data2018!BC8))</f>
        <v>5.484801265765249</v>
      </c>
      <c r="I8" s="8">
        <f>100*(LN(data2018!BE9)-LN(data2018!BE8))</f>
        <v>4.7793554324758958</v>
      </c>
      <c r="J8" s="8">
        <f>100*(LN(data2018!BF9)-LN(data2018!BF8))</f>
        <v>4.359821543261333</v>
      </c>
      <c r="K8" s="8">
        <f t="shared" si="0"/>
        <v>7.1133708324164324</v>
      </c>
      <c r="L8" s="8">
        <f t="shared" si="1"/>
        <v>7.113370832416348</v>
      </c>
      <c r="M8" s="10">
        <f t="shared" si="2"/>
        <v>6.4079249991269949</v>
      </c>
      <c r="N8" s="10">
        <f t="shared" si="3"/>
        <v>5.9883911099124321</v>
      </c>
      <c r="O8" s="10">
        <f>100*(LN(data2018!C9)-LN(data2018!C8))</f>
        <v>0.70544583328935317</v>
      </c>
      <c r="P8" s="10">
        <f>100*(LN(data2018!H9)-LN(data2018!H8))</f>
        <v>1.124979722503916</v>
      </c>
    </row>
    <row r="9" spans="1:16" x14ac:dyDescent="0.25">
      <c r="A9" s="1">
        <v>1968</v>
      </c>
      <c r="B9" s="8">
        <f>100*(LN(data2018!O10)-LN(data2018!O9))</f>
        <v>10.525677583720316</v>
      </c>
      <c r="C9" s="8">
        <f>100*(LN(data2018!V10)-LN(data2018!V9))</f>
        <v>9.7550439181359536</v>
      </c>
      <c r="D9" s="8">
        <f>100*(LN(data2018!X10)-LN(data2018!X9))</f>
        <v>9.2489834135254085</v>
      </c>
      <c r="E9" s="8">
        <f>100*(LN(data2018!CC10)-LN(data2018!CC9))</f>
        <v>2.5219189344237503</v>
      </c>
      <c r="F9" s="8">
        <f>100*(LN(data2018!CJ10)-LN(data2018!CJ9))</f>
        <v>-2.392242144510448</v>
      </c>
      <c r="G9" s="8">
        <f>100*(LN(data2018!BB10)-LN(data2018!BB9))</f>
        <v>9.3407854491829312</v>
      </c>
      <c r="H9" s="8">
        <f>100*(LN(data2018!BC10)-LN(data2018!BC9))</f>
        <v>4.4266243702487884</v>
      </c>
      <c r="I9" s="8">
        <f>100*(LN(data2018!BE10)-LN(data2018!BE9))</f>
        <v>3.6559907046646245</v>
      </c>
      <c r="J9" s="8">
        <f>100*(LN(data2018!BF10)-LN(data2018!BF9))</f>
        <v>3.1499302000540297</v>
      </c>
      <c r="K9" s="8">
        <f t="shared" si="0"/>
        <v>6.8188665147591809</v>
      </c>
      <c r="L9" s="8">
        <f t="shared" si="1"/>
        <v>6.818866514759236</v>
      </c>
      <c r="M9" s="10">
        <f t="shared" si="2"/>
        <v>6.0482328491750721</v>
      </c>
      <c r="N9" s="10">
        <f t="shared" si="3"/>
        <v>5.5421723445644773</v>
      </c>
      <c r="O9" s="10">
        <f>100*(LN(data2018!C10)-LN(data2018!C9))</f>
        <v>0.77063366558434154</v>
      </c>
      <c r="P9" s="10">
        <f>100*(LN(data2018!H10)-LN(data2018!H9))</f>
        <v>1.2766941701949364</v>
      </c>
    </row>
    <row r="10" spans="1:16" x14ac:dyDescent="0.25">
      <c r="A10" s="1">
        <v>1969</v>
      </c>
      <c r="B10" s="8">
        <f>100*(LN(data2018!O11)-LN(data2018!O10))</f>
        <v>7.290677080808905</v>
      </c>
      <c r="C10" s="8">
        <f>100*(LN(data2018!V11)-LN(data2018!V10))</f>
        <v>6.4550185905009938</v>
      </c>
      <c r="D10" s="8">
        <f>100*(LN(data2018!X11)-LN(data2018!X10))</f>
        <v>5.6847825894475843</v>
      </c>
      <c r="E10" s="8">
        <f>100*(LN(data2018!CC11)-LN(data2018!CC10))</f>
        <v>6.9712593987893534</v>
      </c>
      <c r="F10" s="8">
        <f>100*(LN(data2018!CJ11)-LN(data2018!CJ10))</f>
        <v>0.11515827686994773</v>
      </c>
      <c r="G10" s="8">
        <f>100*(LN(data2018!BB11)-LN(data2018!BB10))</f>
        <v>11.491765814424504</v>
      </c>
      <c r="H10" s="8">
        <f>100*(LN(data2018!BC11)-LN(data2018!BC10))</f>
        <v>4.6356646925051592</v>
      </c>
      <c r="I10" s="8">
        <f>100*(LN(data2018!BE11)-LN(data2018!BE10))</f>
        <v>3.8000062021971814</v>
      </c>
      <c r="J10" s="8">
        <f>100*(LN(data2018!BF11)-LN(data2018!BF10))</f>
        <v>3.0297702011438332</v>
      </c>
      <c r="K10" s="8">
        <f t="shared" si="0"/>
        <v>4.5205064156351504</v>
      </c>
      <c r="L10" s="8">
        <f t="shared" si="1"/>
        <v>4.5205064156352117</v>
      </c>
      <c r="M10" s="10">
        <f t="shared" si="2"/>
        <v>3.6848479253272339</v>
      </c>
      <c r="N10" s="10">
        <f t="shared" si="3"/>
        <v>2.9146119242738857</v>
      </c>
      <c r="O10" s="10">
        <f>100*(LN(data2018!C11)-LN(data2018!C10))</f>
        <v>0.83565849030780015</v>
      </c>
      <c r="P10" s="10">
        <f>100*(LN(data2018!H11)-LN(data2018!H10))</f>
        <v>1.6058944913611484</v>
      </c>
    </row>
    <row r="11" spans="1:16" x14ac:dyDescent="0.25">
      <c r="A11" s="1">
        <v>1970</v>
      </c>
      <c r="B11" s="8">
        <f>100*(LN(data2018!O12)-LN(data2018!O11))</f>
        <v>8.3562148196413943</v>
      </c>
      <c r="C11" s="8">
        <f>100*(LN(data2018!V12)-LN(data2018!V11))</f>
        <v>7.3950224692028055</v>
      </c>
      <c r="D11" s="8">
        <f>100*(LN(data2018!X12)-LN(data2018!X11))</f>
        <v>6.5223172697906895</v>
      </c>
      <c r="E11" s="8">
        <f>100*(LN(data2018!CC12)-LN(data2018!CC11))</f>
        <v>2.3422739420660088</v>
      </c>
      <c r="F11" s="8">
        <f>100*(LN(data2018!CJ12)-LN(data2018!CJ11))</f>
        <v>-2.5538966047760043</v>
      </c>
      <c r="G11" s="8">
        <f>100*(LN(data2018!BB12)-LN(data2018!BB11))</f>
        <v>11.884534335821684</v>
      </c>
      <c r="H11" s="8">
        <f>100*(LN(data2018!BC12)-LN(data2018!BC11))</f>
        <v>6.9883637889796901</v>
      </c>
      <c r="I11" s="8">
        <f>100*(LN(data2018!BE12)-LN(data2018!BE11))</f>
        <v>6.0271714385411457</v>
      </c>
      <c r="J11" s="8">
        <f>100*(LN(data2018!BF12)-LN(data2018!BF11))</f>
        <v>5.1544662391290075</v>
      </c>
      <c r="K11" s="8">
        <f t="shared" si="0"/>
        <v>9.5422603937556758</v>
      </c>
      <c r="L11" s="8">
        <f t="shared" si="1"/>
        <v>9.5422603937556936</v>
      </c>
      <c r="M11" s="10">
        <f t="shared" si="2"/>
        <v>8.5810680433171491</v>
      </c>
      <c r="N11" s="10">
        <f t="shared" si="3"/>
        <v>7.7083628439050118</v>
      </c>
      <c r="O11" s="10">
        <f>100*(LN(data2018!C12)-LN(data2018!C11))</f>
        <v>0.96119235043854445</v>
      </c>
      <c r="P11" s="10">
        <f>100*(LN(data2018!H12)-LN(data2018!H11))</f>
        <v>1.8338975498506827</v>
      </c>
    </row>
    <row r="12" spans="1:16" x14ac:dyDescent="0.25">
      <c r="A12" s="1">
        <v>1971</v>
      </c>
      <c r="B12" s="8">
        <f>100*(LN(data2018!O13)-LN(data2018!O12))</f>
        <v>11.212455688475664</v>
      </c>
      <c r="C12" s="8">
        <f>100*(LN(data2018!V13)-LN(data2018!V12))</f>
        <v>10.295943950040254</v>
      </c>
      <c r="D12" s="8">
        <f>100*(LN(data2018!X13)-LN(data2018!X12))</f>
        <v>9.3756570238254433</v>
      </c>
      <c r="E12" s="8">
        <f>100*(LN(data2018!CC13)-LN(data2018!CC12))</f>
        <v>2.6792368527609023</v>
      </c>
      <c r="F12" s="8">
        <f>100*(LN(data2018!CJ13)-LN(data2018!CJ12))</f>
        <v>-2.8209429238095409</v>
      </c>
      <c r="G12" s="8">
        <f>100*(LN(data2018!BB13)-LN(data2018!BB12))</f>
        <v>10.86530134521233</v>
      </c>
      <c r="H12" s="8">
        <f>100*(LN(data2018!BC13)-LN(data2018!BC12))</f>
        <v>5.3651215686418396</v>
      </c>
      <c r="I12" s="8">
        <f>100*(LN(data2018!BE13)-LN(data2018!BE12))</f>
        <v>4.4486098302064292</v>
      </c>
      <c r="J12" s="8">
        <f>100*(LN(data2018!BF13)-LN(data2018!BF12))</f>
        <v>3.5283229039915653</v>
      </c>
      <c r="K12" s="8">
        <f t="shared" si="0"/>
        <v>8.186064492451429</v>
      </c>
      <c r="L12" s="8">
        <f t="shared" si="1"/>
        <v>8.186064492451381</v>
      </c>
      <c r="M12" s="10">
        <f t="shared" si="2"/>
        <v>7.2695527540159706</v>
      </c>
      <c r="N12" s="10">
        <f t="shared" si="3"/>
        <v>6.3492658278011067</v>
      </c>
      <c r="O12" s="10">
        <f>100*(LN(data2018!C13)-LN(data2018!C12))</f>
        <v>0.91651173843541045</v>
      </c>
      <c r="P12" s="10">
        <f>100*(LN(data2018!H13)-LN(data2018!H12))</f>
        <v>1.8367986646502743</v>
      </c>
    </row>
    <row r="13" spans="1:16" x14ac:dyDescent="0.25">
      <c r="A13" s="1">
        <v>1972</v>
      </c>
      <c r="B13" s="8">
        <f>100*(LN(data2018!O14)-LN(data2018!O13))</f>
        <v>10.833254021046734</v>
      </c>
      <c r="C13" s="8">
        <f>100*(LN(data2018!V14)-LN(data2018!V13))</f>
        <v>10.001697183039337</v>
      </c>
      <c r="D13" s="8">
        <f>100*(LN(data2018!X14)-LN(data2018!X13))</f>
        <v>9.0501678999984065</v>
      </c>
      <c r="E13" s="8">
        <f>100*(LN(data2018!CC14)-LN(data2018!CC13))</f>
        <v>1.0603403588798965</v>
      </c>
      <c r="F13" s="8">
        <f>100*(LN(data2018!CJ14)-LN(data2018!CJ13))</f>
        <v>-4.6361721244826484</v>
      </c>
      <c r="G13" s="8">
        <f>100*(LN(data2018!BB14)-LN(data2018!BB13))</f>
        <v>11.388074979217855</v>
      </c>
      <c r="H13" s="8">
        <f>100*(LN(data2018!BC14)-LN(data2018!BC13))</f>
        <v>5.6915624958552513</v>
      </c>
      <c r="I13" s="8">
        <f>100*(LN(data2018!BE14)-LN(data2018!BE13))</f>
        <v>4.8600056578479212</v>
      </c>
      <c r="J13" s="8">
        <f>100*(LN(data2018!BF14)-LN(data2018!BF13))</f>
        <v>3.9084763748070017</v>
      </c>
      <c r="K13" s="8">
        <f t="shared" si="0"/>
        <v>10.327734620337958</v>
      </c>
      <c r="L13" s="8">
        <f t="shared" si="1"/>
        <v>10.3277346203379</v>
      </c>
      <c r="M13" s="10">
        <f t="shared" si="2"/>
        <v>9.4961777823305695</v>
      </c>
      <c r="N13" s="10">
        <f t="shared" si="3"/>
        <v>8.5446484992896501</v>
      </c>
      <c r="O13" s="10">
        <f>100*(LN(data2018!C14)-LN(data2018!C13))</f>
        <v>0.83155683800733016</v>
      </c>
      <c r="P13" s="10">
        <f>100*(LN(data2018!H14)-LN(data2018!H13))</f>
        <v>1.7830861210482496</v>
      </c>
    </row>
    <row r="14" spans="1:16" x14ac:dyDescent="0.25">
      <c r="A14" s="1">
        <v>1973</v>
      </c>
      <c r="B14" s="8">
        <f>100*(LN(data2018!O15)-LN(data2018!O14))</f>
        <v>9.7038014362105685</v>
      </c>
      <c r="C14" s="8">
        <f>100*(LN(data2018!V15)-LN(data2018!V14))</f>
        <v>8.9270031838710739</v>
      </c>
      <c r="D14" s="8">
        <f>100*(LN(data2018!X15)-LN(data2018!X14))</f>
        <v>7.9548426400280068</v>
      </c>
      <c r="E14" s="8">
        <f>100*(LN(data2018!CC15)-LN(data2018!CC14))</f>
        <v>4.2981057218806074</v>
      </c>
      <c r="F14" s="8">
        <f>100*(LN(data2018!CJ15)-LN(data2018!CJ14))</f>
        <v>-2.7230627936907532</v>
      </c>
      <c r="G14" s="8">
        <f>100*(LN(data2018!BB15)-LN(data2018!BB14))</f>
        <v>12.525760597733893</v>
      </c>
      <c r="H14" s="8">
        <f>100*(LN(data2018!BC15)-LN(data2018!BC14))</f>
        <v>5.5045920821624961</v>
      </c>
      <c r="I14" s="8">
        <f>100*(LN(data2018!BE15)-LN(data2018!BE14))</f>
        <v>4.7277938298229572</v>
      </c>
      <c r="J14" s="8">
        <f>100*(LN(data2018!BF15)-LN(data2018!BF14))</f>
        <v>3.7556332859798758</v>
      </c>
      <c r="K14" s="8">
        <f t="shared" si="0"/>
        <v>8.2276548758532861</v>
      </c>
      <c r="L14" s="8">
        <f t="shared" si="1"/>
        <v>8.2276548758532488</v>
      </c>
      <c r="M14" s="10">
        <f t="shared" si="2"/>
        <v>7.4508566235137099</v>
      </c>
      <c r="N14" s="10">
        <f t="shared" si="3"/>
        <v>6.4786960796706285</v>
      </c>
      <c r="O14" s="10">
        <f>100*(LN(data2018!C15)-LN(data2018!C14))</f>
        <v>0.77679825233971656</v>
      </c>
      <c r="P14" s="10">
        <f>100*(LN(data2018!H15)-LN(data2018!H14))</f>
        <v>1.7489587961827979</v>
      </c>
    </row>
    <row r="15" spans="1:16" x14ac:dyDescent="0.25">
      <c r="A15" s="1">
        <v>1974</v>
      </c>
      <c r="B15" s="8">
        <f>100*(LN(data2018!O16)-LN(data2018!O15))</f>
        <v>-3.8574560643461098</v>
      </c>
      <c r="C15" s="8">
        <f>100*(LN(data2018!V16)-LN(data2018!V15))</f>
        <v>-4.3898116300551182</v>
      </c>
      <c r="D15" s="8">
        <f>100*(LN(data2018!X16)-LN(data2018!X15))</f>
        <v>-5.4797329723017585</v>
      </c>
      <c r="E15" s="8">
        <f>100*(LN(data2018!CC16)-LN(data2018!CC15))</f>
        <v>34.190458625155394</v>
      </c>
      <c r="F15" s="8">
        <f>100*(LN(data2018!CJ16)-LN(data2018!CJ15))</f>
        <v>20.75247330853648</v>
      </c>
      <c r="G15" s="8">
        <f>100*(LN(data2018!BB16)-LN(data2018!BB15))</f>
        <v>16.919034651994203</v>
      </c>
      <c r="H15" s="8">
        <f>100*(LN(data2018!BC16)-LN(data2018!BC15))</f>
        <v>3.4810493353754524</v>
      </c>
      <c r="I15" s="8">
        <f>100*(LN(data2018!BE16)-LN(data2018!BE15))</f>
        <v>2.9486937696663773</v>
      </c>
      <c r="J15" s="8">
        <f>100*(LN(data2018!BF16)-LN(data2018!BF15))</f>
        <v>1.8587724274196304</v>
      </c>
      <c r="K15" s="8">
        <f t="shared" si="0"/>
        <v>-17.271423973161191</v>
      </c>
      <c r="L15" s="8">
        <f t="shared" si="1"/>
        <v>-17.271423973161028</v>
      </c>
      <c r="M15" s="10">
        <f t="shared" si="2"/>
        <v>-17.803779538870103</v>
      </c>
      <c r="N15" s="10">
        <f t="shared" si="3"/>
        <v>-18.89370088111685</v>
      </c>
      <c r="O15" s="10">
        <f>100*(LN(data2018!C16)-LN(data2018!C15))</f>
        <v>0.53235556570889742</v>
      </c>
      <c r="P15" s="10">
        <f>100*(LN(data2018!H16)-LN(data2018!H15))</f>
        <v>1.6222769079554666</v>
      </c>
    </row>
    <row r="16" spans="1:16" x14ac:dyDescent="0.25">
      <c r="A16" s="1">
        <v>1975</v>
      </c>
      <c r="B16" s="8">
        <f>100*(LN(data2018!O17)-LN(data2018!O16))</f>
        <v>4.9902851942455584</v>
      </c>
      <c r="C16" s="8">
        <f>100*(LN(data2018!V17)-LN(data2018!V16))</f>
        <v>4.613925874205016</v>
      </c>
      <c r="D16" s="8">
        <f>100*(LN(data2018!X17)-LN(data2018!X16))</f>
        <v>3.4526831362768866</v>
      </c>
      <c r="E16" s="8">
        <f>100*(LN(data2018!CC17)-LN(data2018!CC16))</f>
        <v>3.5392502205832344</v>
      </c>
      <c r="F16" s="8">
        <f>100*(LN(data2018!CJ17)-LN(data2018!CJ16))</f>
        <v>-7.4888264269544145</v>
      </c>
      <c r="G16" s="8">
        <f>100*(LN(data2018!BB17)-LN(data2018!BB16))</f>
        <v>14.014551213780102</v>
      </c>
      <c r="H16" s="8">
        <f>100*(LN(data2018!BC17)-LN(data2018!BC16))</f>
        <v>2.9864745662422365</v>
      </c>
      <c r="I16" s="8">
        <f>100*(LN(data2018!BE17)-LN(data2018!BE16))</f>
        <v>2.6101152462018717</v>
      </c>
      <c r="J16" s="8">
        <f>100*(LN(data2018!BF17)-LN(data2018!BF16))</f>
        <v>1.4488725082738796</v>
      </c>
      <c r="K16" s="8">
        <f t="shared" si="0"/>
        <v>10.475300993196868</v>
      </c>
      <c r="L16" s="8">
        <f t="shared" si="1"/>
        <v>10.475300993196651</v>
      </c>
      <c r="M16" s="10">
        <f t="shared" si="2"/>
        <v>10.098941673156286</v>
      </c>
      <c r="N16" s="10">
        <f t="shared" si="3"/>
        <v>8.9376989352282941</v>
      </c>
      <c r="O16" s="10">
        <f>100*(LN(data2018!C17)-LN(data2018!C16))</f>
        <v>0.3763593200405424</v>
      </c>
      <c r="P16" s="10">
        <f>100*(LN(data2018!H17)-LN(data2018!H16))</f>
        <v>1.5376020579687122</v>
      </c>
    </row>
    <row r="17" spans="1:16" x14ac:dyDescent="0.25">
      <c r="A17" s="1">
        <v>1976</v>
      </c>
      <c r="B17" s="8">
        <f>100*(LN(data2018!O18)-LN(data2018!O17))</f>
        <v>6.0867999905495296</v>
      </c>
      <c r="C17" s="8">
        <f>100*(LN(data2018!V18)-LN(data2018!V17))</f>
        <v>5.6697278667984463</v>
      </c>
      <c r="D17" s="8">
        <f>100*(LN(data2018!X18)-LN(data2018!X17))</f>
        <v>4.547666953963037</v>
      </c>
      <c r="E17" s="8">
        <f>100*(LN(data2018!CC18)-LN(data2018!CC17))</f>
        <v>8.0963854496247656</v>
      </c>
      <c r="F17" s="8">
        <f>100*(LN(data2018!CJ18)-LN(data2018!CJ17))</f>
        <v>-1.1051969141246092</v>
      </c>
      <c r="G17" s="8">
        <f>100*(LN(data2018!BB18)-LN(data2018!BB17))</f>
        <v>11.58538204917452</v>
      </c>
      <c r="H17" s="8">
        <f>100*(LN(data2018!BC18)-LN(data2018!BC17))</f>
        <v>2.3837996854252808</v>
      </c>
      <c r="I17" s="8">
        <f>100*(LN(data2018!BE18)-LN(data2018!BE17))</f>
        <v>1.9667275616740199</v>
      </c>
      <c r="J17" s="8">
        <f>100*(LN(data2018!BF18)-LN(data2018!BF17))</f>
        <v>0.84466664883855458</v>
      </c>
      <c r="K17" s="8">
        <f t="shared" si="0"/>
        <v>3.4889965995497541</v>
      </c>
      <c r="L17" s="8">
        <f t="shared" si="1"/>
        <v>3.4889965995498899</v>
      </c>
      <c r="M17" s="10">
        <f t="shared" si="2"/>
        <v>3.071924475798629</v>
      </c>
      <c r="N17" s="10">
        <f t="shared" si="3"/>
        <v>1.9498635629631638</v>
      </c>
      <c r="O17" s="10">
        <f>100*(LN(data2018!C18)-LN(data2018!C17))</f>
        <v>0.41707212375108327</v>
      </c>
      <c r="P17" s="10">
        <f>100*(LN(data2018!H18)-LN(data2018!H17))</f>
        <v>1.5391330365865485</v>
      </c>
    </row>
    <row r="18" spans="1:16" x14ac:dyDescent="0.25">
      <c r="A18" s="1">
        <v>1977</v>
      </c>
      <c r="B18" s="8">
        <f>100*(LN(data2018!O19)-LN(data2018!O18))</f>
        <v>3.1721659229580368</v>
      </c>
      <c r="C18" s="8">
        <f>100*(LN(data2018!V19)-LN(data2018!V18))</f>
        <v>2.6969375504925175</v>
      </c>
      <c r="D18" s="8">
        <f>100*(LN(data2018!X19)-LN(data2018!X18))</f>
        <v>1.6536481190771206</v>
      </c>
      <c r="E18" s="8">
        <f>100*(LN(data2018!CC19)-LN(data2018!CC18))</f>
        <v>15.640436085200182</v>
      </c>
      <c r="F18" s="8">
        <f>100*(LN(data2018!CJ19)-LN(data2018!CJ18))</f>
        <v>6.7198572809190891</v>
      </c>
      <c r="G18" s="8">
        <f>100*(LN(data2018!BB19)-LN(data2018!BB18))</f>
        <v>11.667032002626954</v>
      </c>
      <c r="H18" s="8">
        <f>100*(LN(data2018!BC19)-LN(data2018!BC18))</f>
        <v>2.7464531983458329</v>
      </c>
      <c r="I18" s="8">
        <f>100*(LN(data2018!BE19)-LN(data2018!BE18))</f>
        <v>2.2712248258804024</v>
      </c>
      <c r="J18" s="8">
        <f>100*(LN(data2018!BF19)-LN(data2018!BF18))</f>
        <v>1.2279353944649074</v>
      </c>
      <c r="K18" s="8">
        <f t="shared" si="0"/>
        <v>-3.9734040825732286</v>
      </c>
      <c r="L18" s="8">
        <f t="shared" si="1"/>
        <v>-3.9734040825732562</v>
      </c>
      <c r="M18" s="10">
        <f t="shared" si="2"/>
        <v>-4.4486324550386867</v>
      </c>
      <c r="N18" s="10">
        <f t="shared" si="3"/>
        <v>-5.4919218864541817</v>
      </c>
      <c r="O18" s="10">
        <f>100*(LN(data2018!C19)-LN(data2018!C18))</f>
        <v>0.47522837246560812</v>
      </c>
      <c r="P18" s="10">
        <f>100*(LN(data2018!H19)-LN(data2018!H18))</f>
        <v>1.5185178038809255</v>
      </c>
    </row>
    <row r="19" spans="1:16" x14ac:dyDescent="0.25">
      <c r="A19" s="1">
        <v>1978</v>
      </c>
      <c r="B19" s="8">
        <f>100*(LN(data2018!O20)-LN(data2018!O19))</f>
        <v>5.6276144341126155</v>
      </c>
      <c r="C19" s="8">
        <f>100*(LN(data2018!V20)-LN(data2018!V19))</f>
        <v>5.2351046639721899</v>
      </c>
      <c r="D19" s="8">
        <f>100*(LN(data2018!X20)-LN(data2018!X19))</f>
        <v>4.1398366749483673</v>
      </c>
      <c r="E19" s="8">
        <f>100*(LN(data2018!CC20)-LN(data2018!CC19))</f>
        <v>8.0595186217768404</v>
      </c>
      <c r="F19" s="8">
        <f>100*(LN(data2018!CJ20)-LN(data2018!CJ19))</f>
        <v>-0.28664595382609792</v>
      </c>
      <c r="G19" s="8">
        <f>100*(LN(data2018!BB20)-LN(data2018!BB19))</f>
        <v>14.178652632692668</v>
      </c>
      <c r="H19" s="8">
        <f>100*(LN(data2018!BC20)-LN(data2018!BC19))</f>
        <v>5.8324880570896909</v>
      </c>
      <c r="I19" s="8">
        <f>100*(LN(data2018!BE20)-LN(data2018!BE19))</f>
        <v>5.4399782869491986</v>
      </c>
      <c r="J19" s="8">
        <f>100*(LN(data2018!BF20)-LN(data2018!BF19))</f>
        <v>4.3447102979255803</v>
      </c>
      <c r="K19" s="8">
        <f t="shared" si="0"/>
        <v>6.1191340109158272</v>
      </c>
      <c r="L19" s="8">
        <f t="shared" si="1"/>
        <v>6.119134010915789</v>
      </c>
      <c r="M19" s="10">
        <f t="shared" si="2"/>
        <v>5.7266242407752967</v>
      </c>
      <c r="N19" s="10">
        <f t="shared" si="3"/>
        <v>4.6313562517516784</v>
      </c>
      <c r="O19" s="10">
        <f>100*(LN(data2018!C20)-LN(data2018!C19))</f>
        <v>0.39250977014031463</v>
      </c>
      <c r="P19" s="10">
        <f>100*(LN(data2018!H20)-LN(data2018!H19))</f>
        <v>1.4877777591641106</v>
      </c>
    </row>
    <row r="20" spans="1:16" x14ac:dyDescent="0.25">
      <c r="A20" s="1">
        <v>1979</v>
      </c>
      <c r="B20" s="8">
        <f>100*(LN(data2018!O21)-LN(data2018!O20))</f>
        <v>1.4405716317657635</v>
      </c>
      <c r="C20" s="8">
        <f>100*(LN(data2018!V21)-LN(data2018!V20))</f>
        <v>0.9736213261281379</v>
      </c>
      <c r="D20" s="8">
        <f>100*(LN(data2018!X21)-LN(data2018!X20))</f>
        <v>-2.0122528458807465E-2</v>
      </c>
      <c r="E20" s="8">
        <f>100*(LN(data2018!CC21)-LN(data2018!CC20))</f>
        <v>13.492212889423671</v>
      </c>
      <c r="F20" s="8">
        <f>100*(LN(data2018!CJ21)-LN(data2018!CJ20))</f>
        <v>3.1182807010916385</v>
      </c>
      <c r="G20" s="8">
        <f>100*(LN(data2018!BB21)-LN(data2018!BB20))</f>
        <v>11.229454907615199</v>
      </c>
      <c r="H20" s="8">
        <f>100*(LN(data2018!BC21)-LN(data2018!BC20))</f>
        <v>0.8555227192831083</v>
      </c>
      <c r="I20" s="8">
        <f>100*(LN(data2018!BE21)-LN(data2018!BE20))</f>
        <v>0.3885724136456048</v>
      </c>
      <c r="J20" s="8">
        <f>100*(LN(data2018!BF21)-LN(data2018!BF20))</f>
        <v>-0.60517144094145436</v>
      </c>
      <c r="K20" s="8">
        <f t="shared" si="0"/>
        <v>-2.2627579818084715</v>
      </c>
      <c r="L20" s="8">
        <f t="shared" si="1"/>
        <v>-2.2627579818085302</v>
      </c>
      <c r="M20" s="10">
        <f t="shared" si="2"/>
        <v>-2.7297082874460337</v>
      </c>
      <c r="N20" s="10">
        <f t="shared" si="3"/>
        <v>-3.7234521420330928</v>
      </c>
      <c r="O20" s="10">
        <f>100*(LN(data2018!C21)-LN(data2018!C20))</f>
        <v>0.46695030563768114</v>
      </c>
      <c r="P20" s="10">
        <f>100*(LN(data2018!H21)-LN(data2018!H20))</f>
        <v>1.4606941602245627</v>
      </c>
    </row>
    <row r="21" spans="1:16" x14ac:dyDescent="0.25">
      <c r="A21" s="1">
        <v>1980</v>
      </c>
      <c r="B21" s="8">
        <f>100*(LN(data2018!O22)-LN(data2018!O21))</f>
        <v>1.5018934507125437</v>
      </c>
      <c r="C21" s="8">
        <f>100*(LN(data2018!V22)-LN(data2018!V21))</f>
        <v>0.95021619201898222</v>
      </c>
      <c r="D21" s="8">
        <f>100*(LN(data2018!X22)-LN(data2018!X21))</f>
        <v>9.6685079654330874E-2</v>
      </c>
      <c r="E21" s="8">
        <f>100*(LN(data2018!CC22)-LN(data2018!CC21))</f>
        <v>16.548939352396197</v>
      </c>
      <c r="F21" s="8">
        <f>100*(LN(data2018!CJ22)-LN(data2018!CJ21))</f>
        <v>4.2697749405999383</v>
      </c>
      <c r="G21" s="8">
        <f>100*(LN(data2018!BB22)-LN(data2018!BB21))</f>
        <v>12.852679651215659</v>
      </c>
      <c r="H21" s="8">
        <f>100*(LN(data2018!BC22)-LN(data2018!BC21))</f>
        <v>0.57351523941964189</v>
      </c>
      <c r="I21" s="8">
        <f>100*(LN(data2018!BE22)-LN(data2018!BE21))</f>
        <v>2.1837980725791795E-2</v>
      </c>
      <c r="J21" s="8">
        <f>100*(LN(data2018!BF22)-LN(data2018!BF21))</f>
        <v>-0.83169313163882208</v>
      </c>
      <c r="K21" s="8">
        <f t="shared" si="0"/>
        <v>-3.6962597011805371</v>
      </c>
      <c r="L21" s="8">
        <f t="shared" si="1"/>
        <v>-3.6962597011802965</v>
      </c>
      <c r="M21" s="10">
        <f t="shared" si="2"/>
        <v>-4.2479369598741465</v>
      </c>
      <c r="N21" s="10">
        <f t="shared" si="3"/>
        <v>-5.1014680722387604</v>
      </c>
      <c r="O21" s="10">
        <f>100*(LN(data2018!C22)-LN(data2018!C21))</f>
        <v>0.55167725869367246</v>
      </c>
      <c r="P21" s="10">
        <f>100*(LN(data2018!H22)-LN(data2018!H21))</f>
        <v>1.4052083710582863</v>
      </c>
    </row>
    <row r="22" spans="1:16" x14ac:dyDescent="0.25">
      <c r="A22" s="1">
        <v>1981</v>
      </c>
      <c r="B22" s="8">
        <f>100*(LN(data2018!O23)-LN(data2018!O22))</f>
        <v>3.7145307255364912</v>
      </c>
      <c r="C22" s="8">
        <f>100*(LN(data2018!V23)-LN(data2018!V22))</f>
        <v>3.1490811991501277</v>
      </c>
      <c r="D22" s="8">
        <f>100*(LN(data2018!X23)-LN(data2018!X22))</f>
        <v>2.3585118593046408</v>
      </c>
      <c r="E22" s="8">
        <f>100*(LN(data2018!CC23)-LN(data2018!CC22))</f>
        <v>7.98445412727723</v>
      </c>
      <c r="F22" s="8">
        <f>100*(LN(data2018!CJ23)-LN(data2018!CJ22))</f>
        <v>-4.799274393230629</v>
      </c>
      <c r="G22" s="8">
        <f>100*(LN(data2018!BB23)-LN(data2018!BB22))</f>
        <v>14.497316509175029</v>
      </c>
      <c r="H22" s="8">
        <f>100*(LN(data2018!BC23)-LN(data2018!BC22))</f>
        <v>1.7135879886669869</v>
      </c>
      <c r="I22" s="8">
        <f>100*(LN(data2018!BE23)-LN(data2018!BE22))</f>
        <v>1.1481384622808122</v>
      </c>
      <c r="J22" s="8">
        <f>100*(LN(data2018!BF23)-LN(data2018!BF22))</f>
        <v>0.35756912243538608</v>
      </c>
      <c r="K22" s="8">
        <f t="shared" si="0"/>
        <v>6.5128623818977989</v>
      </c>
      <c r="L22" s="8">
        <f t="shared" si="1"/>
        <v>6.5128623818976159</v>
      </c>
      <c r="M22" s="10">
        <f t="shared" si="2"/>
        <v>5.9474128555114412</v>
      </c>
      <c r="N22" s="10">
        <f t="shared" si="3"/>
        <v>5.1568435156660151</v>
      </c>
      <c r="O22" s="10">
        <f>100*(LN(data2018!C23)-LN(data2018!C22))</f>
        <v>0.56544952638617474</v>
      </c>
      <c r="P22" s="10">
        <f>100*(LN(data2018!H23)-LN(data2018!H22))</f>
        <v>1.3560188662317785</v>
      </c>
    </row>
    <row r="23" spans="1:16" x14ac:dyDescent="0.25">
      <c r="A23" s="1">
        <v>1982</v>
      </c>
      <c r="B23" s="8">
        <f>100*(LN(data2018!O24)-LN(data2018!O23))</f>
        <v>1.8954650868733935</v>
      </c>
      <c r="C23" s="8">
        <f>100*(LN(data2018!V24)-LN(data2018!V23))</f>
        <v>1.3174315533231784</v>
      </c>
      <c r="D23" s="8">
        <f>100*(LN(data2018!X24)-LN(data2018!X23))</f>
        <v>0.54979192172704283</v>
      </c>
      <c r="E23" s="8">
        <f>100*(LN(data2018!CC24)-LN(data2018!CC23))</f>
        <v>14.787685378513293</v>
      </c>
      <c r="F23" s="8">
        <f>100*(LN(data2018!CJ24)-LN(data2018!CJ23))</f>
        <v>3.6372561754144881</v>
      </c>
      <c r="G23" s="8">
        <f>100*(LN(data2018!BB24)-LN(data2018!BB23))</f>
        <v>13.321501254965717</v>
      </c>
      <c r="H23" s="8">
        <f>100*(LN(data2018!BC24)-LN(data2018!BC23))</f>
        <v>2.1710720518669291</v>
      </c>
      <c r="I23" s="8">
        <f>100*(LN(data2018!BE24)-LN(data2018!BE23))</f>
        <v>1.5930385183166251</v>
      </c>
      <c r="J23" s="8">
        <f>100*(LN(data2018!BF24)-LN(data2018!BF23))</f>
        <v>0.82539888672048534</v>
      </c>
      <c r="K23" s="8">
        <f t="shared" si="0"/>
        <v>-1.4661841235475759</v>
      </c>
      <c r="L23" s="8">
        <f t="shared" si="1"/>
        <v>-1.466184123547559</v>
      </c>
      <c r="M23" s="10">
        <f t="shared" si="2"/>
        <v>-2.044217657097863</v>
      </c>
      <c r="N23" s="10">
        <f t="shared" si="3"/>
        <v>-2.8118572886940028</v>
      </c>
      <c r="O23" s="10">
        <f>100*(LN(data2018!C24)-LN(data2018!C23))</f>
        <v>0.57803353355030396</v>
      </c>
      <c r="P23" s="10">
        <f>100*(LN(data2018!H24)-LN(data2018!H23))</f>
        <v>1.3456731651464438</v>
      </c>
    </row>
    <row r="24" spans="1:16" x14ac:dyDescent="0.25">
      <c r="A24" s="1">
        <v>1983</v>
      </c>
      <c r="B24" s="8">
        <f>100*(LN(data2018!O25)-LN(data2018!O24))</f>
        <v>2.4430889966062352</v>
      </c>
      <c r="C24" s="8">
        <f>100*(LN(data2018!V25)-LN(data2018!V24))</f>
        <v>1.9960201756137663</v>
      </c>
      <c r="D24" s="8">
        <f>100*(LN(data2018!X25)-LN(data2018!X24))</f>
        <v>1.0910459908961487</v>
      </c>
      <c r="E24" s="8">
        <f>100*(LN(data2018!CC25)-LN(data2018!CC24))</f>
        <v>7.8775493594122894</v>
      </c>
      <c r="F24" s="8">
        <f>100*(LN(data2018!CJ25)-LN(data2018!CJ24))</f>
        <v>-1.2505976462320101</v>
      </c>
      <c r="G24" s="8">
        <f>100*(LN(data2018!BB25)-LN(data2018!BB24))</f>
        <v>9.0376386898146421</v>
      </c>
      <c r="H24" s="8">
        <f>100*(LN(data2018!BC25)-LN(data2018!BC24))</f>
        <v>-9.0508315829751496E-2</v>
      </c>
      <c r="I24" s="8">
        <f>100*(LN(data2018!BE25)-LN(data2018!BE24))</f>
        <v>-0.5375771368221649</v>
      </c>
      <c r="J24" s="8">
        <f>100*(LN(data2018!BF25)-LN(data2018!BF24))</f>
        <v>-1.4425513215396535</v>
      </c>
      <c r="K24" s="8">
        <f t="shared" si="0"/>
        <v>1.1600893304023527</v>
      </c>
      <c r="L24" s="8">
        <f t="shared" si="1"/>
        <v>1.1600893304022586</v>
      </c>
      <c r="M24" s="10">
        <f t="shared" si="2"/>
        <v>0.71302050940984518</v>
      </c>
      <c r="N24" s="10">
        <f t="shared" si="3"/>
        <v>-0.1919536753076434</v>
      </c>
      <c r="O24" s="10">
        <f>100*(LN(data2018!C25)-LN(data2018!C24))</f>
        <v>0.44706882099241341</v>
      </c>
      <c r="P24" s="10">
        <f>100*(LN(data2018!H25)-LN(data2018!H24))</f>
        <v>1.3520430057100796</v>
      </c>
    </row>
    <row r="25" spans="1:16" x14ac:dyDescent="0.25">
      <c r="A25" s="1">
        <v>1984</v>
      </c>
      <c r="B25" s="8">
        <f>100*(LN(data2018!O26)-LN(data2018!O25))</f>
        <v>1.2564917869402947</v>
      </c>
      <c r="C25" s="8">
        <f>100*(LN(data2018!V26)-LN(data2018!V25))</f>
        <v>0.77953703260783547</v>
      </c>
      <c r="D25" s="8">
        <f>100*(LN(data2018!X26)-LN(data2018!X25))</f>
        <v>-6.4341797048152183E-2</v>
      </c>
      <c r="E25" s="8">
        <f>100*(LN(data2018!CC26)-LN(data2018!CC25))</f>
        <v>7.2234755273541058</v>
      </c>
      <c r="F25" s="8">
        <f>100*(LN(data2018!CJ26)-LN(data2018!CJ25))</f>
        <v>-0.38621642092606656</v>
      </c>
      <c r="G25" s="8">
        <f>100*(LN(data2018!BB26)-LN(data2018!BB25))</f>
        <v>6.4410811669024071</v>
      </c>
      <c r="H25" s="8">
        <f>100*(LN(data2018!BC26)-LN(data2018!BC25))</f>
        <v>-1.1686107813776658</v>
      </c>
      <c r="I25" s="8">
        <f>100*(LN(data2018!BE26)-LN(data2018!BE25))</f>
        <v>-1.6455655357100696</v>
      </c>
      <c r="J25" s="8">
        <f>100*(LN(data2018!BF26)-LN(data2018!BF25))</f>
        <v>-2.4894443653661114</v>
      </c>
      <c r="K25" s="8">
        <f t="shared" si="0"/>
        <v>-0.78239436045169874</v>
      </c>
      <c r="L25" s="8">
        <f t="shared" si="1"/>
        <v>-0.78239436045159927</v>
      </c>
      <c r="M25" s="10">
        <f t="shared" si="2"/>
        <v>-1.259349114784003</v>
      </c>
      <c r="N25" s="10">
        <f t="shared" si="3"/>
        <v>-2.1032279444400448</v>
      </c>
      <c r="O25" s="10">
        <f>100*(LN(data2018!C26)-LN(data2018!C25))</f>
        <v>0.47695475433240375</v>
      </c>
      <c r="P25" s="10">
        <f>100*(LN(data2018!H26)-LN(data2018!H25))</f>
        <v>1.3208335839882679</v>
      </c>
    </row>
    <row r="26" spans="1:16" x14ac:dyDescent="0.25">
      <c r="A26" s="1">
        <v>1985</v>
      </c>
      <c r="B26" s="8">
        <f>100*(LN(data2018!O27)-LN(data2018!O26))</f>
        <v>-0.58880563819005971</v>
      </c>
      <c r="C26" s="8">
        <f>100*(LN(data2018!V27)-LN(data2018!V26))</f>
        <v>-1.0481323945448984</v>
      </c>
      <c r="D26" s="8">
        <f>100*(LN(data2018!X27)-LN(data2018!X26))</f>
        <v>-1.8103988176959378</v>
      </c>
      <c r="E26" s="8">
        <f>100*(LN(data2018!CC27)-LN(data2018!CC26))</f>
        <v>9.3884335126564356</v>
      </c>
      <c r="F26" s="8">
        <f>100*(LN(data2018!CJ27)-LN(data2018!CJ26))</f>
        <v>3.375801717079602</v>
      </c>
      <c r="G26" s="8">
        <f>100*(LN(data2018!BB27)-LN(data2018!BB26))</f>
        <v>6.7532299025984344</v>
      </c>
      <c r="H26" s="8">
        <f>100*(LN(data2018!BC27)-LN(data2018!BC26))</f>
        <v>0.7405981070215617</v>
      </c>
      <c r="I26" s="8">
        <f>100*(LN(data2018!BE27)-LN(data2018!BE26))</f>
        <v>0.28127135066657871</v>
      </c>
      <c r="J26" s="8">
        <f>100*(LN(data2018!BF27)-LN(data2018!BF26))</f>
        <v>-0.48099507248462459</v>
      </c>
      <c r="K26" s="8">
        <f t="shared" si="0"/>
        <v>-2.6352036100580012</v>
      </c>
      <c r="L26" s="8">
        <f t="shared" si="1"/>
        <v>-2.6352036100580403</v>
      </c>
      <c r="M26" s="10">
        <f t="shared" si="2"/>
        <v>-3.0945303664130233</v>
      </c>
      <c r="N26" s="10">
        <f t="shared" si="3"/>
        <v>-3.8567967895642266</v>
      </c>
      <c r="O26" s="10">
        <f>100*(LN(data2018!C27)-LN(data2018!C26))</f>
        <v>0.45932675635498299</v>
      </c>
      <c r="P26" s="10">
        <f>100*(LN(data2018!H27)-LN(data2018!H26))</f>
        <v>1.2215931795061863</v>
      </c>
    </row>
    <row r="27" spans="1:16" x14ac:dyDescent="0.25">
      <c r="A27" s="1">
        <v>1986</v>
      </c>
      <c r="B27" s="8">
        <f>100*(LN(data2018!O28)-LN(data2018!O27))</f>
        <v>5.3582330030694791</v>
      </c>
      <c r="C27" s="8">
        <f>100*(LN(data2018!V28)-LN(data2018!V27))</f>
        <v>4.8711771291819144</v>
      </c>
      <c r="D27" s="8">
        <f>100*(LN(data2018!X28)-LN(data2018!X27))</f>
        <v>4.1958638385669484</v>
      </c>
      <c r="E27" s="8">
        <f>100*(LN(data2018!CC28)-LN(data2018!CC27))</f>
        <v>-5.6225764498126161</v>
      </c>
      <c r="F27" s="8">
        <f>100*(LN(data2018!CJ28)-LN(data2018!CJ27))</f>
        <v>-8.2859706228346486</v>
      </c>
      <c r="G27" s="8">
        <f>100*(LN(data2018!BB28)-LN(data2018!BB27))</f>
        <v>5.2009453651550075</v>
      </c>
      <c r="H27" s="8">
        <f>100*(LN(data2018!BC28)-LN(data2018!BC27))</f>
        <v>2.5375511921330585</v>
      </c>
      <c r="I27" s="8">
        <f>100*(LN(data2018!BE28)-LN(data2018!BE27))</f>
        <v>2.0504953182454599</v>
      </c>
      <c r="J27" s="8">
        <f>100*(LN(data2018!BF28)-LN(data2018!BF27))</f>
        <v>1.3751820276306503</v>
      </c>
      <c r="K27" s="8">
        <f t="shared" si="0"/>
        <v>10.823521814967624</v>
      </c>
      <c r="L27" s="8">
        <f t="shared" si="1"/>
        <v>10.823521814967707</v>
      </c>
      <c r="M27" s="10">
        <f t="shared" si="2"/>
        <v>10.336465941080109</v>
      </c>
      <c r="N27" s="10">
        <f t="shared" si="3"/>
        <v>9.6611526504652989</v>
      </c>
      <c r="O27" s="10">
        <f>100*(LN(data2018!C28)-LN(data2018!C27))</f>
        <v>0.48705587388742089</v>
      </c>
      <c r="P27" s="10">
        <f>100*(LN(data2018!H28)-LN(data2018!H27))</f>
        <v>1.1623691645024081</v>
      </c>
    </row>
    <row r="28" spans="1:16" x14ac:dyDescent="0.25">
      <c r="A28" s="1">
        <v>1987</v>
      </c>
      <c r="B28" s="8">
        <f>100*(LN(data2018!O29)-LN(data2018!O28))</f>
        <v>2.9226200358872134</v>
      </c>
      <c r="C28" s="8">
        <f>100*(LN(data2018!V29)-LN(data2018!V28))</f>
        <v>2.4132283521173914</v>
      </c>
      <c r="D28" s="8">
        <f>100*(LN(data2018!X29)-LN(data2018!X28))</f>
        <v>1.7913414791299043</v>
      </c>
      <c r="E28" s="8">
        <f>100*(LN(data2018!CC29)-LN(data2018!CC28))</f>
        <v>-12.883289982531283</v>
      </c>
      <c r="F28" s="8">
        <f>100*(LN(data2018!CJ29)-LN(data2018!CJ28))</f>
        <v>-15.83779286561364</v>
      </c>
      <c r="G28" s="8">
        <f>100*(LN(data2018!BB29)-LN(data2018!BB28))</f>
        <v>4.2828009137924283</v>
      </c>
      <c r="H28" s="8">
        <f>100*(LN(data2018!BC29)-LN(data2018!BC28))</f>
        <v>1.3282980307099734</v>
      </c>
      <c r="I28" s="8">
        <f>100*(LN(data2018!BE29)-LN(data2018!BE28))</f>
        <v>0.81890634694037345</v>
      </c>
      <c r="J28" s="8">
        <f>100*(LN(data2018!BF29)-LN(data2018!BF28))</f>
        <v>0.1970194739527642</v>
      </c>
      <c r="K28" s="8">
        <f t="shared" si="0"/>
        <v>17.166090896323709</v>
      </c>
      <c r="L28" s="8">
        <f t="shared" si="1"/>
        <v>17.166090896323613</v>
      </c>
      <c r="M28" s="10">
        <f t="shared" si="2"/>
        <v>16.656699212554013</v>
      </c>
      <c r="N28" s="10">
        <f t="shared" si="3"/>
        <v>16.034812339566404</v>
      </c>
      <c r="O28" s="10">
        <f>100*(LN(data2018!C29)-LN(data2018!C28))</f>
        <v>0.50939168376995525</v>
      </c>
      <c r="P28" s="10">
        <f>100*(LN(data2018!H29)-LN(data2018!H28))</f>
        <v>1.1312785567572092</v>
      </c>
    </row>
    <row r="29" spans="1:16" x14ac:dyDescent="0.25">
      <c r="A29" s="1">
        <v>1988</v>
      </c>
      <c r="B29" s="8">
        <f>100*(LN(data2018!O30)-LN(data2018!O29))</f>
        <v>3.1152678945328915</v>
      </c>
      <c r="C29" s="8">
        <f>100*(LN(data2018!V30)-LN(data2018!V29))</f>
        <v>2.5741422826747962</v>
      </c>
      <c r="D29" s="8">
        <f>100*(LN(data2018!X30)-LN(data2018!X29))</f>
        <v>2.0159731555457001</v>
      </c>
      <c r="E29" s="8">
        <f>100*(LN(data2018!CC30)-LN(data2018!CC29))</f>
        <v>0.17057297017804562</v>
      </c>
      <c r="F29" s="8">
        <f>100*(LN(data2018!CJ30)-LN(data2018!CJ29))</f>
        <v>-2.4847667982727284</v>
      </c>
      <c r="G29" s="8">
        <f>100*(LN(data2018!BB30)-LN(data2018!BB29))</f>
        <v>6.0432814463537099</v>
      </c>
      <c r="H29" s="8">
        <f>100*(LN(data2018!BC30)-LN(data2018!BC29))</f>
        <v>3.3879416779029725</v>
      </c>
      <c r="I29" s="8">
        <f>100*(LN(data2018!BE30)-LN(data2018!BE29))</f>
        <v>2.8468160660446884</v>
      </c>
      <c r="J29" s="8">
        <f>100*(LN(data2018!BF30)-LN(data2018!BF29))</f>
        <v>2.2886469389156616</v>
      </c>
      <c r="K29" s="8">
        <f t="shared" si="0"/>
        <v>5.8727084761756645</v>
      </c>
      <c r="L29" s="8">
        <f t="shared" si="1"/>
        <v>5.8727084761757009</v>
      </c>
      <c r="M29" s="10">
        <f t="shared" si="2"/>
        <v>5.3315828643174168</v>
      </c>
      <c r="N29" s="10">
        <f t="shared" si="3"/>
        <v>4.77341373718839</v>
      </c>
      <c r="O29" s="10">
        <f>100*(LN(data2018!C30)-LN(data2018!C29))</f>
        <v>0.54112561185810648</v>
      </c>
      <c r="P29" s="10">
        <f>100*(LN(data2018!H30)-LN(data2018!H29))</f>
        <v>1.0992947389873109</v>
      </c>
    </row>
    <row r="30" spans="1:16" x14ac:dyDescent="0.25">
      <c r="A30" s="3">
        <v>1989</v>
      </c>
      <c r="B30" s="8">
        <f>100*(LN(data2018!O31)-LN(data2018!O30))</f>
        <v>7.022425354123385</v>
      </c>
      <c r="C30" s="8">
        <f>100*(LN(data2018!V31)-LN(data2018!V30))</f>
        <v>6.4779868205165343</v>
      </c>
      <c r="D30" s="8">
        <f>100*(LN(data2018!X31)-LN(data2018!X30))</f>
        <v>5.9634368606808934</v>
      </c>
      <c r="E30" s="8">
        <f>100*(LN(data2018!CC31)-LN(data2018!CC30))</f>
        <v>4.5674501420320812</v>
      </c>
      <c r="F30" s="8">
        <f>100*(LN(data2018!CJ31)-LN(data2018!CJ30))</f>
        <v>0.80455590034313462</v>
      </c>
      <c r="G30" s="8">
        <f>100*(LN(data2018!BB31)-LN(data2018!BB30))</f>
        <v>7.307190588516832</v>
      </c>
      <c r="H30" s="8">
        <f>100*(LN(data2018!BC31)-LN(data2018!BC30))</f>
        <v>3.5442963468279132</v>
      </c>
      <c r="I30" s="8">
        <f>100*(LN(data2018!BE31)-LN(data2018!BE30))</f>
        <v>2.9998578132211406</v>
      </c>
      <c r="J30" s="8">
        <f>100*(LN(data2018!BF31)-LN(data2018!BF30))</f>
        <v>2.4853078533855211</v>
      </c>
      <c r="K30" s="8">
        <f t="shared" si="0"/>
        <v>2.7397404464847508</v>
      </c>
      <c r="L30" s="8">
        <f t="shared" si="1"/>
        <v>2.7397404464847783</v>
      </c>
      <c r="M30" s="10">
        <f t="shared" si="2"/>
        <v>2.1953019128780058</v>
      </c>
      <c r="N30" s="10">
        <f t="shared" si="3"/>
        <v>1.6807519530423864</v>
      </c>
      <c r="O30" s="10">
        <f>100*(LN(data2018!C31)-LN(data2018!C30))</f>
        <v>0.54443853360677252</v>
      </c>
      <c r="P30" s="10">
        <f>100*(LN(data2018!H31)-LN(data2018!H30))</f>
        <v>1.0589884934423921</v>
      </c>
    </row>
    <row r="31" spans="1:16" x14ac:dyDescent="0.25">
      <c r="A31" s="1">
        <v>1990</v>
      </c>
      <c r="B31" s="8">
        <f>100*(LN(data2018!O32)-LN(data2018!O31))</f>
        <v>-3.951694470880085</v>
      </c>
      <c r="C31" s="8">
        <f>100*(LN(data2018!V32)-LN(data2018!V31))</f>
        <v>-4.4166334806157508</v>
      </c>
      <c r="D31" s="8">
        <f>100*(LN(data2018!X32)-LN(data2018!X31))</f>
        <v>-5.1082403005869939</v>
      </c>
      <c r="E31" s="8">
        <f>100*(LN(data2018!CC32)-LN(data2018!CC31))</f>
        <v>1.2669548259730878</v>
      </c>
      <c r="F31" s="8">
        <f>100*(LN(data2018!CJ32)-LN(data2018!CJ31))</f>
        <v>-1.5642955317142686</v>
      </c>
      <c r="G31" s="8">
        <f>100*(LN(data2018!BB32)-LN(data2018!BB31))</f>
        <v>6.475577744832961</v>
      </c>
      <c r="H31" s="8">
        <f>100*(LN(data2018!BC32)-LN(data2018!BC31))</f>
        <v>3.6443273871455517</v>
      </c>
      <c r="I31" s="8">
        <f>100*(LN(data2018!BE32)-LN(data2018!BE31))</f>
        <v>3.1793883774099641</v>
      </c>
      <c r="J31" s="8">
        <f>100*(LN(data2018!BF32)-LN(data2018!BF31))</f>
        <v>2.487781557438673</v>
      </c>
      <c r="K31" s="8">
        <f t="shared" si="0"/>
        <v>5.2086229188598736</v>
      </c>
      <c r="L31" s="8">
        <f t="shared" si="1"/>
        <v>5.2086229188598203</v>
      </c>
      <c r="M31" s="10">
        <f t="shared" si="2"/>
        <v>4.7436839091242327</v>
      </c>
      <c r="N31" s="10">
        <f t="shared" si="3"/>
        <v>4.0520770891529416</v>
      </c>
      <c r="O31" s="10">
        <f>100*(LN(data2018!C32)-LN(data2018!C31))</f>
        <v>0.46493900973558766</v>
      </c>
      <c r="P31" s="10">
        <f>100*(LN(data2018!H32)-LN(data2018!H31))</f>
        <v>1.1565458297068787</v>
      </c>
    </row>
    <row r="32" spans="1:16" x14ac:dyDescent="0.25">
      <c r="A32" s="1">
        <v>1991</v>
      </c>
      <c r="B32" s="8">
        <f>100*(LN(data2018!O33)-LN(data2018!O32))</f>
        <v>0.70301062844304596</v>
      </c>
      <c r="C32" s="8">
        <f>100*(LN(data2018!V33)-LN(data2018!V32))</f>
        <v>0.22934730805068693</v>
      </c>
      <c r="D32" s="8">
        <f>100*(LN(data2018!X33)-LN(data2018!X32))</f>
        <v>-0.5132167952729777</v>
      </c>
      <c r="E32" s="8">
        <f>100*(LN(data2018!CC33)-LN(data2018!CC32))</f>
        <v>3.7974968784585119</v>
      </c>
      <c r="F32" s="8">
        <f>100*(LN(data2018!CJ33)-LN(data2018!CJ32))</f>
        <v>1.1020846143984484</v>
      </c>
      <c r="G32" s="8">
        <f>100*(LN(data2018!BB33)-LN(data2018!BB32))</f>
        <v>4.1953954826524864</v>
      </c>
      <c r="H32" s="8">
        <f>100*(LN(data2018!BC33)-LN(data2018!BC32))</f>
        <v>1.4999832185923268</v>
      </c>
      <c r="I32" s="8">
        <f>100*(LN(data2018!BE33)-LN(data2018!BE32))</f>
        <v>1.0263198981999011</v>
      </c>
      <c r="J32" s="8">
        <f>100*(LN(data2018!BF33)-LN(data2018!BF32))</f>
        <v>0.28375579487622815</v>
      </c>
      <c r="K32" s="8">
        <f t="shared" si="0"/>
        <v>0.39789860419397449</v>
      </c>
      <c r="L32" s="8">
        <f t="shared" si="1"/>
        <v>0.39789860419387835</v>
      </c>
      <c r="M32" s="10">
        <f t="shared" si="2"/>
        <v>-7.5764716198547299E-2</v>
      </c>
      <c r="N32" s="10">
        <f t="shared" si="3"/>
        <v>-0.81832881952222025</v>
      </c>
      <c r="O32" s="10">
        <f>100*(LN(data2018!C33)-LN(data2018!C32))</f>
        <v>0.47366332039242565</v>
      </c>
      <c r="P32" s="10">
        <f>100*(LN(data2018!H33)-LN(data2018!H32))</f>
        <v>1.2162274237160986</v>
      </c>
    </row>
    <row r="33" spans="1:16" x14ac:dyDescent="0.25">
      <c r="A33" s="1">
        <v>1992</v>
      </c>
      <c r="B33" s="8">
        <f>100*(LN(data2018!O34)-LN(data2018!O33))</f>
        <v>2.0130756834568331</v>
      </c>
      <c r="C33" s="8">
        <f>100*(LN(data2018!V34)-LN(data2018!V33))</f>
        <v>1.5612428195481143</v>
      </c>
      <c r="D33" s="8">
        <f>100*(LN(data2018!X34)-LN(data2018!X33))</f>
        <v>0.87056896726865063</v>
      </c>
      <c r="E33" s="8">
        <f>100*(LN(data2018!CC34)-LN(data2018!CC33))</f>
        <v>-2.4727023640964574</v>
      </c>
      <c r="F33" s="8">
        <f>100*(LN(data2018!CJ34)-LN(data2018!CJ33))</f>
        <v>-5.0133603352675236</v>
      </c>
      <c r="G33" s="8">
        <f>100*(LN(data2018!BB34)-LN(data2018!BB33))</f>
        <v>4.5638415478908456</v>
      </c>
      <c r="H33" s="8">
        <f>100*(LN(data2018!BC34)-LN(data2018!BC33))</f>
        <v>2.0231835767200224</v>
      </c>
      <c r="I33" s="8">
        <f>100*(LN(data2018!BE34)-LN(data2018!BE33))</f>
        <v>1.5713507128111814</v>
      </c>
      <c r="J33" s="8">
        <f>100*(LN(data2018!BF34)-LN(data2018!BF33))</f>
        <v>0.88067686053179273</v>
      </c>
      <c r="K33" s="8">
        <f t="shared" si="0"/>
        <v>7.0365439119873034</v>
      </c>
      <c r="L33" s="8">
        <f t="shared" si="1"/>
        <v>7.0365439119875459</v>
      </c>
      <c r="M33" s="10">
        <f t="shared" si="2"/>
        <v>6.584711048078705</v>
      </c>
      <c r="N33" s="10">
        <f t="shared" si="3"/>
        <v>5.8940371957993163</v>
      </c>
      <c r="O33" s="10">
        <f>100*(LN(data2018!C34)-LN(data2018!C33))</f>
        <v>0.45183286390866328</v>
      </c>
      <c r="P33" s="10">
        <f>100*(LN(data2018!H34)-LN(data2018!H33))</f>
        <v>1.1425067161882296</v>
      </c>
    </row>
    <row r="34" spans="1:16" x14ac:dyDescent="0.25">
      <c r="A34" s="1">
        <v>1993</v>
      </c>
      <c r="B34" s="8">
        <f>100*(LN(data2018!O35)-LN(data2018!O34))</f>
        <v>0.86100711128462848</v>
      </c>
      <c r="C34" s="8">
        <f>100*(LN(data2018!V35)-LN(data2018!V34))</f>
        <v>0.52020821525988747</v>
      </c>
      <c r="D34" s="8">
        <f>100*(LN(data2018!X35)-LN(data2018!X34))</f>
        <v>-0.25292309390665679</v>
      </c>
      <c r="E34" s="8">
        <f>100*(LN(data2018!CC35)-LN(data2018!CC34))</f>
        <v>2.4092609539125123</v>
      </c>
      <c r="F34" s="8">
        <f>100*(LN(data2018!CJ35)-LN(data2018!CJ34))</f>
        <v>0.91899091320992587</v>
      </c>
      <c r="G34" s="8">
        <f>100*(LN(data2018!BB35)-LN(data2018!BB34))</f>
        <v>2.1308735434843129</v>
      </c>
      <c r="H34" s="8">
        <f>100*(LN(data2018!BC35)-LN(data2018!BC34))</f>
        <v>0.64060350278154488</v>
      </c>
      <c r="I34" s="8">
        <f>100*(LN(data2018!BE35)-LN(data2018!BE34))</f>
        <v>0.29980460675709253</v>
      </c>
      <c r="J34" s="8">
        <f>100*(LN(data2018!BF35)-LN(data2018!BF34))</f>
        <v>-0.47332670240969321</v>
      </c>
      <c r="K34" s="8">
        <f t="shared" si="0"/>
        <v>-0.27838741042819937</v>
      </c>
      <c r="L34" s="8">
        <f t="shared" si="1"/>
        <v>-0.278387410428381</v>
      </c>
      <c r="M34" s="10">
        <f t="shared" si="2"/>
        <v>-0.61918630645283335</v>
      </c>
      <c r="N34" s="10">
        <f t="shared" si="3"/>
        <v>-1.3923176156196191</v>
      </c>
      <c r="O34" s="10">
        <f>100*(LN(data2018!C35)-LN(data2018!C34))</f>
        <v>0.34079889602480762</v>
      </c>
      <c r="P34" s="10">
        <f>100*(LN(data2018!H35)-LN(data2018!H34))</f>
        <v>1.1139302051912381</v>
      </c>
    </row>
    <row r="35" spans="1:16" x14ac:dyDescent="0.25">
      <c r="A35" s="1">
        <v>1994</v>
      </c>
      <c r="B35" s="8">
        <f>100*(LN(data2018!O36)-LN(data2018!O35))</f>
        <v>1.3812475232644061</v>
      </c>
      <c r="C35" s="8">
        <f>100*(LN(data2018!V36)-LN(data2018!V35))</f>
        <v>1.0560113789203074</v>
      </c>
      <c r="D35" s="8">
        <f>100*(LN(data2018!X36)-LN(data2018!X35))</f>
        <v>0.25795128310183157</v>
      </c>
      <c r="E35" s="8">
        <f>100*(LN(data2018!CC36)-LN(data2018!CC35))</f>
        <v>2.349554691090411</v>
      </c>
      <c r="F35" s="8">
        <f>100*(LN(data2018!CJ36)-LN(data2018!CJ35))</f>
        <v>1.4257691151706899</v>
      </c>
      <c r="G35" s="8">
        <f>100*(LN(data2018!BB36)-LN(data2018!BB35))</f>
        <v>1.6930731409127375</v>
      </c>
      <c r="H35" s="8">
        <f>100*(LN(data2018!BC36)-LN(data2018!BC35))</f>
        <v>0.76928756499317075</v>
      </c>
      <c r="I35" s="8">
        <f>100*(LN(data2018!BE36)-LN(data2018!BE35))</f>
        <v>0.44405142064896097</v>
      </c>
      <c r="J35" s="8">
        <f>100*(LN(data2018!BF36)-LN(data2018!BF35))</f>
        <v>-0.3540086751693039</v>
      </c>
      <c r="K35" s="8">
        <f t="shared" si="0"/>
        <v>-0.65648155017767351</v>
      </c>
      <c r="L35" s="8">
        <f t="shared" si="1"/>
        <v>-0.65648155017751919</v>
      </c>
      <c r="M35" s="10">
        <f t="shared" si="2"/>
        <v>-0.98171769452172897</v>
      </c>
      <c r="N35" s="10">
        <f t="shared" si="3"/>
        <v>-1.7797777903399938</v>
      </c>
      <c r="O35" s="10">
        <f>100*(LN(data2018!C36)-LN(data2018!C35))</f>
        <v>0.32523614434403214</v>
      </c>
      <c r="P35" s="10">
        <f>100*(LN(data2018!H36)-LN(data2018!H35))</f>
        <v>1.1232962401624746</v>
      </c>
    </row>
    <row r="36" spans="1:16" x14ac:dyDescent="0.25">
      <c r="A36" s="4">
        <v>1995</v>
      </c>
      <c r="B36" s="8">
        <f>100*(LN(data2018!O37)-LN(data2018!O36))</f>
        <v>0.4309180863749873</v>
      </c>
      <c r="C36" s="8">
        <f>100*(LN(data2018!V37)-LN(data2018!V36))</f>
        <v>0.11381800605466674</v>
      </c>
      <c r="D36" s="8">
        <f>100*(LN(data2018!X37)-LN(data2018!X36))</f>
        <v>-0.70388344758295918</v>
      </c>
      <c r="E36" s="8">
        <f>100*(LN(data2018!CC37)-LN(data2018!CC36))</f>
        <v>2.3114880320938891</v>
      </c>
      <c r="F36" s="8">
        <f>100*(LN(data2018!CJ37)-LN(data2018!CJ36))</f>
        <v>1.3973714616530049</v>
      </c>
      <c r="G36" s="8">
        <f>100*(LN(data2018!BB37)-LN(data2018!BB36))</f>
        <v>3.3103550625547484</v>
      </c>
      <c r="H36" s="8">
        <f>100*(LN(data2018!BC37)-LN(data2018!BC36))</f>
        <v>2.3962384921137669</v>
      </c>
      <c r="I36" s="8">
        <f>100*(LN(data2018!BE37)-LN(data2018!BE36))</f>
        <v>2.0791384117934797</v>
      </c>
      <c r="J36" s="8">
        <f>100*(LN(data2018!BF37)-LN(data2018!BF36))</f>
        <v>1.2614369581557483</v>
      </c>
      <c r="K36" s="8">
        <f t="shared" si="0"/>
        <v>0.99886703046085934</v>
      </c>
      <c r="L36" s="8">
        <f t="shared" si="1"/>
        <v>0.99886703046076208</v>
      </c>
      <c r="M36" s="10">
        <f t="shared" si="2"/>
        <v>0.68176695014047484</v>
      </c>
      <c r="N36" s="10">
        <f t="shared" si="3"/>
        <v>-0.13593450349725655</v>
      </c>
      <c r="O36" s="10">
        <f>100*(LN(data2018!C37)-LN(data2018!C36))</f>
        <v>0.31710008032046488</v>
      </c>
      <c r="P36" s="10">
        <f>100*(LN(data2018!H37)-LN(data2018!H36))</f>
        <v>1.1348015339580186</v>
      </c>
    </row>
    <row r="37" spans="1:16" x14ac:dyDescent="0.25">
      <c r="A37" s="4">
        <v>1996</v>
      </c>
      <c r="B37" s="8">
        <f>100*(LN(data2018!O38)-LN(data2018!O37))</f>
        <v>-2.1682567300906896E-2</v>
      </c>
      <c r="C37" s="8">
        <f>100*(LN(data2018!V38)-LN(data2018!V37))</f>
        <v>-0.33199032618325131</v>
      </c>
      <c r="D37" s="8">
        <f>100*(LN(data2018!X38)-LN(data2018!X37))</f>
        <v>-1.1166448420868447</v>
      </c>
      <c r="E37" s="8">
        <f>100*(LN(data2018!CC38)-LN(data2018!CC37))</f>
        <v>6.1128804714569132</v>
      </c>
      <c r="F37" s="8">
        <f>100*(LN(data2018!CJ38)-LN(data2018!CJ37))</f>
        <v>4.5730271430330216</v>
      </c>
      <c r="G37" s="8">
        <f>100*(LN(data2018!BB38)-LN(data2018!BB37))</f>
        <v>2.4087210048735486</v>
      </c>
      <c r="H37" s="8">
        <f>100*(LN(data2018!BC38)-LN(data2018!BC37))</f>
        <v>0.86886767644962504</v>
      </c>
      <c r="I37" s="8">
        <f>100*(LN(data2018!BE38)-LN(data2018!BE37))</f>
        <v>0.55855991756725842</v>
      </c>
      <c r="J37" s="8">
        <f>100*(LN(data2018!BF38)-LN(data2018!BF37))</f>
        <v>-0.22609459833642376</v>
      </c>
      <c r="K37" s="8">
        <f t="shared" si="0"/>
        <v>-3.7041594665833646</v>
      </c>
      <c r="L37" s="8">
        <f t="shared" si="1"/>
        <v>-3.7041594665833966</v>
      </c>
      <c r="M37" s="10">
        <f t="shared" si="2"/>
        <v>-4.0144672254657632</v>
      </c>
      <c r="N37" s="10">
        <f t="shared" si="3"/>
        <v>-4.7991217413694454</v>
      </c>
      <c r="O37" s="10">
        <f>100*(LN(data2018!C38)-LN(data2018!C37))</f>
        <v>0.31030775888236661</v>
      </c>
      <c r="P37" s="10">
        <f>100*(LN(data2018!H38)-LN(data2018!H37))</f>
        <v>1.0949622747860488</v>
      </c>
    </row>
    <row r="38" spans="1:16" x14ac:dyDescent="0.25">
      <c r="A38" s="4">
        <v>1997</v>
      </c>
      <c r="B38" s="8">
        <f>100*(LN(data2018!O39)-LN(data2018!O38))</f>
        <v>0.73458254055935868</v>
      </c>
      <c r="C38" s="8">
        <f>100*(LN(data2018!V39)-LN(data2018!V38))</f>
        <v>0.42028596017608111</v>
      </c>
      <c r="D38" s="8">
        <f>100*(LN(data2018!X39)-LN(data2018!X38))</f>
        <v>-0.32935938283698007</v>
      </c>
      <c r="E38" s="8">
        <f>100*(LN(data2018!CC39)-LN(data2018!CC38))</f>
        <v>2.6996273215238675</v>
      </c>
      <c r="F38" s="8">
        <f>100*(LN(data2018!CJ39)-LN(data2018!CJ38))</f>
        <v>1.930795580476917</v>
      </c>
      <c r="G38" s="8">
        <f>100*(LN(data2018!BB39)-LN(data2018!BB38))</f>
        <v>2.6255305003903828</v>
      </c>
      <c r="H38" s="8">
        <f>100*(LN(data2018!BC39)-LN(data2018!BC38))</f>
        <v>1.8566987593434447</v>
      </c>
      <c r="I38" s="8">
        <f>100*(LN(data2018!BE39)-LN(data2018!BE38))</f>
        <v>1.5424021789600673</v>
      </c>
      <c r="J38" s="8">
        <f>100*(LN(data2018!BF39)-LN(data2018!BF38))</f>
        <v>0.79275683594719482</v>
      </c>
      <c r="K38" s="8">
        <f t="shared" si="0"/>
        <v>-7.4096821133484703E-2</v>
      </c>
      <c r="L38" s="8">
        <f t="shared" si="1"/>
        <v>-7.4096821133472268E-2</v>
      </c>
      <c r="M38" s="10">
        <f t="shared" si="2"/>
        <v>-0.38839340151684976</v>
      </c>
      <c r="N38" s="10">
        <f t="shared" si="3"/>
        <v>-1.1380387445297222</v>
      </c>
      <c r="O38" s="10">
        <f>100*(LN(data2018!C39)-LN(data2018!C38))</f>
        <v>0.31429658038319985</v>
      </c>
      <c r="P38" s="10">
        <f>100*(LN(data2018!H39)-LN(data2018!H38))</f>
        <v>1.0639419233962499</v>
      </c>
    </row>
    <row r="39" spans="1:16" x14ac:dyDescent="0.25">
      <c r="A39" s="4">
        <v>1998</v>
      </c>
      <c r="B39" s="8">
        <f>100*(LN(data2018!O40)-LN(data2018!O39))</f>
        <v>2.1964867788822673</v>
      </c>
      <c r="C39" s="8">
        <f>100*(LN(data2018!V40)-LN(data2018!V39))</f>
        <v>1.8580301401284305</v>
      </c>
      <c r="D39" s="8">
        <f>100*(LN(data2018!X40)-LN(data2018!X39))</f>
        <v>1.1571798652494554</v>
      </c>
      <c r="E39" s="8">
        <f>100*(LN(data2018!CC40)-LN(data2018!CC39))</f>
        <v>-3.9453922449504351</v>
      </c>
      <c r="F39" s="8">
        <f>100*(LN(data2018!CJ40)-LN(data2018!CJ39))</f>
        <v>-4.1408216298394649</v>
      </c>
      <c r="G39" s="8">
        <f>100*(LN(data2018!BB40)-LN(data2018!BB39))</f>
        <v>3.4296677232921624</v>
      </c>
      <c r="H39" s="8">
        <f>100*(LN(data2018!BC40)-LN(data2018!BC39))</f>
        <v>3.2342383384031947</v>
      </c>
      <c r="I39" s="8">
        <f>100*(LN(data2018!BE40)-LN(data2018!BE39))</f>
        <v>2.895781699649369</v>
      </c>
      <c r="J39" s="8">
        <f>100*(LN(data2018!BF40)-LN(data2018!BF39))</f>
        <v>2.1949314247702745</v>
      </c>
      <c r="K39" s="8">
        <f t="shared" si="0"/>
        <v>7.3750599682425975</v>
      </c>
      <c r="L39" s="8">
        <f t="shared" si="1"/>
        <v>7.3750599682426596</v>
      </c>
      <c r="M39" s="10">
        <f t="shared" si="2"/>
        <v>7.0366033294888339</v>
      </c>
      <c r="N39" s="10">
        <f t="shared" si="3"/>
        <v>6.3357530546097394</v>
      </c>
      <c r="O39" s="10">
        <f>100*(LN(data2018!C40)-LN(data2018!C39))</f>
        <v>0.3384566387538257</v>
      </c>
      <c r="P39" s="10">
        <f>100*(LN(data2018!H40)-LN(data2018!H39))</f>
        <v>1.0393069136329203</v>
      </c>
    </row>
    <row r="40" spans="1:16" x14ac:dyDescent="0.25">
      <c r="A40" s="4">
        <v>1999</v>
      </c>
      <c r="B40" s="8">
        <f>100*(LN(data2018!O41)-LN(data2018!O40))</f>
        <v>0.98141012978167907</v>
      </c>
      <c r="C40" s="8">
        <f>100*(LN(data2018!V41)-LN(data2018!V40))</f>
        <v>0.3651829105619453</v>
      </c>
      <c r="D40" s="8">
        <f>100*(LN(data2018!X41)-LN(data2018!X40))</f>
        <v>-0.19520970224543022</v>
      </c>
      <c r="E40" s="8">
        <f>100*(LN(data2018!CC41)-LN(data2018!CC40))</f>
        <v>5.1160011122168196</v>
      </c>
      <c r="F40" s="8">
        <f>100*(LN(data2018!CJ41)-LN(data2018!CJ40))</f>
        <v>5.6284820668194131</v>
      </c>
      <c r="G40" s="8">
        <f>100*(LN(data2018!BB41)-LN(data2018!BB40))</f>
        <v>2.5074725222763661</v>
      </c>
      <c r="H40" s="8">
        <f>100*(LN(data2018!BC41)-LN(data2018!BC40))</f>
        <v>3.019953476879067</v>
      </c>
      <c r="I40" s="8">
        <f>100*(LN(data2018!BE41)-LN(data2018!BE40))</f>
        <v>2.4037262576593221</v>
      </c>
      <c r="J40" s="8">
        <f>100*(LN(data2018!BF41)-LN(data2018!BF40))</f>
        <v>1.8433336448520521</v>
      </c>
      <c r="K40" s="8">
        <f t="shared" si="0"/>
        <v>-2.6085285899404536</v>
      </c>
      <c r="L40" s="8">
        <f t="shared" si="1"/>
        <v>-2.6085285899403461</v>
      </c>
      <c r="M40" s="10">
        <f t="shared" si="2"/>
        <v>-3.224755809160091</v>
      </c>
      <c r="N40" s="10">
        <f t="shared" si="3"/>
        <v>-3.785148421967361</v>
      </c>
      <c r="O40" s="10">
        <f>100*(LN(data2018!C41)-LN(data2018!C40))</f>
        <v>0.61622721921974488</v>
      </c>
      <c r="P40" s="10">
        <f>100*(LN(data2018!H41)-LN(data2018!H40))</f>
        <v>1.1766198320270149</v>
      </c>
    </row>
    <row r="41" spans="1:16" x14ac:dyDescent="0.25">
      <c r="A41" s="4">
        <v>2000</v>
      </c>
      <c r="B41" s="8">
        <f>100*(LN(data2018!O42)-LN(data2018!O41))</f>
        <v>-1.4669333718483557</v>
      </c>
      <c r="C41" s="8">
        <f>100*(LN(data2018!V42)-LN(data2018!V41))</f>
        <v>-2.1583643510576289</v>
      </c>
      <c r="D41" s="8">
        <f>100*(LN(data2018!X42)-LN(data2018!X41))</f>
        <v>-2.8124412106148493</v>
      </c>
      <c r="E41" s="8">
        <f>100*(LN(data2018!CC42)-LN(data2018!CC41))</f>
        <v>15.24315352411813</v>
      </c>
      <c r="F41" s="8">
        <f>100*(LN(data2018!CJ42)-LN(data2018!CJ41))</f>
        <v>12.989947826597561</v>
      </c>
      <c r="G41" s="8">
        <f>100*(LN(data2018!BB42)-LN(data2018!BB41))</f>
        <v>5.5891331138340661</v>
      </c>
      <c r="H41" s="8">
        <f>100*(LN(data2018!BC42)-LN(data2018!BC41))</f>
        <v>3.3359274163132113</v>
      </c>
      <c r="I41" s="8">
        <f>100*(LN(data2018!BE42)-LN(data2018!BE41))</f>
        <v>2.644496437104138</v>
      </c>
      <c r="J41" s="8">
        <f>100*(LN(data2018!BF42)-LN(data2018!BF41))</f>
        <v>1.9904195775469091</v>
      </c>
      <c r="K41" s="8">
        <f t="shared" si="0"/>
        <v>-9.6540204102840637</v>
      </c>
      <c r="L41" s="8">
        <f t="shared" si="1"/>
        <v>-9.6540204102843497</v>
      </c>
      <c r="M41" s="10">
        <f t="shared" si="2"/>
        <v>-10.345451389493423</v>
      </c>
      <c r="N41" s="10">
        <f t="shared" si="3"/>
        <v>-10.999528249050652</v>
      </c>
      <c r="O41" s="10">
        <f>100*(LN(data2018!C42)-LN(data2018!C41))</f>
        <v>0.69143097920925101</v>
      </c>
      <c r="P41" s="10">
        <f>100*(LN(data2018!H42)-LN(data2018!H41))</f>
        <v>1.3455078387664798</v>
      </c>
    </row>
    <row r="42" spans="1:16" x14ac:dyDescent="0.25">
      <c r="A42" s="4">
        <v>2001</v>
      </c>
      <c r="B42" s="8">
        <f>100*(LN(data2018!O43)-LN(data2018!O42))</f>
        <v>2.6485391593642049</v>
      </c>
      <c r="C42" s="8">
        <f>100*(LN(data2018!V43)-LN(data2018!V42))</f>
        <v>1.9435033859169115</v>
      </c>
      <c r="D42" s="8">
        <f>100*(LN(data2018!X43)-LN(data2018!X42))</f>
        <v>1.2791219039708563</v>
      </c>
      <c r="E42" s="8">
        <f>100*(LN(data2018!CC43)-LN(data2018!CC42))</f>
        <v>-6.528442046079963</v>
      </c>
      <c r="F42" s="8">
        <f>100*(LN(data2018!CJ43)-LN(data2018!CJ42))</f>
        <v>-8.4289611190303919</v>
      </c>
      <c r="G42" s="8">
        <f>100*(LN(data2018!BB43)-LN(data2018!BB42))</f>
        <v>5.0467887970969016</v>
      </c>
      <c r="H42" s="8">
        <f>100*(LN(data2018!BC43)-LN(data2018!BC42))</f>
        <v>3.1462697241465776</v>
      </c>
      <c r="I42" s="8">
        <f>100*(LN(data2018!BE43)-LN(data2018!BE42))</f>
        <v>2.4412339506991287</v>
      </c>
      <c r="J42" s="8">
        <f>100*(LN(data2018!BF43)-LN(data2018!BF42))</f>
        <v>1.7768524687529208</v>
      </c>
      <c r="K42" s="8">
        <f t="shared" si="0"/>
        <v>11.575230843176865</v>
      </c>
      <c r="L42" s="8">
        <f t="shared" si="1"/>
        <v>11.575230843176969</v>
      </c>
      <c r="M42" s="10">
        <f t="shared" si="2"/>
        <v>10.870195069729521</v>
      </c>
      <c r="N42" s="10">
        <f t="shared" si="3"/>
        <v>10.205813587783313</v>
      </c>
      <c r="O42" s="10">
        <f>100*(LN(data2018!C43)-LN(data2018!C42))</f>
        <v>0.70503577344744883</v>
      </c>
      <c r="P42" s="10">
        <f>100*(LN(data2018!H43)-LN(data2018!H42))</f>
        <v>1.3694172553934791</v>
      </c>
    </row>
    <row r="43" spans="1:16" x14ac:dyDescent="0.25">
      <c r="A43" s="4">
        <v>2002</v>
      </c>
      <c r="B43" s="8">
        <f>100*(LN(data2018!O44)-LN(data2018!O43))</f>
        <v>-0.30615252409109672</v>
      </c>
      <c r="C43" s="8">
        <f>100*(LN(data2018!V44)-LN(data2018!V43))</f>
        <v>-1.0006203747893849</v>
      </c>
      <c r="D43" s="8">
        <f>100*(LN(data2018!X44)-LN(data2018!X43))</f>
        <v>-1.668416783086077</v>
      </c>
      <c r="E43" s="8">
        <f>100*(LN(data2018!CC44)-LN(data2018!CC43))</f>
        <v>-3.1062706130352851</v>
      </c>
      <c r="F43" s="8">
        <f>100*(LN(data2018!CJ44)-LN(data2018!CJ43))</f>
        <v>-4.1470895022325482</v>
      </c>
      <c r="G43" s="8">
        <f>100*(LN(data2018!BB44)-LN(data2018!BB43))</f>
        <v>3.9565269037705519</v>
      </c>
      <c r="H43" s="8">
        <f>100*(LN(data2018!BC44)-LN(data2018!BC43))</f>
        <v>2.9157080145733261</v>
      </c>
      <c r="I43" s="8">
        <f>100*(LN(data2018!BE44)-LN(data2018!BE43))</f>
        <v>2.2212401638750379</v>
      </c>
      <c r="J43" s="8">
        <f>100*(LN(data2018!BF44)-LN(data2018!BF43))</f>
        <v>1.5534437555785985</v>
      </c>
      <c r="K43" s="8">
        <f t="shared" si="0"/>
        <v>7.062797516805837</v>
      </c>
      <c r="L43" s="8">
        <f t="shared" si="1"/>
        <v>7.0627975168058743</v>
      </c>
      <c r="M43" s="10">
        <f t="shared" si="2"/>
        <v>6.3683296661075861</v>
      </c>
      <c r="N43" s="10">
        <f t="shared" si="3"/>
        <v>5.7005332578111467</v>
      </c>
      <c r="O43" s="10">
        <f>100*(LN(data2018!C44)-LN(data2018!C43))</f>
        <v>0.69446785069811057</v>
      </c>
      <c r="P43" s="10">
        <f>100*(LN(data2018!H44)-LN(data2018!H43))</f>
        <v>1.3622642589949052</v>
      </c>
    </row>
    <row r="44" spans="1:16" x14ac:dyDescent="0.25">
      <c r="A44" s="4">
        <v>2003</v>
      </c>
      <c r="B44" s="8">
        <f>100*(LN(data2018!O45)-LN(data2018!O44))</f>
        <v>-0.91369085839829722</v>
      </c>
      <c r="C44" s="8">
        <f>100*(LN(data2018!V45)-LN(data2018!V44))</f>
        <v>-1.5829399560890356</v>
      </c>
      <c r="D44" s="8">
        <f>100*(LN(data2018!X45)-LN(data2018!X44))</f>
        <v>-2.2290885440660797</v>
      </c>
      <c r="E44" s="8">
        <f>100*(LN(data2018!CC45)-LN(data2018!CC44))</f>
        <v>0.42069830764395189</v>
      </c>
      <c r="F44" s="8">
        <f>100*(LN(data2018!CJ45)-LN(data2018!CJ44))</f>
        <v>-1.2199586814531795</v>
      </c>
      <c r="G44" s="8">
        <f>100*(LN(data2018!BB45)-LN(data2018!BB44))</f>
        <v>2.5246458897678181</v>
      </c>
      <c r="H44" s="8">
        <f>100*(LN(data2018!BC45)-LN(data2018!BC44))</f>
        <v>0.88398890067065139</v>
      </c>
      <c r="I44" s="8">
        <f>100*(LN(data2018!BE45)-LN(data2018!BE44))</f>
        <v>0.21473980298001294</v>
      </c>
      <c r="J44" s="8">
        <f>100*(LN(data2018!BF45)-LN(data2018!BF44))</f>
        <v>-0.43140878499716706</v>
      </c>
      <c r="K44" s="8">
        <f t="shared" si="0"/>
        <v>2.1039475821238662</v>
      </c>
      <c r="L44" s="8">
        <f t="shared" si="1"/>
        <v>2.1039475821238307</v>
      </c>
      <c r="M44" s="10">
        <f t="shared" si="2"/>
        <v>1.4346984844331925</v>
      </c>
      <c r="N44" s="10">
        <f t="shared" si="3"/>
        <v>0.78854989645601248</v>
      </c>
      <c r="O44" s="10">
        <f>100*(LN(data2018!C45)-LN(data2018!C44))</f>
        <v>0.66924909769063845</v>
      </c>
      <c r="P44" s="10">
        <f>100*(LN(data2018!H45)-LN(data2018!H44))</f>
        <v>1.3153976856676408</v>
      </c>
    </row>
    <row r="45" spans="1:16" x14ac:dyDescent="0.25">
      <c r="A45" s="4">
        <v>2004</v>
      </c>
      <c r="B45" s="8">
        <f>100*(LN(data2018!O46)-LN(data2018!O45))</f>
        <v>-1.8067814201058852</v>
      </c>
      <c r="C45" s="8">
        <f>100*(LN(data2018!V46)-LN(data2018!V45))</f>
        <v>-2.5606303124700136</v>
      </c>
      <c r="D45" s="8">
        <f>100*(LN(data2018!X46)-LN(data2018!X45))</f>
        <v>-3.0802982034968966</v>
      </c>
      <c r="E45" s="8">
        <f>100*(LN(data2018!CC46)-LN(data2018!CC45))</f>
        <v>6.5205330519308573</v>
      </c>
      <c r="F45" s="8">
        <f>100*(LN(data2018!CJ46)-LN(data2018!CJ45))</f>
        <v>4.4450947082968328</v>
      </c>
      <c r="G45" s="8">
        <f>100*(LN(data2018!BB46)-LN(data2018!BB45))</f>
        <v>4.3679150816132051</v>
      </c>
      <c r="H45" s="8">
        <f>100*(LN(data2018!BC46)-LN(data2018!BC45))</f>
        <v>2.2924767379791433</v>
      </c>
      <c r="I45" s="8">
        <f>100*(LN(data2018!BE46)-LN(data2018!BE45))</f>
        <v>1.5386278456150038</v>
      </c>
      <c r="J45" s="8">
        <f>100*(LN(data2018!BF46)-LN(data2018!BF45))</f>
        <v>1.0189599545881833</v>
      </c>
      <c r="K45" s="8">
        <f t="shared" si="0"/>
        <v>-2.1526179703176522</v>
      </c>
      <c r="L45" s="8">
        <f t="shared" si="1"/>
        <v>-2.1526179703176895</v>
      </c>
      <c r="M45" s="10">
        <f t="shared" si="2"/>
        <v>-2.9064668626818291</v>
      </c>
      <c r="N45" s="10">
        <f t="shared" si="3"/>
        <v>-3.4261347537086495</v>
      </c>
      <c r="O45" s="10">
        <f>100*(LN(data2018!C46)-LN(data2018!C45))</f>
        <v>0.75384889236413954</v>
      </c>
      <c r="P45" s="10">
        <f>100*(LN(data2018!H46)-LN(data2018!H45))</f>
        <v>1.27351678339096</v>
      </c>
    </row>
    <row r="46" spans="1:16" x14ac:dyDescent="0.25">
      <c r="A46" s="4">
        <v>2005</v>
      </c>
      <c r="B46" s="8">
        <f>100*(LN(data2018!O47)-LN(data2018!O46))</f>
        <v>-2.2954116861743756</v>
      </c>
      <c r="C46" s="8">
        <f>100*(LN(data2018!V47)-LN(data2018!V46))</f>
        <v>-3.008815021909661</v>
      </c>
      <c r="D46" s="8">
        <f>100*(LN(data2018!X47)-LN(data2018!X46))</f>
        <v>-3.5121957167409317</v>
      </c>
      <c r="E46" s="8">
        <f>100*(LN(data2018!CC47)-LN(data2018!CC46))</f>
        <v>11.691764401383958</v>
      </c>
      <c r="F46" s="8">
        <f>100*(LN(data2018!CJ47)-LN(data2018!CJ46))</f>
        <v>9.8933331805859481</v>
      </c>
      <c r="G46" s="8">
        <f>100*(LN(data2018!BB47)-LN(data2018!BB46))</f>
        <v>2.8141694978282672</v>
      </c>
      <c r="H46" s="8">
        <f>100*(LN(data2018!BC47)-LN(data2018!BC46))</f>
        <v>1.0157382770303869</v>
      </c>
      <c r="I46" s="8">
        <f>100*(LN(data2018!BE47)-LN(data2018!BE46))</f>
        <v>0.30233494129490168</v>
      </c>
      <c r="J46" s="8">
        <f>100*(LN(data2018!BF47)-LN(data2018!BF46))</f>
        <v>-0.20104575353645515</v>
      </c>
      <c r="K46" s="8">
        <f t="shared" ref="K46:L52" si="4">G46-E46</f>
        <v>-8.8775949035556909</v>
      </c>
      <c r="L46" s="8">
        <f t="shared" si="4"/>
        <v>-8.8775949035555612</v>
      </c>
      <c r="M46" s="10">
        <f t="shared" ref="M46:M52" si="5">I46-F46</f>
        <v>-9.5909982392910464</v>
      </c>
      <c r="N46" s="10">
        <f t="shared" ref="N46:N52" si="6">J46-F46</f>
        <v>-10.094378934122403</v>
      </c>
      <c r="O46" s="10">
        <f>100*(LN(data2018!C47)-LN(data2018!C46))</f>
        <v>0.7134033357354852</v>
      </c>
      <c r="P46" s="10">
        <f>100*(LN(data2018!H47)-LN(data2018!H46))</f>
        <v>1.216784030566842</v>
      </c>
    </row>
    <row r="47" spans="1:16" x14ac:dyDescent="0.25">
      <c r="A47" s="4">
        <v>2006</v>
      </c>
      <c r="B47" s="8">
        <f>100*(LN(data2018!O48)-LN(data2018!O47))</f>
        <v>-1.7835426361267892</v>
      </c>
      <c r="C47" s="8">
        <f>100*(LN(data2018!V48)-LN(data2018!V47))</f>
        <v>-2.4256246230402789</v>
      </c>
      <c r="D47" s="8">
        <f>100*(LN(data2018!X48)-LN(data2018!X47))</f>
        <v>-2.9536318551854555</v>
      </c>
      <c r="E47" s="8">
        <f>100*(LN(data2018!CC48)-LN(data2018!CC47))</f>
        <v>9.1077266757550355</v>
      </c>
      <c r="F47" s="8">
        <f>100*(LN(data2018!CJ48)-LN(data2018!CJ47))</f>
        <v>7.0130051221659082</v>
      </c>
      <c r="G47" s="8">
        <f>100*(LN(data2018!BB48)-LN(data2018!BB47))</f>
        <v>4.4434723555776046</v>
      </c>
      <c r="H47" s="8">
        <f>100*(LN(data2018!BC48)-LN(data2018!BC47))</f>
        <v>2.3487508019885084</v>
      </c>
      <c r="I47" s="8">
        <f>100*(LN(data2018!BE48)-LN(data2018!BE47))</f>
        <v>1.7066688150752185</v>
      </c>
      <c r="J47" s="8">
        <f>100*(LN(data2018!BF48)-LN(data2018!BF47))</f>
        <v>1.1786615829301184</v>
      </c>
      <c r="K47" s="8">
        <f t="shared" si="4"/>
        <v>-4.6642543201774309</v>
      </c>
      <c r="L47" s="8">
        <f t="shared" si="4"/>
        <v>-4.6642543201773998</v>
      </c>
      <c r="M47" s="10">
        <f t="shared" si="5"/>
        <v>-5.3063363070906897</v>
      </c>
      <c r="N47" s="10">
        <f t="shared" si="6"/>
        <v>-5.8343435392357899</v>
      </c>
      <c r="O47" s="10">
        <f>100*(LN(data2018!C48)-LN(data2018!C47))</f>
        <v>0.64208198691328988</v>
      </c>
      <c r="P47" s="10">
        <f>100*(LN(data2018!H48)-LN(data2018!H47))</f>
        <v>1.17008921905839</v>
      </c>
    </row>
    <row r="48" spans="1:16" x14ac:dyDescent="0.25">
      <c r="A48" s="4">
        <v>2007</v>
      </c>
      <c r="B48" s="8">
        <f>100*(LN(data2018!O49)-LN(data2018!O48))</f>
        <v>9.9515331729627121E-2</v>
      </c>
      <c r="C48" s="8">
        <f>100*(LN(data2018!V49)-LN(data2018!V48))</f>
        <v>-0.44858208652499565</v>
      </c>
      <c r="D48" s="8">
        <f>100*(LN(data2018!X49)-LN(data2018!X48))</f>
        <v>-0.98005469866915584</v>
      </c>
      <c r="E48" s="8">
        <f>100*(LN(data2018!CC49)-LN(data2018!CC48))</f>
        <v>-1.6416505510641084</v>
      </c>
      <c r="F48" s="8">
        <f>100*(LN(data2018!CJ49)-LN(data2018!CJ48))</f>
        <v>-3.7436123872653768</v>
      </c>
      <c r="G48" s="8">
        <f>100*(LN(data2018!BB49)-LN(data2018!BB48))</f>
        <v>5.0913680456439181</v>
      </c>
      <c r="H48" s="8">
        <f>100*(LN(data2018!BC49)-LN(data2018!BC48))</f>
        <v>2.9894062094426133</v>
      </c>
      <c r="I48" s="8">
        <f>100*(LN(data2018!BE49)-LN(data2018!BE48))</f>
        <v>2.4413087911877795</v>
      </c>
      <c r="J48" s="8">
        <f>100*(LN(data2018!BF49)-LN(data2018!BF48))</f>
        <v>1.9098361790437224</v>
      </c>
      <c r="K48" s="8">
        <f t="shared" si="4"/>
        <v>6.7330185967080265</v>
      </c>
      <c r="L48" s="8">
        <f t="shared" si="4"/>
        <v>6.7330185967079901</v>
      </c>
      <c r="M48" s="10">
        <f t="shared" si="5"/>
        <v>6.1849211784531564</v>
      </c>
      <c r="N48" s="10">
        <f t="shared" si="6"/>
        <v>5.6534485663090992</v>
      </c>
      <c r="O48" s="10">
        <f>100*(LN(data2018!C49)-LN(data2018!C48))</f>
        <v>0.54809741825465608</v>
      </c>
      <c r="P48" s="10">
        <f>100*(LN(data2018!H49)-LN(data2018!H48))</f>
        <v>1.0795700303988909</v>
      </c>
    </row>
    <row r="49" spans="1:16" x14ac:dyDescent="0.25">
      <c r="A49" s="4">
        <v>2008</v>
      </c>
      <c r="B49" s="8">
        <f>100*(LN(data2018!O50)-LN(data2018!O49))</f>
        <v>-1.0368543176630496</v>
      </c>
      <c r="C49" s="8">
        <f>100*(LN(data2018!V50)-LN(data2018!V49))</f>
        <v>-1.5679012691086402</v>
      </c>
      <c r="D49" s="8">
        <f>100*(LN(data2018!X50)-LN(data2018!X49))</f>
        <v>-2.0015646542689449</v>
      </c>
      <c r="E49" s="8">
        <f>100*(LN(data2018!CC50)-LN(data2018!CC49))</f>
        <v>10.793987065634703</v>
      </c>
      <c r="F49" s="8">
        <f>100*(LN(data2018!CJ50)-LN(data2018!CJ49))</f>
        <v>8.0341249546334002</v>
      </c>
      <c r="G49" s="8">
        <f>100*(LN(data2018!BB50)-LN(data2018!BB49))</f>
        <v>3.062759613085575</v>
      </c>
      <c r="H49" s="8">
        <f>100*(LN(data2018!BC50)-LN(data2018!BC49))</f>
        <v>0.3028975020841429</v>
      </c>
      <c r="I49" s="8">
        <f>100*(LN(data2018!BE50)-LN(data2018!BE49))</f>
        <v>-0.22814944936140336</v>
      </c>
      <c r="J49" s="8">
        <f>100*(LN(data2018!BF50)-LN(data2018!BF49))</f>
        <v>-0.66181283452184658</v>
      </c>
      <c r="K49" s="8">
        <f t="shared" si="4"/>
        <v>-7.7312274525491276</v>
      </c>
      <c r="L49" s="8">
        <f t="shared" si="4"/>
        <v>-7.7312274525492573</v>
      </c>
      <c r="M49" s="10">
        <f t="shared" si="5"/>
        <v>-8.2622744039948035</v>
      </c>
      <c r="N49" s="10">
        <f t="shared" si="6"/>
        <v>-8.6959377891552467</v>
      </c>
      <c r="O49" s="10">
        <f>100*(LN(data2018!C50)-LN(data2018!C49))</f>
        <v>0.53104695144572389</v>
      </c>
      <c r="P49" s="10">
        <f>100*(LN(data2018!H50)-LN(data2018!H49))</f>
        <v>0.96471033660598948</v>
      </c>
    </row>
    <row r="50" spans="1:16" x14ac:dyDescent="0.25">
      <c r="A50" s="4">
        <v>2009</v>
      </c>
      <c r="B50" s="8">
        <f>100*(LN(data2018!O51)-LN(data2018!O50))</f>
        <v>3.7222460036900884E-3</v>
      </c>
      <c r="C50" s="8">
        <f>100*(LN(data2018!V51)-LN(data2018!V50))</f>
        <v>-0.47463647524590424</v>
      </c>
      <c r="D50" s="8">
        <f>100*(LN(data2018!X51)-LN(data2018!X50))</f>
        <v>-0.91106071776597863</v>
      </c>
      <c r="E50" s="8">
        <f>100*(LN(data2018!CC51)-LN(data2018!CC50))</f>
        <v>-18.893184722160431</v>
      </c>
      <c r="F50" s="8">
        <f>100*(LN(data2018!CJ51)-LN(data2018!CJ50))</f>
        <v>-17.390816590110987</v>
      </c>
      <c r="G50" s="8">
        <f>100*(LN(data2018!BB51)-LN(data2018!BB50))</f>
        <v>9.5824652467868532E-2</v>
      </c>
      <c r="H50" s="8">
        <f>100*(LN(data2018!BC51)-LN(data2018!BC50))</f>
        <v>1.5981927845174937</v>
      </c>
      <c r="I50" s="8">
        <f>100*(LN(data2018!BE51)-LN(data2018!BE50))</f>
        <v>1.119834063267966</v>
      </c>
      <c r="J50" s="8">
        <f>100*(LN(data2018!BF51)-LN(data2018!BF50))</f>
        <v>0.68340982074790446</v>
      </c>
      <c r="K50" s="8">
        <f t="shared" si="4"/>
        <v>18.989009374628299</v>
      </c>
      <c r="L50" s="8">
        <f t="shared" si="4"/>
        <v>18.98900937462848</v>
      </c>
      <c r="M50" s="10">
        <f t="shared" si="5"/>
        <v>18.510650653378953</v>
      </c>
      <c r="N50" s="10">
        <f t="shared" si="6"/>
        <v>18.074226410858891</v>
      </c>
      <c r="O50" s="10">
        <f>100*(LN(data2018!C51)-LN(data2018!C50))</f>
        <v>0.47835872124952772</v>
      </c>
      <c r="P50" s="10">
        <f>100*(LN(data2018!H51)-LN(data2018!H50))</f>
        <v>0.91478296376976687</v>
      </c>
    </row>
    <row r="51" spans="1:16" x14ac:dyDescent="0.25">
      <c r="A51" s="4">
        <v>2010</v>
      </c>
      <c r="B51" s="8">
        <f>100*(LN(data2018!O52)-LN(data2018!O51))</f>
        <v>2.6048018498745051</v>
      </c>
      <c r="C51" s="8">
        <f>100*(LN(data2018!V52)-LN(data2018!V51))</f>
        <v>2.1198680968957717</v>
      </c>
      <c r="D51" s="8">
        <f>100*(LN(data2018!X52)-LN(data2018!X51))</f>
        <v>1.7169332833274098</v>
      </c>
      <c r="E51" s="8">
        <f>100*(LN(data2018!CC52)-LN(data2018!CC51))</f>
        <v>11.838764750399688</v>
      </c>
      <c r="F51" s="8">
        <f>100*(LN(data2018!CJ52)-LN(data2018!CJ51))</f>
        <v>10.661866390399814</v>
      </c>
      <c r="G51" s="8">
        <f>100*(LN(data2018!BB52)-LN(data2018!BB51))</f>
        <v>2.368921698404769</v>
      </c>
      <c r="H51" s="8">
        <f>100*(LN(data2018!BC52)-LN(data2018!BC51))</f>
        <v>1.1920233384048018</v>
      </c>
      <c r="I51" s="8">
        <f>100*(LN(data2018!BE52)-LN(data2018!BE51))</f>
        <v>0.70708958542606837</v>
      </c>
      <c r="J51" s="8">
        <f>100*(LN(data2018!BF52)-LN(data2018!BF51))</f>
        <v>0.30415477185758988</v>
      </c>
      <c r="K51" s="8">
        <f t="shared" si="4"/>
        <v>-9.4698430519949195</v>
      </c>
      <c r="L51" s="8">
        <f t="shared" si="4"/>
        <v>-9.4698430519950119</v>
      </c>
      <c r="M51" s="10">
        <f t="shared" si="5"/>
        <v>-9.9547768049737453</v>
      </c>
      <c r="N51" s="10">
        <f t="shared" si="6"/>
        <v>-10.357711618542224</v>
      </c>
      <c r="O51" s="10">
        <f>100*(LN(data2018!C52)-LN(data2018!C51))</f>
        <v>0.48493375297873342</v>
      </c>
      <c r="P51" s="10">
        <f>100*(LN(data2018!H52)-LN(data2018!H51))</f>
        <v>0.88786856654703428</v>
      </c>
    </row>
    <row r="52" spans="1:16" x14ac:dyDescent="0.25">
      <c r="A52" s="4">
        <v>2011</v>
      </c>
      <c r="B52" s="8">
        <f>100*(LN(data2018!O53)-LN(data2018!O52))</f>
        <v>-1.8742083796954745</v>
      </c>
      <c r="C52" s="8">
        <f>100*(LN(data2018!V53)-LN(data2018!V52))</f>
        <v>-2.3576192172082844</v>
      </c>
      <c r="D52" s="8">
        <f>100*(LN(data2018!X53)-LN(data2018!X52))</f>
        <v>-2.7159487190258793</v>
      </c>
      <c r="E52" s="8">
        <f>100*(LN(data2018!CC53)-LN(data2018!CC52))</f>
        <v>13.338952658559425</v>
      </c>
      <c r="F52" s="8">
        <f>100*(LN(data2018!CJ53)-LN(data2018!CJ52))</f>
        <v>11.538262829313636</v>
      </c>
      <c r="G52" s="8">
        <f>100*(LN(data2018!BB53)-LN(data2018!BB52))</f>
        <v>2.0023660899594731</v>
      </c>
      <c r="H52" s="8">
        <f>100*(LN(data2018!BC53)-LN(data2018!BC52))</f>
        <v>0.20167626071359024</v>
      </c>
      <c r="I52" s="8">
        <f>100*(LN(data2018!BE53)-LN(data2018!BE52))</f>
        <v>-0.28173457679923075</v>
      </c>
      <c r="J52" s="8">
        <f>100*(LN(data2018!BF53)-LN(data2018!BF52))</f>
        <v>-0.64006407861665338</v>
      </c>
      <c r="K52" s="8">
        <f t="shared" si="4"/>
        <v>-11.336586568599952</v>
      </c>
      <c r="L52" s="8">
        <f t="shared" si="4"/>
        <v>-11.336586568600046</v>
      </c>
      <c r="M52" s="10">
        <f t="shared" si="5"/>
        <v>-11.819997406112867</v>
      </c>
      <c r="N52" s="10">
        <f t="shared" si="6"/>
        <v>-12.178326907930289</v>
      </c>
      <c r="O52" s="10">
        <f>100*(LN(data2018!C53)-LN(data2018!C52))</f>
        <v>0.48341083751282099</v>
      </c>
      <c r="P52" s="10">
        <f>100*(LN(data2018!H53)-LN(data2018!H52))</f>
        <v>0.84174033933042125</v>
      </c>
    </row>
    <row r="53" spans="1:16" x14ac:dyDescent="0.25">
      <c r="A53" s="4">
        <v>2012</v>
      </c>
      <c r="B53" s="8">
        <f>100*(LN(data2018!O54)-LN(data2018!O53))</f>
        <v>-1.0829985077798199</v>
      </c>
      <c r="C53" s="8">
        <f>100*(LN(data2018!V54)-LN(data2018!V53))</f>
        <v>-1.5896247317722545</v>
      </c>
      <c r="D53" s="8">
        <f>100*(LN(data2018!X54)-LN(data2018!X53))</f>
        <v>-1.9131869255236169</v>
      </c>
      <c r="E53" s="8">
        <f>100*(LN(data2018!CC54)-LN(data2018!CC53))</f>
        <v>4.2472914190721962</v>
      </c>
      <c r="F53" s="8">
        <f>100*(LN(data2018!CJ54)-LN(data2018!CJ53))</f>
        <v>2.8496766630129233</v>
      </c>
      <c r="G53" s="8">
        <f>100*(LN(data2018!BB54)-LN(data2018!BB53))</f>
        <v>0.52675607005543412</v>
      </c>
      <c r="H53" s="8">
        <f>100*(LN(data2018!BC54)-LN(data2018!BC53))</f>
        <v>-0.8708586860038281</v>
      </c>
      <c r="I53" s="8">
        <f>100*(LN(data2018!BE54)-LN(data2018!BE53))</f>
        <v>-1.3774849099961628</v>
      </c>
      <c r="J53" s="8">
        <f>100*(LN(data2018!BF54)-LN(data2018!BF53))</f>
        <v>-1.7010471037474773</v>
      </c>
      <c r="K53" s="8">
        <f t="shared" ref="K53:K55" si="7">G53-E53</f>
        <v>-3.7205353490167621</v>
      </c>
      <c r="L53" s="8">
        <f t="shared" ref="L53:L55" si="8">H53-F53</f>
        <v>-3.7205353490167514</v>
      </c>
      <c r="M53" s="10">
        <f t="shared" ref="M53:M55" si="9">I53-F53</f>
        <v>-4.2271615730090861</v>
      </c>
      <c r="N53" s="10">
        <f t="shared" ref="N53:N55" si="10">J53-F53</f>
        <v>-4.5507237667604006</v>
      </c>
      <c r="O53" s="10">
        <f>100*(LN(data2018!C54)-LN(data2018!C53))</f>
        <v>0.5066262239923347</v>
      </c>
      <c r="P53" s="10">
        <f>100*(LN(data2018!H54)-LN(data2018!H53))</f>
        <v>0.83018841774364915</v>
      </c>
    </row>
    <row r="54" spans="1:16" x14ac:dyDescent="0.25">
      <c r="A54" s="4">
        <v>2013</v>
      </c>
      <c r="B54" s="8">
        <f>100*(LN(data2018!O55)-LN(data2018!O54))</f>
        <v>-2.0575019211715784</v>
      </c>
      <c r="C54" s="8">
        <f>100*(LN(data2018!V55)-LN(data2018!V54))</f>
        <v>-2.5743805400022857</v>
      </c>
      <c r="D54" s="8">
        <f>100*(LN(data2018!X55)-LN(data2018!X54))</f>
        <v>-2.9158384111786679</v>
      </c>
      <c r="E54" s="8">
        <f>100*(LN(data2018!CC55)-LN(data2018!CC54))</f>
        <v>-2.8970530960603815</v>
      </c>
      <c r="F54" s="8">
        <f>100*(LN(data2018!CJ55)-LN(data2018!CJ54))</f>
        <v>-3.5429048648747519</v>
      </c>
      <c r="G54" s="8">
        <f>100*(LN(data2018!BB55)-LN(data2018!BB54))</f>
        <v>0.27357581683702392</v>
      </c>
      <c r="H54" s="8">
        <f>100*(LN(data2018!BC55)-LN(data2018!BC54))</f>
        <v>-0.37227595197730778</v>
      </c>
      <c r="I54" s="8">
        <f>100*(LN(data2018!BE55)-LN(data2018!BE54))</f>
        <v>-0.88915457080815941</v>
      </c>
      <c r="J54" s="8">
        <f>100*(LN(data2018!BF55)-LN(data2018!BF54))</f>
        <v>-1.2306124419847464</v>
      </c>
      <c r="K54" s="8">
        <f t="shared" si="7"/>
        <v>3.1706289128974054</v>
      </c>
      <c r="L54" s="8">
        <f t="shared" si="8"/>
        <v>3.1706289128974441</v>
      </c>
      <c r="M54" s="10">
        <f t="shared" si="9"/>
        <v>2.6537502940665925</v>
      </c>
      <c r="N54" s="10">
        <f t="shared" si="10"/>
        <v>2.3122924228900055</v>
      </c>
      <c r="O54" s="10">
        <f>100*(LN(data2018!C55)-LN(data2018!C54))</f>
        <v>0.51687861883085162</v>
      </c>
      <c r="P54" s="10">
        <f>100*(LN(data2018!H55)-LN(data2018!H54))</f>
        <v>0.85833649000726098</v>
      </c>
    </row>
    <row r="55" spans="1:16" x14ac:dyDescent="0.25">
      <c r="A55" s="4">
        <v>2014</v>
      </c>
      <c r="B55" s="8">
        <f>100*(LN(data2018!O56)-LN(data2018!O55))</f>
        <v>0.19613362720800609</v>
      </c>
      <c r="C55" s="8">
        <f>100*(LN(data2018!V56)-LN(data2018!V55))</f>
        <v>-0.22912314424782254</v>
      </c>
      <c r="D55" s="8">
        <f>100*(LN(data2018!X56)-LN(data2018!X55))</f>
        <v>-0.61488733594571576</v>
      </c>
      <c r="E55" s="8">
        <f>100*(LN(data2018!CC56)-LN(data2018!CC55))</f>
        <v>-4.4375042882961901</v>
      </c>
      <c r="F55" s="8">
        <f>100*(LN(data2018!CJ56)-LN(data2018!CJ55))</f>
        <v>-4.5519510373730867</v>
      </c>
      <c r="G55" s="8">
        <f>100*(LN(data2018!BB56)-LN(data2018!BB55))</f>
        <v>1.2453597050917864</v>
      </c>
      <c r="H55" s="8">
        <f>100*(LN(data2018!BC56)-LN(data2018!BC55))</f>
        <v>1.1309129560149955</v>
      </c>
      <c r="I55" s="8">
        <f>100*(LN(data2018!BE56)-LN(data2018!BE55))</f>
        <v>0.70565618455926682</v>
      </c>
      <c r="J55" s="8">
        <f>100*(LN(data2018!BF56)-LN(data2018!BF55))</f>
        <v>0.31989199286144299</v>
      </c>
      <c r="K55" s="8">
        <f t="shared" si="7"/>
        <v>5.6828639933879765</v>
      </c>
      <c r="L55" s="8">
        <f t="shared" si="8"/>
        <v>5.6828639933880822</v>
      </c>
      <c r="M55" s="10">
        <f t="shared" si="9"/>
        <v>5.2576072219323535</v>
      </c>
      <c r="N55" s="10">
        <f t="shared" si="10"/>
        <v>4.8718430302345297</v>
      </c>
      <c r="O55" s="10">
        <f>100*(LN(data2018!C56)-LN(data2018!C55))</f>
        <v>0.42525677145572871</v>
      </c>
      <c r="P55" s="10">
        <f>100*(LN(data2018!H56)-LN(data2018!H55))</f>
        <v>0.81102096315355254</v>
      </c>
    </row>
  </sheetData>
  <phoneticPr fontId="10" type="noConversion"/>
  <pageMargins left="0.78740157499999996" right="0.78740157499999996" top="0.984251969" bottom="0.984251969" header="0.4921259845" footer="0.492125984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3"/>
  <dimension ref="A1:Y56"/>
  <sheetViews>
    <sheetView workbookViewId="0">
      <pane xSplit="1" ySplit="1" topLeftCell="N2" activePane="bottomRight" state="frozen"/>
      <selection pane="topRight" activeCell="B1" sqref="B1"/>
      <selection pane="bottomLeft" activeCell="A2" sqref="A2"/>
      <selection pane="bottomRight" activeCell="U51" sqref="U51:X56"/>
    </sheetView>
  </sheetViews>
  <sheetFormatPr baseColWidth="10" defaultRowHeight="13.5" x14ac:dyDescent="0.25"/>
  <cols>
    <col min="1" max="1" width="4.875" bestFit="1" customWidth="1"/>
    <col min="2" max="2" width="9.25" customWidth="1"/>
    <col min="3" max="3" width="12.875" bestFit="1" customWidth="1"/>
    <col min="4" max="4" width="16" bestFit="1" customWidth="1"/>
    <col min="5" max="5" width="7.875" bestFit="1" customWidth="1"/>
    <col min="6" max="6" width="14.875" bestFit="1" customWidth="1"/>
    <col min="7" max="7" width="6.875" bestFit="1" customWidth="1"/>
    <col min="8" max="8" width="12.875" bestFit="1" customWidth="1"/>
    <col min="9" max="10" width="13.875" bestFit="1" customWidth="1"/>
    <col min="11" max="11" width="5.875" bestFit="1" customWidth="1"/>
    <col min="12" max="12" width="7.875" bestFit="1" customWidth="1"/>
    <col min="13" max="13" width="6.875" bestFit="1" customWidth="1"/>
    <col min="14" max="14" width="8.875" bestFit="1" customWidth="1"/>
    <col min="15" max="15" width="7.875" bestFit="1" customWidth="1"/>
    <col min="16" max="16" width="9" customWidth="1"/>
    <col min="17" max="17" width="8.875" customWidth="1"/>
    <col min="18" max="19" width="11.875" bestFit="1" customWidth="1"/>
    <col min="20" max="20" width="8.75" customWidth="1"/>
    <col min="21" max="21" width="4.875" bestFit="1" customWidth="1"/>
    <col min="22" max="22" width="6.875" bestFit="1" customWidth="1"/>
    <col min="23" max="23" width="8.875" bestFit="1" customWidth="1"/>
    <col min="24" max="24" width="16.625" customWidth="1"/>
  </cols>
  <sheetData>
    <row r="1" spans="1:25" x14ac:dyDescent="0.25">
      <c r="B1" t="s">
        <v>334</v>
      </c>
      <c r="C1" t="s">
        <v>65</v>
      </c>
      <c r="D1" t="s">
        <v>68</v>
      </c>
      <c r="E1" t="s">
        <v>70</v>
      </c>
      <c r="F1" t="s">
        <v>72</v>
      </c>
      <c r="G1" t="s">
        <v>64</v>
      </c>
      <c r="H1" t="s">
        <v>66</v>
      </c>
      <c r="I1" t="s">
        <v>67</v>
      </c>
      <c r="J1" t="s">
        <v>69</v>
      </c>
      <c r="K1" t="s">
        <v>71</v>
      </c>
      <c r="L1" t="s">
        <v>73</v>
      </c>
      <c r="M1" t="s">
        <v>74</v>
      </c>
      <c r="N1" t="s">
        <v>76</v>
      </c>
      <c r="O1" t="s">
        <v>75</v>
      </c>
      <c r="P1" t="s">
        <v>77</v>
      </c>
      <c r="Q1" t="s">
        <v>78</v>
      </c>
      <c r="R1" t="s">
        <v>79</v>
      </c>
      <c r="S1" t="s">
        <v>80</v>
      </c>
      <c r="T1" t="s">
        <v>318</v>
      </c>
      <c r="U1" t="s">
        <v>81</v>
      </c>
      <c r="V1" t="s">
        <v>82</v>
      </c>
      <c r="W1" t="s">
        <v>83</v>
      </c>
      <c r="X1" t="s">
        <v>335</v>
      </c>
      <c r="Y1" s="1" t="s">
        <v>680</v>
      </c>
    </row>
    <row r="2" spans="1:25" x14ac:dyDescent="0.25">
      <c r="A2">
        <v>1960</v>
      </c>
      <c r="B2" s="7">
        <v>610.01499999999999</v>
      </c>
      <c r="C2" s="7">
        <v>509.505</v>
      </c>
      <c r="D2">
        <v>106.16500000000001</v>
      </c>
      <c r="E2" s="7">
        <v>899.26700000000005</v>
      </c>
      <c r="F2" s="7">
        <v>524.48800000000006</v>
      </c>
      <c r="G2" s="7">
        <v>156.73480440283853</v>
      </c>
      <c r="H2" s="7">
        <v>1628.1908881046802</v>
      </c>
      <c r="J2" s="7">
        <v>450.94243956205412</v>
      </c>
      <c r="K2" s="7">
        <v>564.78757060196381</v>
      </c>
      <c r="L2" s="7">
        <f t="shared" ref="L2:L46" si="0">SUM(B2:F2)</f>
        <v>2649.4400000000005</v>
      </c>
      <c r="M2" s="7">
        <f>SUM(G2:K2)</f>
        <v>2800.6557026715363</v>
      </c>
      <c r="N2" s="8">
        <f>100*L2/(data2018!$BB2*1000)</f>
        <v>8.3024094611067432E-3</v>
      </c>
      <c r="O2" s="8">
        <f>100*M2/(data2018!$BB2*1000)</f>
        <v>8.7762660800632247E-3</v>
      </c>
      <c r="P2" s="8">
        <f>100*E2/(data2018!$BB2*1000)</f>
        <v>2.8179852530576563E-3</v>
      </c>
      <c r="Q2" s="7">
        <v>3033.99</v>
      </c>
      <c r="R2" s="7">
        <v>2738.181</v>
      </c>
      <c r="S2" s="7">
        <f>R2-Y2</f>
        <v>2213.0300000000002</v>
      </c>
      <c r="T2" s="7">
        <v>26160.784</v>
      </c>
      <c r="U2" s="8">
        <f>100*Q2/$T2</f>
        <v>11.597473531374289</v>
      </c>
      <c r="V2" s="8">
        <f>100*R2/$T2</f>
        <v>10.466739070205234</v>
      </c>
      <c r="W2" s="8">
        <f>100*S2/$T2</f>
        <v>8.459341279680304</v>
      </c>
      <c r="X2" s="6">
        <f t="shared" ref="X2:X33" si="1">Q2/R2</f>
        <v>1.1080312075790459</v>
      </c>
      <c r="Y2">
        <v>525.15099999999995</v>
      </c>
    </row>
    <row r="3" spans="1:25" x14ac:dyDescent="0.25">
      <c r="A3">
        <v>1961</v>
      </c>
      <c r="B3" s="7">
        <v>708.45</v>
      </c>
      <c r="C3" s="7">
        <v>574.96</v>
      </c>
      <c r="D3">
        <v>113.188</v>
      </c>
      <c r="E3" s="7">
        <v>989.87300000000005</v>
      </c>
      <c r="F3" s="7">
        <v>570.90300000000002</v>
      </c>
      <c r="G3" s="7">
        <v>183.32581551292157</v>
      </c>
      <c r="H3" s="7">
        <v>1929.5167245799894</v>
      </c>
      <c r="J3" s="7">
        <v>476.01111292434643</v>
      </c>
      <c r="K3" s="7">
        <v>580.78580668895097</v>
      </c>
      <c r="L3" s="7">
        <f t="shared" si="0"/>
        <v>2957.3740000000007</v>
      </c>
      <c r="M3" s="7">
        <f t="shared" ref="M3:M46" si="2">SUM(G3:K3)</f>
        <v>3169.6394597062081</v>
      </c>
      <c r="N3" s="8">
        <f>100*L3/(data2018!$BB3*1000)</f>
        <v>8.588154665969714E-3</v>
      </c>
      <c r="O3" s="8">
        <f>100*M3/(data2018!$BB3*1000)</f>
        <v>9.2045692953673045E-3</v>
      </c>
      <c r="P3" s="8">
        <f>100*E3/(data2018!$BB3*1000)</f>
        <v>2.8745712999666043E-3</v>
      </c>
      <c r="Q3" s="7">
        <v>3434.0210000000002</v>
      </c>
      <c r="R3" s="7">
        <v>3056.2330000000002</v>
      </c>
      <c r="S3" s="7">
        <f t="shared" ref="S3:S56" si="3">R3-Y3</f>
        <v>2484.6120000000001</v>
      </c>
      <c r="T3" s="7">
        <v>28509.200000000001</v>
      </c>
      <c r="U3" s="8">
        <f t="shared" ref="U3:U51" si="4">100*Q3/$T3</f>
        <v>12.045308181218696</v>
      </c>
      <c r="V3" s="8">
        <f t="shared" ref="V3:V51" si="5">100*R3/$T3</f>
        <v>10.720164017229527</v>
      </c>
      <c r="W3" s="8">
        <f t="shared" ref="W3:W51" si="6">100*S3/$T3</f>
        <v>8.7151235390680899</v>
      </c>
      <c r="X3" s="6">
        <f t="shared" si="1"/>
        <v>1.1236123031195593</v>
      </c>
      <c r="Y3">
        <v>571.62099999999998</v>
      </c>
    </row>
    <row r="4" spans="1:25" x14ac:dyDescent="0.25">
      <c r="A4">
        <v>1962</v>
      </c>
      <c r="B4" s="7">
        <v>887.28399999999999</v>
      </c>
      <c r="C4" s="7">
        <v>646.26</v>
      </c>
      <c r="D4">
        <v>127.881</v>
      </c>
      <c r="E4" s="7">
        <v>1067.691</v>
      </c>
      <c r="F4" s="7">
        <v>613.46299999999997</v>
      </c>
      <c r="G4" s="7">
        <v>212.41432490406211</v>
      </c>
      <c r="H4" s="7">
        <v>2335.0008942364266</v>
      </c>
      <c r="J4" s="7">
        <v>517.25824664695165</v>
      </c>
      <c r="K4" s="7">
        <v>671.85810049873567</v>
      </c>
      <c r="L4" s="7">
        <f t="shared" si="0"/>
        <v>3342.5789999999997</v>
      </c>
      <c r="M4" s="7">
        <f t="shared" si="2"/>
        <v>3736.5315662861758</v>
      </c>
      <c r="N4" s="8">
        <f>100*L4/(data2018!$BB4*1000)</f>
        <v>8.4455907099434523E-3</v>
      </c>
      <c r="O4" s="8">
        <f>100*M4/(data2018!$BB4*1000)</f>
        <v>9.4409784431832375E-3</v>
      </c>
      <c r="P4" s="8">
        <f>100*E4/(data2018!$BB4*1000)</f>
        <v>2.6977017418856027E-3</v>
      </c>
      <c r="Q4" s="7">
        <v>4035.3820000000001</v>
      </c>
      <c r="R4" s="7">
        <v>3462.2150000000001</v>
      </c>
      <c r="S4" s="7">
        <f t="shared" si="3"/>
        <v>2847.9450000000002</v>
      </c>
      <c r="T4" s="7">
        <v>31918.286</v>
      </c>
      <c r="U4" s="8">
        <f t="shared" si="4"/>
        <v>12.642853065481022</v>
      </c>
      <c r="V4" s="8">
        <f t="shared" si="5"/>
        <v>10.847120675590162</v>
      </c>
      <c r="W4" s="8">
        <f t="shared" si="6"/>
        <v>8.9226125738706639</v>
      </c>
      <c r="X4" s="6">
        <f t="shared" si="1"/>
        <v>1.1655492221020358</v>
      </c>
      <c r="Y4">
        <v>614.27</v>
      </c>
    </row>
    <row r="5" spans="1:25" x14ac:dyDescent="0.25">
      <c r="A5">
        <v>1963</v>
      </c>
      <c r="B5" s="7">
        <v>1080.328</v>
      </c>
      <c r="C5" s="7">
        <v>741.34500000000003</v>
      </c>
      <c r="D5">
        <v>158.10300000000001</v>
      </c>
      <c r="E5" s="7">
        <v>1165.6659999999999</v>
      </c>
      <c r="F5" s="7">
        <v>655.61199999999997</v>
      </c>
      <c r="G5" s="7">
        <v>257.21241197479645</v>
      </c>
      <c r="H5" s="7">
        <v>2795.7971290442288</v>
      </c>
      <c r="J5" s="7">
        <v>588.56380829294494</v>
      </c>
      <c r="K5" s="7">
        <v>778.5341905900334</v>
      </c>
      <c r="L5" s="7">
        <f t="shared" si="0"/>
        <v>3801.0540000000001</v>
      </c>
      <c r="M5" s="7">
        <f t="shared" si="2"/>
        <v>4420.1075399020037</v>
      </c>
      <c r="N5" s="8">
        <f>100*L5/(data2018!$BB5*1000)</f>
        <v>8.6209489940101032E-3</v>
      </c>
      <c r="O5" s="8">
        <f>100*M5/(data2018!$BB5*1000)</f>
        <v>1.00249882399815E-2</v>
      </c>
      <c r="P5" s="8">
        <f>100*E5/(data2018!$BB5*1000)</f>
        <v>2.6437791018101239E-3</v>
      </c>
      <c r="Q5" s="7">
        <v>4763.8180000000002</v>
      </c>
      <c r="R5" s="7">
        <v>3906.9810000000002</v>
      </c>
      <c r="S5" s="7">
        <f t="shared" si="3"/>
        <v>3250.5370000000003</v>
      </c>
      <c r="T5" s="7">
        <v>35877.247000000003</v>
      </c>
      <c r="U5" s="8">
        <f t="shared" si="4"/>
        <v>13.278103528958061</v>
      </c>
      <c r="V5" s="8">
        <f t="shared" si="5"/>
        <v>10.88985729590679</v>
      </c>
      <c r="W5" s="8">
        <f t="shared" si="6"/>
        <v>9.0601628380237749</v>
      </c>
      <c r="X5" s="6">
        <f t="shared" si="1"/>
        <v>1.2193092313476825</v>
      </c>
      <c r="Y5">
        <v>656.44399999999996</v>
      </c>
    </row>
    <row r="6" spans="1:25" x14ac:dyDescent="0.25">
      <c r="A6">
        <v>1964</v>
      </c>
      <c r="B6" s="7">
        <v>1167.704</v>
      </c>
      <c r="C6" s="7">
        <v>835.61199999999997</v>
      </c>
      <c r="D6">
        <v>195.68600000000001</v>
      </c>
      <c r="E6" s="7">
        <v>1293.7360000000001</v>
      </c>
      <c r="F6" s="7">
        <v>698.09</v>
      </c>
      <c r="G6" s="7">
        <v>302.90193935178996</v>
      </c>
      <c r="H6" s="7">
        <v>3173.5333559829924</v>
      </c>
      <c r="J6" s="7">
        <v>649.30775661024245</v>
      </c>
      <c r="K6" s="7">
        <v>733.0857912611018</v>
      </c>
      <c r="L6" s="7">
        <f t="shared" si="0"/>
        <v>4190.8280000000004</v>
      </c>
      <c r="M6" s="7">
        <f t="shared" si="2"/>
        <v>4858.8288432061263</v>
      </c>
      <c r="N6" s="8">
        <f>100*L6/(data2018!$BB6*1000)</f>
        <v>8.7523897239260608E-3</v>
      </c>
      <c r="O6" s="8">
        <f>100*M6/(data2018!$BB6*1000)</f>
        <v>1.0147484849674777E-2</v>
      </c>
      <c r="P6" s="8">
        <f>100*E6/(data2018!$BB6*1000)</f>
        <v>2.7019199241470194E-3</v>
      </c>
      <c r="Q6" s="7">
        <v>5243.8959999999997</v>
      </c>
      <c r="R6" s="7">
        <v>4264.6080000000002</v>
      </c>
      <c r="S6" s="7">
        <f t="shared" si="3"/>
        <v>3565.6010000000001</v>
      </c>
      <c r="T6" s="7">
        <v>39101.538</v>
      </c>
      <c r="U6" s="8">
        <f t="shared" si="4"/>
        <v>13.410971200160976</v>
      </c>
      <c r="V6" s="8">
        <f t="shared" si="5"/>
        <v>10.906496823731079</v>
      </c>
      <c r="W6" s="8">
        <f t="shared" si="6"/>
        <v>9.1188254538734519</v>
      </c>
      <c r="X6" s="6">
        <f t="shared" si="1"/>
        <v>1.2296314221611926</v>
      </c>
      <c r="Y6">
        <v>699.00699999999995</v>
      </c>
    </row>
    <row r="7" spans="1:25" x14ac:dyDescent="0.25">
      <c r="A7">
        <v>1965</v>
      </c>
      <c r="B7" s="7">
        <v>1221.5899999999999</v>
      </c>
      <c r="C7" s="7">
        <v>931.86800000000005</v>
      </c>
      <c r="D7">
        <v>237.077</v>
      </c>
      <c r="E7" s="7">
        <v>1414.087</v>
      </c>
      <c r="F7" s="7">
        <v>732.82899999999995</v>
      </c>
      <c r="G7" s="7">
        <v>339.03223827061873</v>
      </c>
      <c r="H7" s="7">
        <v>3719.3698903064565</v>
      </c>
      <c r="J7" s="7">
        <v>700.7472035346234</v>
      </c>
      <c r="K7" s="7">
        <v>779.06630434275212</v>
      </c>
      <c r="L7" s="7">
        <f t="shared" si="0"/>
        <v>4537.451</v>
      </c>
      <c r="M7" s="7">
        <f t="shared" si="2"/>
        <v>5538.2156364544508</v>
      </c>
      <c r="N7" s="8">
        <f>100*L7/(data2018!$BB7*1000)</f>
        <v>8.8198838775641105E-3</v>
      </c>
      <c r="O7" s="8">
        <f>100*M7/(data2018!$BB7*1000)</f>
        <v>1.0765167227687543E-2</v>
      </c>
      <c r="P7" s="8">
        <f>100*E7/(data2018!$BB7*1000)</f>
        <v>2.7486981419243984E-3</v>
      </c>
      <c r="Q7" s="7">
        <v>5958.3329999999996</v>
      </c>
      <c r="R7" s="7">
        <v>4573.8680000000004</v>
      </c>
      <c r="S7" s="7">
        <f t="shared" si="3"/>
        <v>3840.0360000000005</v>
      </c>
      <c r="T7" s="7">
        <v>41690.182999999997</v>
      </c>
      <c r="U7" s="8">
        <f t="shared" si="4"/>
        <v>14.291932947379962</v>
      </c>
      <c r="V7" s="8">
        <f t="shared" si="5"/>
        <v>10.971091203893254</v>
      </c>
      <c r="W7" s="8">
        <f t="shared" si="6"/>
        <v>9.2108878485853634</v>
      </c>
      <c r="X7" s="6">
        <f t="shared" si="1"/>
        <v>1.3026901956943224</v>
      </c>
      <c r="Y7">
        <v>733.83199999999999</v>
      </c>
    </row>
    <row r="8" spans="1:25" x14ac:dyDescent="0.25">
      <c r="A8">
        <v>1966</v>
      </c>
      <c r="B8" s="7">
        <v>1372.338</v>
      </c>
      <c r="C8" s="7">
        <v>1061.414</v>
      </c>
      <c r="D8">
        <v>268.52600000000001</v>
      </c>
      <c r="E8" s="7">
        <v>1565.0260000000001</v>
      </c>
      <c r="F8" s="7">
        <v>777.82299999999998</v>
      </c>
      <c r="G8" s="7">
        <v>379.72676908549721</v>
      </c>
      <c r="H8" s="7">
        <v>4324.5430414533166</v>
      </c>
      <c r="J8" s="7">
        <v>788.19267115313698</v>
      </c>
      <c r="K8" s="7">
        <v>762.97886128705647</v>
      </c>
      <c r="L8" s="7">
        <f t="shared" si="0"/>
        <v>5045.1270000000004</v>
      </c>
      <c r="M8" s="7">
        <f t="shared" si="2"/>
        <v>6255.4413429790065</v>
      </c>
      <c r="N8" s="8">
        <f>100*L8/(data2018!$BB8*1000)</f>
        <v>9.0781002866412251E-3</v>
      </c>
      <c r="O8" s="8">
        <f>100*M8/(data2018!$BB8*1000)</f>
        <v>1.1255915628836514E-2</v>
      </c>
      <c r="P8" s="8">
        <f>100*E8/(data2018!$BB8*1000)</f>
        <v>2.8160763800794248E-3</v>
      </c>
      <c r="Q8" s="7">
        <v>6722.5129999999999</v>
      </c>
      <c r="R8" s="7">
        <v>5062.6360000000004</v>
      </c>
      <c r="S8" s="7">
        <f t="shared" si="3"/>
        <v>4283.7900000000009</v>
      </c>
      <c r="T8" s="7">
        <v>45008.733999999997</v>
      </c>
      <c r="U8" s="8">
        <f t="shared" si="4"/>
        <v>14.93601886247234</v>
      </c>
      <c r="V8" s="8">
        <f t="shared" si="5"/>
        <v>11.248119087286483</v>
      </c>
      <c r="W8" s="8">
        <f t="shared" si="6"/>
        <v>9.5176860562218906</v>
      </c>
      <c r="X8" s="6">
        <f t="shared" si="1"/>
        <v>1.3278681303573867</v>
      </c>
      <c r="Y8">
        <v>778.846</v>
      </c>
    </row>
    <row r="9" spans="1:25" x14ac:dyDescent="0.25">
      <c r="A9">
        <v>1967</v>
      </c>
      <c r="B9" s="7">
        <v>1433.7629999999999</v>
      </c>
      <c r="C9" s="7">
        <v>1193.0540000000001</v>
      </c>
      <c r="D9">
        <v>307.35500000000002</v>
      </c>
      <c r="E9" s="7">
        <v>1749.3720000000001</v>
      </c>
      <c r="F9" s="7">
        <v>842.83699999999999</v>
      </c>
      <c r="G9" s="7">
        <v>434.95558427123649</v>
      </c>
      <c r="H9" s="7">
        <v>5110.1556547820492</v>
      </c>
      <c r="J9" s="7">
        <v>898.91451189639997</v>
      </c>
      <c r="K9" s="7">
        <v>842.86391825071746</v>
      </c>
      <c r="L9" s="7">
        <f t="shared" si="0"/>
        <v>5526.3809999999994</v>
      </c>
      <c r="M9" s="7">
        <f t="shared" si="2"/>
        <v>7286.8896692004027</v>
      </c>
      <c r="N9" s="8">
        <f>100*L9/(data2018!$BB9*1000)</f>
        <v>9.1265339892887039E-3</v>
      </c>
      <c r="O9" s="8">
        <f>100*M9/(data2018!$BB9*1000)</f>
        <v>1.2033923510187627E-2</v>
      </c>
      <c r="P9" s="8">
        <f>100*E9/(data2018!$BB9*1000)</f>
        <v>2.8889978844943843E-3</v>
      </c>
      <c r="Q9" s="7">
        <v>7809.4970000000003</v>
      </c>
      <c r="R9" s="7">
        <v>5525.8950000000004</v>
      </c>
      <c r="S9" s="7">
        <f t="shared" si="3"/>
        <v>4681.9360000000006</v>
      </c>
      <c r="T9" s="7">
        <v>48740.9</v>
      </c>
      <c r="U9" s="8">
        <f t="shared" si="4"/>
        <v>16.022471887059943</v>
      </c>
      <c r="V9" s="8">
        <f t="shared" si="5"/>
        <v>11.337285524067056</v>
      </c>
      <c r="W9" s="8">
        <f t="shared" si="6"/>
        <v>9.6057643580647873</v>
      </c>
      <c r="X9" s="6">
        <f t="shared" si="1"/>
        <v>1.413254685440096</v>
      </c>
      <c r="Y9">
        <v>843.95899999999995</v>
      </c>
    </row>
    <row r="10" spans="1:25" x14ac:dyDescent="0.25">
      <c r="A10">
        <v>1968</v>
      </c>
      <c r="B10" s="7">
        <v>1566.55</v>
      </c>
      <c r="C10" s="7">
        <v>1366.5440000000001</v>
      </c>
      <c r="D10">
        <v>342.48599999999999</v>
      </c>
      <c r="E10" s="7">
        <v>1935.0930000000001</v>
      </c>
      <c r="F10" s="7">
        <v>899.95600000000002</v>
      </c>
      <c r="G10" s="7">
        <v>487.10922484626121</v>
      </c>
      <c r="H10" s="7">
        <v>5964.416328804451</v>
      </c>
      <c r="J10" s="7">
        <v>1028.9190527311716</v>
      </c>
      <c r="K10" s="7">
        <v>970.54823972038093</v>
      </c>
      <c r="L10" s="7">
        <f t="shared" si="0"/>
        <v>6110.6289999999999</v>
      </c>
      <c r="M10" s="7">
        <f t="shared" si="2"/>
        <v>8450.9928461022646</v>
      </c>
      <c r="N10" s="8">
        <f>100*L10/(data2018!$BB10*1000)</f>
        <v>9.191458990156675E-3</v>
      </c>
      <c r="O10" s="8">
        <f>100*M10/(data2018!$BB10*1000)</f>
        <v>1.2711777162556654E-2</v>
      </c>
      <c r="P10" s="8">
        <f>100*E10/(data2018!$BB10*1000)</f>
        <v>2.9107196577699695E-3</v>
      </c>
      <c r="Q10" s="7">
        <v>9036.1010000000006</v>
      </c>
      <c r="R10" s="7">
        <v>6122.335</v>
      </c>
      <c r="S10" s="7">
        <f t="shared" si="3"/>
        <v>5221.18</v>
      </c>
      <c r="T10" s="7">
        <v>53403.601999999999</v>
      </c>
      <c r="U10" s="8">
        <f t="shared" si="4"/>
        <v>16.920396118598894</v>
      </c>
      <c r="V10" s="8">
        <f t="shared" si="5"/>
        <v>11.464273514734082</v>
      </c>
      <c r="W10" s="8">
        <f t="shared" si="6"/>
        <v>9.7768311583177478</v>
      </c>
      <c r="X10" s="6">
        <f t="shared" si="1"/>
        <v>1.4759239734513059</v>
      </c>
      <c r="Y10">
        <v>901.15499999999997</v>
      </c>
    </row>
    <row r="11" spans="1:25" x14ac:dyDescent="0.25">
      <c r="A11">
        <v>1969</v>
      </c>
      <c r="B11" s="7">
        <v>1927.421</v>
      </c>
      <c r="C11" s="7">
        <v>1586.6880000000001</v>
      </c>
      <c r="D11">
        <v>407.22</v>
      </c>
      <c r="E11" s="7">
        <v>2233.2950000000001</v>
      </c>
      <c r="F11" s="7">
        <v>1023.761</v>
      </c>
      <c r="G11" s="7">
        <v>568.6352278149003</v>
      </c>
      <c r="H11" s="7">
        <v>7113.9166300860197</v>
      </c>
      <c r="J11" s="7">
        <v>1185.8715326422232</v>
      </c>
      <c r="K11" s="7">
        <v>1069.5791290779161</v>
      </c>
      <c r="L11" s="7">
        <f t="shared" si="0"/>
        <v>7178.3850000000002</v>
      </c>
      <c r="M11" s="7">
        <f t="shared" si="2"/>
        <v>9938.002519621059</v>
      </c>
      <c r="N11" s="8">
        <f>100*L11/(data2018!$BB11*1000)</f>
        <v>9.6253643845755701E-3</v>
      </c>
      <c r="O11" s="8">
        <f>100*M11/(data2018!$BB11*1000)</f>
        <v>1.3325684747500005E-2</v>
      </c>
      <c r="P11" s="8">
        <f>100*E11/(data2018!$BB11*1000)</f>
        <v>2.9945841792061445E-3</v>
      </c>
      <c r="Q11" s="7">
        <v>10632.056</v>
      </c>
      <c r="R11" s="7">
        <v>7213.4930000000004</v>
      </c>
      <c r="S11" s="7">
        <f t="shared" si="3"/>
        <v>6188.344000000001</v>
      </c>
      <c r="T11" s="7">
        <v>60894.786999999997</v>
      </c>
      <c r="U11" s="8">
        <f t="shared" si="4"/>
        <v>17.459714572940374</v>
      </c>
      <c r="V11" s="8">
        <f t="shared" si="5"/>
        <v>11.845830087228979</v>
      </c>
      <c r="W11" s="8">
        <f t="shared" si="6"/>
        <v>10.16235429150939</v>
      </c>
      <c r="X11" s="6">
        <f t="shared" si="1"/>
        <v>1.4739122918674767</v>
      </c>
      <c r="Y11">
        <v>1025.1489999999999</v>
      </c>
    </row>
    <row r="12" spans="1:25" x14ac:dyDescent="0.25">
      <c r="A12">
        <v>1970</v>
      </c>
      <c r="B12" s="7">
        <v>2116.8539999999998</v>
      </c>
      <c r="C12" s="7">
        <v>1770.0630000000001</v>
      </c>
      <c r="D12">
        <v>439.79399999999998</v>
      </c>
      <c r="E12" s="7">
        <v>2474.2199999999998</v>
      </c>
      <c r="F12" s="7">
        <v>1145.789</v>
      </c>
      <c r="G12" s="7">
        <v>659.41666558981137</v>
      </c>
      <c r="H12" s="7">
        <v>8093.9175125427855</v>
      </c>
      <c r="J12" s="7">
        <v>1376.711433665711</v>
      </c>
      <c r="K12" s="7">
        <v>1193.1978196868679</v>
      </c>
      <c r="L12" s="7">
        <f t="shared" si="0"/>
        <v>7946.72</v>
      </c>
      <c r="M12" s="7">
        <f t="shared" si="2"/>
        <v>11323.243431485174</v>
      </c>
      <c r="N12" s="8">
        <f>100*L12/(data2018!$BB12*1000)</f>
        <v>9.4615974434808289E-3</v>
      </c>
      <c r="O12" s="8">
        <f>100*M12/(data2018!$BB12*1000)</f>
        <v>1.3481785076515998E-2</v>
      </c>
      <c r="P12" s="8">
        <f>100*E12/(data2018!$BB12*1000)</f>
        <v>2.9458787558400363E-3</v>
      </c>
      <c r="Q12" s="7">
        <v>12113.578</v>
      </c>
      <c r="R12" s="7">
        <v>8010.9589999999998</v>
      </c>
      <c r="S12" s="7">
        <f t="shared" si="3"/>
        <v>6863.6329999999998</v>
      </c>
      <c r="T12" s="7">
        <v>66849.695999999996</v>
      </c>
      <c r="U12" s="8">
        <f t="shared" si="4"/>
        <v>18.120617930708317</v>
      </c>
      <c r="V12" s="8">
        <f t="shared" si="5"/>
        <v>11.983538414295857</v>
      </c>
      <c r="W12" s="8">
        <f t="shared" si="6"/>
        <v>10.267261349999258</v>
      </c>
      <c r="X12" s="6">
        <f t="shared" si="1"/>
        <v>1.5121258266332407</v>
      </c>
      <c r="Y12">
        <v>1147.326</v>
      </c>
    </row>
    <row r="13" spans="1:25" x14ac:dyDescent="0.25">
      <c r="A13">
        <v>1971</v>
      </c>
      <c r="B13" s="7">
        <v>2570.7939999999999</v>
      </c>
      <c r="C13" s="7">
        <v>2017.7629999999999</v>
      </c>
      <c r="D13">
        <v>473.85399999999998</v>
      </c>
      <c r="E13" s="7">
        <v>2812.3690000000001</v>
      </c>
      <c r="F13" s="7">
        <v>1256.5419999999999</v>
      </c>
      <c r="G13" s="7">
        <v>758.27824486226132</v>
      </c>
      <c r="H13" s="7">
        <v>9007.6447384526437</v>
      </c>
      <c r="J13" s="7">
        <v>1580.4197081774546</v>
      </c>
      <c r="K13" s="7">
        <v>1370.1926655348741</v>
      </c>
      <c r="L13" s="7">
        <f t="shared" si="0"/>
        <v>9131.3220000000001</v>
      </c>
      <c r="M13" s="7">
        <f t="shared" si="2"/>
        <v>12716.535357027235</v>
      </c>
      <c r="N13" s="8">
        <f>100*L13/(data2018!$BB13*1000)</f>
        <v>9.7526538223693272E-3</v>
      </c>
      <c r="O13" s="8">
        <f>100*M13/(data2018!$BB13*1000)</f>
        <v>1.3581819495250126E-2</v>
      </c>
      <c r="P13" s="8">
        <f>100*E13/(data2018!$BB13*1000)</f>
        <v>3.0037338818807405E-3</v>
      </c>
      <c r="Q13" s="7">
        <v>13601.013999999999</v>
      </c>
      <c r="R13" s="7">
        <v>9255.1229999999996</v>
      </c>
      <c r="S13" s="7">
        <f t="shared" si="3"/>
        <v>7996.8769999999995</v>
      </c>
      <c r="T13" s="7">
        <v>74593.706000000006</v>
      </c>
      <c r="U13" s="8">
        <f t="shared" si="4"/>
        <v>18.233460608593436</v>
      </c>
      <c r="V13" s="8">
        <f t="shared" si="5"/>
        <v>12.407377909337281</v>
      </c>
      <c r="W13" s="8">
        <f t="shared" si="6"/>
        <v>10.720578757676954</v>
      </c>
      <c r="X13" s="6">
        <f t="shared" si="1"/>
        <v>1.4695659906410752</v>
      </c>
      <c r="Y13">
        <v>1258.2460000000001</v>
      </c>
    </row>
    <row r="14" spans="1:25" x14ac:dyDescent="0.25">
      <c r="A14">
        <v>1972</v>
      </c>
      <c r="B14" s="7">
        <v>3099.3870000000002</v>
      </c>
      <c r="C14" s="7">
        <v>2230.2809999999999</v>
      </c>
      <c r="D14">
        <v>556.96799999999996</v>
      </c>
      <c r="E14" s="7">
        <v>3115.788</v>
      </c>
      <c r="F14" s="7">
        <v>1411.85</v>
      </c>
      <c r="G14" s="7">
        <v>822.46867152708944</v>
      </c>
      <c r="H14" s="7">
        <v>10027.309579087929</v>
      </c>
      <c r="J14" s="7">
        <v>1819.6584809562783</v>
      </c>
      <c r="K14" s="7">
        <v>1446.2491463081433</v>
      </c>
      <c r="L14" s="7">
        <f t="shared" si="0"/>
        <v>10414.273999999999</v>
      </c>
      <c r="M14" s="7">
        <f t="shared" si="2"/>
        <v>14115.685877879438</v>
      </c>
      <c r="N14" s="8">
        <f>100*L14/(data2018!$BB14*1000)</f>
        <v>9.9256822893087748E-3</v>
      </c>
      <c r="O14" s="8">
        <f>100*M14/(data2018!$BB14*1000)</f>
        <v>1.3453440280091912E-2</v>
      </c>
      <c r="P14" s="8">
        <f>100*E14/(data2018!$BB14*1000)</f>
        <v>2.9696089971169197E-3</v>
      </c>
      <c r="Q14" s="7">
        <v>15094.075999999999</v>
      </c>
      <c r="R14" s="7">
        <v>10560.915999999999</v>
      </c>
      <c r="S14" s="7">
        <f t="shared" si="3"/>
        <v>9147.1989999999987</v>
      </c>
      <c r="T14" s="7">
        <v>83046.157000000007</v>
      </c>
      <c r="U14" s="8">
        <f t="shared" si="4"/>
        <v>18.175526171548189</v>
      </c>
      <c r="V14" s="8">
        <f t="shared" si="5"/>
        <v>12.716923192484389</v>
      </c>
      <c r="W14" s="8">
        <f t="shared" si="6"/>
        <v>11.014596376807656</v>
      </c>
      <c r="X14" s="6">
        <f t="shared" si="1"/>
        <v>1.4292392818956234</v>
      </c>
      <c r="Y14">
        <v>1413.7170000000001</v>
      </c>
    </row>
    <row r="15" spans="1:25" x14ac:dyDescent="0.25">
      <c r="A15">
        <v>1973</v>
      </c>
      <c r="B15" s="7">
        <v>3520.2759999999998</v>
      </c>
      <c r="C15" s="7">
        <v>2508.6970000000001</v>
      </c>
      <c r="D15">
        <v>701.64499999999998</v>
      </c>
      <c r="E15" s="7">
        <v>3526.2809999999999</v>
      </c>
      <c r="F15" s="7">
        <v>1549.86</v>
      </c>
      <c r="G15" s="7">
        <v>931.90789057813606</v>
      </c>
      <c r="H15" s="7">
        <v>11560.224015067235</v>
      </c>
      <c r="J15" s="7">
        <v>2097.9130160616364</v>
      </c>
      <c r="K15" s="7">
        <v>1605.7192361583689</v>
      </c>
      <c r="L15" s="7">
        <f t="shared" si="0"/>
        <v>11806.759000000002</v>
      </c>
      <c r="M15" s="7">
        <f t="shared" si="2"/>
        <v>16195.764157865377</v>
      </c>
      <c r="N15" s="8">
        <f>100*L15/(data2018!$BB15*1000)</f>
        <v>9.9280368707924602E-3</v>
      </c>
      <c r="O15" s="8">
        <f>100*M15/(data2018!$BB15*1000)</f>
        <v>1.3618652138994828E-2</v>
      </c>
      <c r="P15" s="8">
        <f>100*E15/(data2018!$BB15*1000)</f>
        <v>2.9651700170025409E-3</v>
      </c>
      <c r="Q15" s="7">
        <v>16866.447</v>
      </c>
      <c r="R15" s="7">
        <v>11933.936</v>
      </c>
      <c r="S15" s="7">
        <f t="shared" si="3"/>
        <v>10381.942999999999</v>
      </c>
      <c r="T15" s="7">
        <v>94051.126000000004</v>
      </c>
      <c r="U15" s="8">
        <f t="shared" si="4"/>
        <v>17.933274929637737</v>
      </c>
      <c r="V15" s="8">
        <f t="shared" si="5"/>
        <v>12.688775251877365</v>
      </c>
      <c r="W15" s="8">
        <f t="shared" si="6"/>
        <v>11.038616379776249</v>
      </c>
      <c r="X15" s="6">
        <f t="shared" si="1"/>
        <v>1.413318036899142</v>
      </c>
      <c r="Y15">
        <v>1551.9929999999999</v>
      </c>
    </row>
    <row r="16" spans="1:25" x14ac:dyDescent="0.25">
      <c r="A16">
        <v>1974</v>
      </c>
      <c r="B16" s="7">
        <v>3416.88</v>
      </c>
      <c r="C16" s="7">
        <v>2938.3229999999999</v>
      </c>
      <c r="D16">
        <v>752.52599999999995</v>
      </c>
      <c r="E16" s="7">
        <v>4633.1170000000002</v>
      </c>
      <c r="F16" s="7">
        <v>1800.307</v>
      </c>
      <c r="G16" s="7">
        <v>1132.7161940584601</v>
      </c>
      <c r="H16" s="7">
        <v>12991.199158035826</v>
      </c>
      <c r="J16" s="7">
        <v>2576.2136201275548</v>
      </c>
      <c r="K16" s="7">
        <v>2279.210917919449</v>
      </c>
      <c r="L16" s="7">
        <f t="shared" si="0"/>
        <v>13541.153</v>
      </c>
      <c r="M16" s="7">
        <f t="shared" si="2"/>
        <v>18979.339890141287</v>
      </c>
      <c r="N16" s="8">
        <f>100*L16/(data2018!$BB16*1000)</f>
        <v>9.6141278726328827E-3</v>
      </c>
      <c r="O16" s="8">
        <f>100*M16/(data2018!$BB16*1000)</f>
        <v>1.3475204116073457E-2</v>
      </c>
      <c r="P16" s="8">
        <f>100*E16/(data2018!$BB16*1000)</f>
        <v>3.2894820172897567E-3</v>
      </c>
      <c r="Q16" s="7">
        <v>19654.071</v>
      </c>
      <c r="R16" s="7">
        <v>13813.504000000001</v>
      </c>
      <c r="S16" s="7">
        <f t="shared" si="3"/>
        <v>12010.657000000001</v>
      </c>
      <c r="T16" s="7">
        <v>110624.375</v>
      </c>
      <c r="U16" s="8">
        <f t="shared" si="4"/>
        <v>17.766492240069155</v>
      </c>
      <c r="V16" s="8">
        <f t="shared" si="5"/>
        <v>12.486853824032906</v>
      </c>
      <c r="W16" s="8">
        <f t="shared" si="6"/>
        <v>10.857152413290473</v>
      </c>
      <c r="X16" s="6">
        <f t="shared" si="1"/>
        <v>1.4228157460988897</v>
      </c>
      <c r="Y16">
        <v>1802.847</v>
      </c>
    </row>
    <row r="17" spans="1:25" x14ac:dyDescent="0.25">
      <c r="A17">
        <v>1975</v>
      </c>
      <c r="B17" s="7">
        <v>4372.1040000000003</v>
      </c>
      <c r="C17" s="7">
        <v>3510.0219999999999</v>
      </c>
      <c r="D17">
        <v>774.33900000000006</v>
      </c>
      <c r="E17" s="7">
        <v>5115.8019999999997</v>
      </c>
      <c r="F17" s="7">
        <v>2080.9270000000001</v>
      </c>
      <c r="G17" s="7">
        <v>1181.1870727189848</v>
      </c>
      <c r="H17" s="7">
        <v>14997.955046454355</v>
      </c>
      <c r="J17" s="7">
        <v>3297.5172928132438</v>
      </c>
      <c r="K17" s="7">
        <v>2372.5764155956822</v>
      </c>
      <c r="L17" s="7">
        <f t="shared" si="0"/>
        <v>15853.194</v>
      </c>
      <c r="M17" s="7">
        <f t="shared" si="2"/>
        <v>21849.235827582266</v>
      </c>
      <c r="N17" s="8">
        <f>100*L17/(data2018!$BB17*1000)</f>
        <v>9.7837782461250768E-3</v>
      </c>
      <c r="O17" s="8">
        <f>100*M17/(data2018!$BB17*1000)</f>
        <v>1.3484227732553832E-2</v>
      </c>
      <c r="P17" s="8">
        <f>100*E17/(data2018!$BB17*1000)</f>
        <v>3.1572106112549409E-3</v>
      </c>
      <c r="Q17" s="7">
        <v>22550.649000000001</v>
      </c>
      <c r="R17" s="7">
        <v>16243.004000000001</v>
      </c>
      <c r="S17" s="7">
        <f t="shared" si="3"/>
        <v>14159.156000000001</v>
      </c>
      <c r="T17" s="7">
        <v>125970.655</v>
      </c>
      <c r="U17" s="8">
        <f t="shared" si="4"/>
        <v>17.901509680964981</v>
      </c>
      <c r="V17" s="8">
        <f t="shared" si="5"/>
        <v>12.894276051831278</v>
      </c>
      <c r="W17" s="8">
        <f t="shared" si="6"/>
        <v>11.240043167196362</v>
      </c>
      <c r="X17" s="6">
        <f t="shared" si="1"/>
        <v>1.3883299542375289</v>
      </c>
      <c r="Y17">
        <v>2083.848</v>
      </c>
    </row>
    <row r="18" spans="1:25" x14ac:dyDescent="0.25">
      <c r="A18">
        <v>1976</v>
      </c>
      <c r="B18" s="7">
        <v>6424.6289999999999</v>
      </c>
      <c r="C18" s="7">
        <v>4217.8490000000002</v>
      </c>
      <c r="D18">
        <v>856.14300000000003</v>
      </c>
      <c r="E18" s="7">
        <v>5883.5879999999997</v>
      </c>
      <c r="F18" s="7">
        <v>2438.6489999999999</v>
      </c>
      <c r="G18" s="7">
        <v>1452.6499160621681</v>
      </c>
      <c r="H18" s="7">
        <v>17361.789145420338</v>
      </c>
      <c r="J18" s="7">
        <v>3890.1292269489632</v>
      </c>
      <c r="K18" s="7">
        <v>2742.5551499843614</v>
      </c>
      <c r="L18" s="7">
        <f t="shared" si="0"/>
        <v>19820.858</v>
      </c>
      <c r="M18" s="7">
        <f t="shared" si="2"/>
        <v>25447.123438415831</v>
      </c>
      <c r="N18" s="8">
        <f>100*L18/(data2018!$BB18*1000)</f>
        <v>1.0894256633831414E-2</v>
      </c>
      <c r="O18" s="8">
        <f>100*M18/(data2018!$BB18*1000)</f>
        <v>1.3986654529833598E-2</v>
      </c>
      <c r="P18" s="8">
        <f>100*E18/(data2018!$BB18*1000)</f>
        <v>3.2338316333092587E-3</v>
      </c>
      <c r="Q18" s="7">
        <v>26286.276000000002</v>
      </c>
      <c r="R18" s="7">
        <v>20389.948</v>
      </c>
      <c r="S18" s="7">
        <f t="shared" si="3"/>
        <v>17947.933000000001</v>
      </c>
      <c r="T18" s="7">
        <v>145670.72700000001</v>
      </c>
      <c r="U18" s="8">
        <f t="shared" si="4"/>
        <v>18.044995409407132</v>
      </c>
      <c r="V18" s="8">
        <f t="shared" si="5"/>
        <v>13.997285810209487</v>
      </c>
      <c r="W18" s="8">
        <f t="shared" si="6"/>
        <v>12.320892034814928</v>
      </c>
      <c r="X18" s="6">
        <f t="shared" si="1"/>
        <v>1.2891781774038855</v>
      </c>
      <c r="Y18">
        <v>2442.0149999999999</v>
      </c>
    </row>
    <row r="19" spans="1:25" x14ac:dyDescent="0.25">
      <c r="A19">
        <v>1977</v>
      </c>
      <c r="B19" s="7">
        <v>7207.4520000000002</v>
      </c>
      <c r="C19" s="7">
        <v>4693.7950000000001</v>
      </c>
      <c r="D19">
        <v>906.36</v>
      </c>
      <c r="E19" s="7">
        <v>6775.4089999999997</v>
      </c>
      <c r="F19" s="7">
        <v>2721.444</v>
      </c>
      <c r="G19" s="7">
        <v>1665.3580642934135</v>
      </c>
      <c r="H19" s="7">
        <v>19788.001333853266</v>
      </c>
      <c r="J19" s="7">
        <v>4727.7359434051696</v>
      </c>
      <c r="K19" s="7">
        <v>2801.6605532798517</v>
      </c>
      <c r="L19" s="7">
        <f t="shared" si="0"/>
        <v>22304.46</v>
      </c>
      <c r="M19" s="7">
        <f t="shared" si="2"/>
        <v>28982.755894831702</v>
      </c>
      <c r="N19" s="8">
        <f>100*L19/(data2018!$BB19*1000)</f>
        <v>1.0909317677924494E-2</v>
      </c>
      <c r="O19" s="8">
        <f>100*M19/(data2018!$BB19*1000)</f>
        <v>1.4175733967038782E-2</v>
      </c>
      <c r="P19" s="8">
        <f>100*E19/(data2018!$BB19*1000)</f>
        <v>3.3139152070423904E-3</v>
      </c>
      <c r="Q19" s="7">
        <v>29974.83</v>
      </c>
      <c r="R19" s="7">
        <v>23022.761999999999</v>
      </c>
      <c r="S19" s="7">
        <f t="shared" si="3"/>
        <v>20297.535</v>
      </c>
      <c r="T19" s="7">
        <v>163386.95499999999</v>
      </c>
      <c r="U19" s="8">
        <f t="shared" si="4"/>
        <v>18.345913846059499</v>
      </c>
      <c r="V19" s="8">
        <f t="shared" si="5"/>
        <v>14.090942572496072</v>
      </c>
      <c r="W19" s="8">
        <f t="shared" si="6"/>
        <v>12.422983830012624</v>
      </c>
      <c r="X19" s="6">
        <f t="shared" si="1"/>
        <v>1.3019649857823317</v>
      </c>
      <c r="Y19">
        <v>2725.2269999999999</v>
      </c>
    </row>
    <row r="20" spans="1:25" x14ac:dyDescent="0.25">
      <c r="A20">
        <v>1978</v>
      </c>
      <c r="B20" s="7">
        <v>8401.1910000000007</v>
      </c>
      <c r="C20" s="7">
        <v>5462.3209999999999</v>
      </c>
      <c r="D20">
        <v>1018.8680000000001</v>
      </c>
      <c r="E20" s="7">
        <v>7827.768</v>
      </c>
      <c r="F20" s="7">
        <v>3207.46</v>
      </c>
      <c r="G20" s="7">
        <v>1796.6578408631819</v>
      </c>
      <c r="H20" s="7">
        <v>22304.918541759958</v>
      </c>
      <c r="J20" s="7">
        <v>5574.9418373352473</v>
      </c>
      <c r="K20" s="7">
        <v>3399.5226497112412</v>
      </c>
      <c r="L20" s="7">
        <f t="shared" si="0"/>
        <v>25917.608</v>
      </c>
      <c r="M20" s="7">
        <f t="shared" si="2"/>
        <v>33076.040869669625</v>
      </c>
      <c r="N20" s="8">
        <f>100*L20/(data2018!$BB20*1000)</f>
        <v>1.1000785236534466E-2</v>
      </c>
      <c r="O20" s="8">
        <f>100*M20/(data2018!$BB20*1000)</f>
        <v>1.4039197679125029E-2</v>
      </c>
      <c r="P20" s="8">
        <f>100*E20/(data2018!$BB20*1000)</f>
        <v>3.3225131983405619E-3</v>
      </c>
      <c r="Q20" s="7">
        <v>34259.957999999999</v>
      </c>
      <c r="R20" s="7">
        <v>26747.120999999999</v>
      </c>
      <c r="S20" s="7">
        <f t="shared" si="3"/>
        <v>23535.235000000001</v>
      </c>
      <c r="T20" s="7">
        <v>184590.022</v>
      </c>
      <c r="U20" s="8">
        <f t="shared" si="4"/>
        <v>18.560027041981716</v>
      </c>
      <c r="V20" s="8">
        <f t="shared" si="5"/>
        <v>14.490014525270494</v>
      </c>
      <c r="W20" s="8">
        <f t="shared" si="6"/>
        <v>12.750003897827154</v>
      </c>
      <c r="X20" s="6">
        <f t="shared" si="1"/>
        <v>1.280883950089432</v>
      </c>
      <c r="Y20">
        <v>3211.886</v>
      </c>
    </row>
    <row r="21" spans="1:25" x14ac:dyDescent="0.25">
      <c r="A21">
        <v>1979</v>
      </c>
      <c r="B21" s="7">
        <v>9805.5669999999991</v>
      </c>
      <c r="C21" s="7">
        <v>6118.5519999999997</v>
      </c>
      <c r="D21">
        <v>1180.999</v>
      </c>
      <c r="E21" s="7">
        <v>9071.8960000000006</v>
      </c>
      <c r="F21" s="7">
        <v>3848.7660000000001</v>
      </c>
      <c r="G21" s="7">
        <v>1954.0900272238214</v>
      </c>
      <c r="H21" s="7">
        <v>25759.791272214912</v>
      </c>
      <c r="J21" s="7">
        <v>6537.9445226379121</v>
      </c>
      <c r="K21" s="7">
        <v>3974.612021103143</v>
      </c>
      <c r="L21" s="7">
        <f t="shared" si="0"/>
        <v>30025.78</v>
      </c>
      <c r="M21" s="7">
        <f t="shared" si="2"/>
        <v>38226.437843179789</v>
      </c>
      <c r="N21" s="8">
        <f>100*L21/(data2018!$BB21*1000)</f>
        <v>1.1390798370845169E-2</v>
      </c>
      <c r="O21" s="8">
        <f>100*M21/(data2018!$BB21*1000)</f>
        <v>1.4501859598894898E-2</v>
      </c>
      <c r="P21" s="8">
        <f>100*E21/(data2018!$BB21*1000)</f>
        <v>3.4415804744215412E-3</v>
      </c>
      <c r="Q21" s="7">
        <v>39505.207000000002</v>
      </c>
      <c r="R21" s="7">
        <v>30983.844000000001</v>
      </c>
      <c r="S21" s="7">
        <f t="shared" si="3"/>
        <v>27130.098000000002</v>
      </c>
      <c r="T21" s="7">
        <v>211776.00099999999</v>
      </c>
      <c r="U21" s="8">
        <f t="shared" si="4"/>
        <v>18.654241657910994</v>
      </c>
      <c r="V21" s="8">
        <f t="shared" si="5"/>
        <v>14.630479305348674</v>
      </c>
      <c r="W21" s="8">
        <f t="shared" si="6"/>
        <v>12.810751866071927</v>
      </c>
      <c r="X21" s="6">
        <f t="shared" si="1"/>
        <v>1.2750260103297706</v>
      </c>
      <c r="Y21">
        <v>3853.7460000000001</v>
      </c>
    </row>
    <row r="22" spans="1:25" x14ac:dyDescent="0.25">
      <c r="A22">
        <v>1980</v>
      </c>
      <c r="B22" s="7">
        <v>10701.824000000001</v>
      </c>
      <c r="C22" s="7">
        <v>6940.4840000000004</v>
      </c>
      <c r="D22">
        <v>1277.278</v>
      </c>
      <c r="E22" s="7">
        <v>10774.437</v>
      </c>
      <c r="F22" s="7">
        <v>4497.1090000000004</v>
      </c>
      <c r="G22" s="7">
        <v>2351.9378872219554</v>
      </c>
      <c r="H22" s="7">
        <v>30209.582047551168</v>
      </c>
      <c r="J22" s="7">
        <v>8523.8147412986364</v>
      </c>
      <c r="K22" s="7">
        <v>5313.1125039044364</v>
      </c>
      <c r="L22" s="7">
        <f t="shared" si="0"/>
        <v>34191.131999999998</v>
      </c>
      <c r="M22" s="7">
        <f t="shared" si="2"/>
        <v>46398.447179976196</v>
      </c>
      <c r="N22" s="8">
        <f>100*L22/(data2018!$BB22*1000)</f>
        <v>1.1406564679319005E-2</v>
      </c>
      <c r="O22" s="8">
        <f>100*M22/(data2018!$BB22*1000)</f>
        <v>1.5479068922853008E-2</v>
      </c>
      <c r="P22" s="8">
        <f>100*E22/(data2018!$BB22*1000)</f>
        <v>3.5944791919655605E-3</v>
      </c>
      <c r="Q22" s="7">
        <v>47810.025000000001</v>
      </c>
      <c r="R22" s="7">
        <v>35351.862999999998</v>
      </c>
      <c r="S22" s="7">
        <f t="shared" si="3"/>
        <v>30849.203999999998</v>
      </c>
      <c r="T22" s="7">
        <v>242302.97500000001</v>
      </c>
      <c r="U22" s="8">
        <f t="shared" si="4"/>
        <v>19.731505566532974</v>
      </c>
      <c r="V22" s="8">
        <f t="shared" si="5"/>
        <v>14.589941786723831</v>
      </c>
      <c r="W22" s="8">
        <f t="shared" si="6"/>
        <v>12.731665387104718</v>
      </c>
      <c r="X22" s="6">
        <f t="shared" si="1"/>
        <v>1.3524046809074817</v>
      </c>
      <c r="Y22">
        <v>4502.6589999999997</v>
      </c>
    </row>
    <row r="23" spans="1:25" x14ac:dyDescent="0.25">
      <c r="A23">
        <v>1981</v>
      </c>
      <c r="B23" s="7">
        <v>12282.763999999999</v>
      </c>
      <c r="C23" s="7">
        <v>8168.201</v>
      </c>
      <c r="D23">
        <v>1464.08</v>
      </c>
      <c r="E23" s="7">
        <v>12755.109</v>
      </c>
      <c r="F23" s="7">
        <v>5254.5820000000003</v>
      </c>
      <c r="G23" s="7">
        <v>2639.2948959213263</v>
      </c>
      <c r="H23" s="7">
        <v>35623.223834431279</v>
      </c>
      <c r="J23" s="7">
        <v>10135.856074926463</v>
      </c>
      <c r="K23" s="7">
        <v>5682.372654818766</v>
      </c>
      <c r="L23" s="7">
        <f t="shared" si="0"/>
        <v>39924.735999999997</v>
      </c>
      <c r="M23" s="7">
        <f t="shared" si="2"/>
        <v>54080.747460097831</v>
      </c>
      <c r="N23" s="8">
        <f>100*L23/(data2018!$BB23*1000)</f>
        <v>1.1521854729301719E-2</v>
      </c>
      <c r="O23" s="8">
        <f>100*M23/(data2018!$BB23*1000)</f>
        <v>1.5607129271619984E-2</v>
      </c>
      <c r="P23" s="8">
        <f>100*E23/(data2018!$BB23*1000)</f>
        <v>3.6809889727112775E-3</v>
      </c>
      <c r="Q23" s="7">
        <v>55490.5</v>
      </c>
      <c r="R23" s="7">
        <v>41051.784</v>
      </c>
      <c r="S23" s="7">
        <f t="shared" si="3"/>
        <v>35790.163999999997</v>
      </c>
      <c r="T23" s="7">
        <v>281002.864</v>
      </c>
      <c r="U23" s="8">
        <f t="shared" si="4"/>
        <v>19.747307628864593</v>
      </c>
      <c r="V23" s="8">
        <f t="shared" si="5"/>
        <v>14.609026903014056</v>
      </c>
      <c r="W23" s="8">
        <f t="shared" si="6"/>
        <v>12.7365833538266</v>
      </c>
      <c r="X23" s="6">
        <f t="shared" si="1"/>
        <v>1.3517195744769581</v>
      </c>
      <c r="Y23">
        <v>5261.62</v>
      </c>
    </row>
    <row r="24" spans="1:25" x14ac:dyDescent="0.25">
      <c r="A24">
        <v>1982</v>
      </c>
      <c r="B24" s="7">
        <v>15840.421</v>
      </c>
      <c r="C24" s="7">
        <v>9537.4519999999993</v>
      </c>
      <c r="D24">
        <v>1879.818</v>
      </c>
      <c r="E24" s="7">
        <v>14816.772999999999</v>
      </c>
      <c r="F24" s="7">
        <v>6099.6040000000003</v>
      </c>
      <c r="G24" s="7">
        <v>3030.6680890143739</v>
      </c>
      <c r="H24" s="7">
        <v>40691.974903603557</v>
      </c>
      <c r="J24" s="7">
        <v>11991.012908140485</v>
      </c>
      <c r="K24" s="7">
        <v>6152.3784941501981</v>
      </c>
      <c r="L24" s="7">
        <f t="shared" si="0"/>
        <v>48174.067999999999</v>
      </c>
      <c r="M24" s="7">
        <f t="shared" si="2"/>
        <v>61866.034394908609</v>
      </c>
      <c r="N24" s="8">
        <f>100*L24/(data2018!$BB24*1000)</f>
        <v>1.2168558060490081E-2</v>
      </c>
      <c r="O24" s="8">
        <f>100*M24/(data2018!$BB24*1000)</f>
        <v>1.5627088654973496E-2</v>
      </c>
      <c r="P24" s="8">
        <f>100*E24/(data2018!$BB24*1000)</f>
        <v>3.7426518042778072E-3</v>
      </c>
      <c r="Q24" s="7">
        <v>62831.561000000002</v>
      </c>
      <c r="R24" s="7">
        <v>49369.921999999999</v>
      </c>
      <c r="S24" s="7">
        <f t="shared" si="3"/>
        <v>43262.203999999998</v>
      </c>
      <c r="T24" s="7">
        <v>324504.06699999998</v>
      </c>
      <c r="U24" s="8">
        <f t="shared" si="4"/>
        <v>19.362333908745743</v>
      </c>
      <c r="V24" s="8">
        <f t="shared" si="5"/>
        <v>15.213960939355502</v>
      </c>
      <c r="W24" s="8">
        <f t="shared" si="6"/>
        <v>13.33179100032666</v>
      </c>
      <c r="X24" s="6">
        <f t="shared" si="1"/>
        <v>1.2726688326548299</v>
      </c>
      <c r="Y24">
        <v>6107.7179999999998</v>
      </c>
    </row>
    <row r="25" spans="1:25" x14ac:dyDescent="0.25">
      <c r="A25">
        <v>1983</v>
      </c>
      <c r="B25" s="7">
        <v>17364.269</v>
      </c>
      <c r="C25" s="7">
        <v>10440.557000000001</v>
      </c>
      <c r="D25">
        <v>2243.8820000000001</v>
      </c>
      <c r="E25" s="7">
        <v>16083.61</v>
      </c>
      <c r="F25" s="7">
        <v>6798.3329999999996</v>
      </c>
      <c r="G25" s="7">
        <v>3336.7033705014437</v>
      </c>
      <c r="H25" s="7">
        <v>46607.820227790988</v>
      </c>
      <c r="J25" s="7">
        <v>14137.000612565811</v>
      </c>
      <c r="K25" s="7">
        <v>6671.7973867010305</v>
      </c>
      <c r="L25" s="7">
        <f t="shared" si="0"/>
        <v>52930.650999999998</v>
      </c>
      <c r="M25" s="7">
        <f t="shared" si="2"/>
        <v>70753.321597559276</v>
      </c>
      <c r="N25" s="8">
        <f>100*L25/(data2018!$BB25*1000)</f>
        <v>1.2214707360626433E-2</v>
      </c>
      <c r="O25" s="8">
        <f>100*M25/(data2018!$BB25*1000)</f>
        <v>1.6327611729288507E-2</v>
      </c>
      <c r="P25" s="8">
        <f>100*E25/(data2018!$BB25*1000)</f>
        <v>3.7115846062888008E-3</v>
      </c>
      <c r="Q25" s="7">
        <v>71662.635999999999</v>
      </c>
      <c r="R25" s="7">
        <v>53972.428999999996</v>
      </c>
      <c r="S25" s="7">
        <f t="shared" si="3"/>
        <v>47164.922999999995</v>
      </c>
      <c r="T25" s="7">
        <v>358620.98599999998</v>
      </c>
      <c r="U25" s="8">
        <f t="shared" si="4"/>
        <v>19.982833910338979</v>
      </c>
      <c r="V25" s="8">
        <f t="shared" si="5"/>
        <v>15.049991803881772</v>
      </c>
      <c r="W25" s="8">
        <f t="shared" si="6"/>
        <v>13.151746507104859</v>
      </c>
      <c r="X25" s="6">
        <f t="shared" si="1"/>
        <v>1.3277637736111525</v>
      </c>
      <c r="Y25">
        <v>6807.5060000000003</v>
      </c>
    </row>
    <row r="26" spans="1:25" x14ac:dyDescent="0.25">
      <c r="A26">
        <v>1984</v>
      </c>
      <c r="B26" s="7">
        <v>16912.012999999999</v>
      </c>
      <c r="C26" s="7">
        <v>11132.25</v>
      </c>
      <c r="D26">
        <v>2721.1990000000001</v>
      </c>
      <c r="E26" s="7">
        <v>17597.641</v>
      </c>
      <c r="F26" s="7">
        <v>7344.3810000000003</v>
      </c>
      <c r="G26" s="7">
        <v>3600.3789547137308</v>
      </c>
      <c r="H26" s="7">
        <v>52475.952300491641</v>
      </c>
      <c r="J26" s="7">
        <v>16480.637085465867</v>
      </c>
      <c r="K26" s="7">
        <v>7023.4366926281691</v>
      </c>
      <c r="L26" s="7">
        <f t="shared" si="0"/>
        <v>55707.484000000004</v>
      </c>
      <c r="M26" s="7">
        <f t="shared" si="2"/>
        <v>79580.405033299408</v>
      </c>
      <c r="N26" s="8">
        <f>100*L26/(data2018!$BB26*1000)</f>
        <v>1.2053581683094408E-2</v>
      </c>
      <c r="O26" s="8">
        <f>100*M26/(data2018!$BB26*1000)</f>
        <v>1.7219031332354046E-2</v>
      </c>
      <c r="P26" s="8">
        <f>100*E26/(data2018!$BB26*1000)</f>
        <v>3.8076500317851571E-3</v>
      </c>
      <c r="Q26" s="7">
        <v>80422.941999999995</v>
      </c>
      <c r="R26" s="7">
        <v>56466.588000000003</v>
      </c>
      <c r="S26" s="7">
        <f t="shared" si="3"/>
        <v>49112.353000000003</v>
      </c>
      <c r="T26" s="7">
        <v>389721.72899999999</v>
      </c>
      <c r="U26" s="8">
        <f t="shared" si="4"/>
        <v>20.635991276739922</v>
      </c>
      <c r="V26" s="8">
        <f t="shared" si="5"/>
        <v>14.48895039670729</v>
      </c>
      <c r="W26" s="8">
        <f t="shared" si="6"/>
        <v>12.601902677076549</v>
      </c>
      <c r="X26" s="6">
        <f t="shared" si="1"/>
        <v>1.4242571553995789</v>
      </c>
      <c r="Y26">
        <v>7354.2349999999997</v>
      </c>
    </row>
    <row r="27" spans="1:25" x14ac:dyDescent="0.25">
      <c r="A27">
        <v>1985</v>
      </c>
      <c r="B27" s="7">
        <v>18370.420999999998</v>
      </c>
      <c r="C27" s="7">
        <v>11829.870999999999</v>
      </c>
      <c r="D27">
        <v>3089.5610000000001</v>
      </c>
      <c r="E27" s="7">
        <v>19454.899000000001</v>
      </c>
      <c r="F27" s="7">
        <v>7943.36</v>
      </c>
      <c r="G27" s="7">
        <v>3867.8605378114225</v>
      </c>
      <c r="H27" s="7">
        <v>57511.120963788002</v>
      </c>
      <c r="J27" s="7">
        <v>18613.04462069874</v>
      </c>
      <c r="K27" s="7">
        <v>7672.7996755948525</v>
      </c>
      <c r="L27" s="7">
        <f t="shared" si="0"/>
        <v>60688.111999999994</v>
      </c>
      <c r="M27" s="7">
        <f t="shared" si="2"/>
        <v>87664.82579789302</v>
      </c>
      <c r="N27" s="8">
        <f>100*L27/(data2018!$BB27*1000)</f>
        <v>1.2273750567544636E-2</v>
      </c>
      <c r="O27" s="8">
        <f>100*M27/(data2018!$BB27*1000)</f>
        <v>1.7729604199758119E-2</v>
      </c>
      <c r="P27" s="8">
        <f>100*E27/(data2018!$BB27*1000)</f>
        <v>3.9346186555082423E-3</v>
      </c>
      <c r="Q27" s="7">
        <v>88237.03</v>
      </c>
      <c r="R27" s="7">
        <v>61199.838000000003</v>
      </c>
      <c r="S27" s="7">
        <f t="shared" si="3"/>
        <v>53245.69</v>
      </c>
      <c r="T27" s="7">
        <v>421869.56599999999</v>
      </c>
      <c r="U27" s="8">
        <f t="shared" si="4"/>
        <v>20.915713554933234</v>
      </c>
      <c r="V27" s="8">
        <f t="shared" si="5"/>
        <v>14.506815123042085</v>
      </c>
      <c r="W27" s="8">
        <f t="shared" si="6"/>
        <v>12.621363163229461</v>
      </c>
      <c r="X27" s="6">
        <f t="shared" si="1"/>
        <v>1.441785352438351</v>
      </c>
      <c r="Y27">
        <v>7954.1480000000001</v>
      </c>
    </row>
    <row r="28" spans="1:25" x14ac:dyDescent="0.25">
      <c r="A28">
        <v>1986</v>
      </c>
      <c r="B28" s="7">
        <v>21783.075000000001</v>
      </c>
      <c r="C28" s="7">
        <v>12836.772000000001</v>
      </c>
      <c r="D28">
        <v>3255.81</v>
      </c>
      <c r="E28" s="7">
        <v>17700.125</v>
      </c>
      <c r="F28" s="7">
        <v>8043.9709999999995</v>
      </c>
      <c r="G28" s="7">
        <v>4107.5404538460662</v>
      </c>
      <c r="H28" s="7">
        <v>62501.821321430383</v>
      </c>
      <c r="J28" s="7">
        <v>18394.034993542529</v>
      </c>
      <c r="K28" s="7">
        <v>6076.6524643516241</v>
      </c>
      <c r="L28" s="7">
        <f t="shared" si="0"/>
        <v>63619.752999999997</v>
      </c>
      <c r="M28" s="7">
        <f t="shared" si="2"/>
        <v>91080.049233170605</v>
      </c>
      <c r="N28" s="8">
        <f>100*L28/(data2018!$BB28*1000)</f>
        <v>1.2214571222151121E-2</v>
      </c>
      <c r="O28" s="8">
        <f>100*M28/(data2018!$BB28*1000)</f>
        <v>1.7486766229280911E-2</v>
      </c>
      <c r="P28" s="8">
        <f>100*E28/(data2018!$BB28*1000)</f>
        <v>3.3983067720095928E-3</v>
      </c>
      <c r="Q28" s="7">
        <v>91624.544999999998</v>
      </c>
      <c r="R28" s="7">
        <v>64543.588000000003</v>
      </c>
      <c r="S28" s="7">
        <f t="shared" si="3"/>
        <v>56488.554000000004</v>
      </c>
      <c r="T28" s="7">
        <v>449572.87599999999</v>
      </c>
      <c r="U28" s="8">
        <f t="shared" si="4"/>
        <v>20.380354307674025</v>
      </c>
      <c r="V28" s="8">
        <f t="shared" si="5"/>
        <v>14.356646373835064</v>
      </c>
      <c r="W28" s="8">
        <f t="shared" si="6"/>
        <v>12.564938192579039</v>
      </c>
      <c r="X28" s="6">
        <f t="shared" si="1"/>
        <v>1.4195762559713909</v>
      </c>
      <c r="Y28">
        <v>8055.0339999999997</v>
      </c>
    </row>
    <row r="29" spans="1:25" x14ac:dyDescent="0.25">
      <c r="A29">
        <v>1987</v>
      </c>
      <c r="B29" s="7">
        <v>24711.806</v>
      </c>
      <c r="C29" s="7">
        <v>14515.561</v>
      </c>
      <c r="D29">
        <v>3561.779</v>
      </c>
      <c r="E29" s="7">
        <v>17950.096000000001</v>
      </c>
      <c r="F29" s="7">
        <v>8434.2569999999996</v>
      </c>
      <c r="G29" s="7">
        <v>4509.8028594613052</v>
      </c>
      <c r="H29" s="7">
        <v>67997.704166381882</v>
      </c>
      <c r="J29" s="7">
        <v>17958.326989919733</v>
      </c>
      <c r="K29" s="7">
        <v>5342.0169600835061</v>
      </c>
      <c r="L29" s="7">
        <f t="shared" si="0"/>
        <v>69173.498999999996</v>
      </c>
      <c r="M29" s="7">
        <f t="shared" si="2"/>
        <v>95807.850975846421</v>
      </c>
      <c r="N29" s="8">
        <f>100*L29/(data2018!$BB29*1000)</f>
        <v>1.272406923736151E-2</v>
      </c>
      <c r="O29" s="8">
        <f>100*M29/(data2018!$BB29*1000)</f>
        <v>1.7623305845776045E-2</v>
      </c>
      <c r="P29" s="8">
        <f>100*E29/(data2018!$BB29*1000)</f>
        <v>3.3018174246366504E-3</v>
      </c>
      <c r="Q29" s="7">
        <v>96551.225999999995</v>
      </c>
      <c r="R29" s="7">
        <v>70322.979000000007</v>
      </c>
      <c r="S29" s="7">
        <f t="shared" si="3"/>
        <v>61876.895000000004</v>
      </c>
      <c r="T29" s="7">
        <v>478272.73599999998</v>
      </c>
      <c r="U29" s="8">
        <f t="shared" si="4"/>
        <v>20.187482733701131</v>
      </c>
      <c r="V29" s="8">
        <f t="shared" si="5"/>
        <v>14.703530790431676</v>
      </c>
      <c r="W29" s="8">
        <f t="shared" si="6"/>
        <v>12.937575224860822</v>
      </c>
      <c r="X29" s="6">
        <f t="shared" si="1"/>
        <v>1.3729683721163175</v>
      </c>
      <c r="Y29">
        <v>8446.0840000000007</v>
      </c>
    </row>
    <row r="30" spans="1:25" x14ac:dyDescent="0.25">
      <c r="A30">
        <v>1988</v>
      </c>
      <c r="B30" s="7">
        <v>26386.894</v>
      </c>
      <c r="C30" s="7">
        <v>15733.901</v>
      </c>
      <c r="D30">
        <v>3554.3649999999998</v>
      </c>
      <c r="E30" s="7">
        <v>18687.398000000001</v>
      </c>
      <c r="F30" s="7">
        <v>8986.89</v>
      </c>
      <c r="G30" s="7">
        <v>4796.4241105578249</v>
      </c>
      <c r="H30" s="7">
        <v>74483.952374319953</v>
      </c>
      <c r="J30" s="7">
        <v>17242.694731550644</v>
      </c>
      <c r="K30" s="7">
        <v>4702.4886973912035</v>
      </c>
      <c r="L30" s="7">
        <f t="shared" si="0"/>
        <v>73349.448000000004</v>
      </c>
      <c r="M30" s="7">
        <f t="shared" si="2"/>
        <v>101225.55991381963</v>
      </c>
      <c r="N30" s="8">
        <f>100*L30/(data2018!$BB30*1000)</f>
        <v>1.2700987584972585E-2</v>
      </c>
      <c r="O30" s="8">
        <f>100*M30/(data2018!$BB30*1000)</f>
        <v>1.7527938039115461E-2</v>
      </c>
      <c r="P30" s="8">
        <f>100*E30/(data2018!$BB30*1000)</f>
        <v>3.2358581620606265E-3</v>
      </c>
      <c r="Q30" s="7">
        <v>102595.183</v>
      </c>
      <c r="R30" s="7">
        <v>74987.097999999998</v>
      </c>
      <c r="S30" s="7">
        <f t="shared" si="3"/>
        <v>65987.426999999996</v>
      </c>
      <c r="T30" s="7">
        <v>507385.72</v>
      </c>
      <c r="U30" s="8">
        <f t="shared" si="4"/>
        <v>20.220352870790297</v>
      </c>
      <c r="V30" s="8">
        <f t="shared" si="5"/>
        <v>14.779110850813854</v>
      </c>
      <c r="W30" s="8">
        <f t="shared" si="6"/>
        <v>13.005377250270268</v>
      </c>
      <c r="X30" s="6">
        <f t="shared" si="1"/>
        <v>1.3681711352531605</v>
      </c>
      <c r="Y30">
        <v>8999.6710000000003</v>
      </c>
    </row>
    <row r="31" spans="1:25" x14ac:dyDescent="0.25">
      <c r="A31">
        <v>1989</v>
      </c>
      <c r="B31" s="7">
        <v>29262.651000000002</v>
      </c>
      <c r="C31" s="7">
        <v>16849.208999999999</v>
      </c>
      <c r="D31">
        <v>3736.0889999999999</v>
      </c>
      <c r="E31" s="7">
        <v>20308.302</v>
      </c>
      <c r="F31" s="7">
        <v>9538.5509999999995</v>
      </c>
      <c r="G31" s="7">
        <v>5131.4482415972152</v>
      </c>
      <c r="H31" s="7">
        <v>81737.16218455635</v>
      </c>
      <c r="J31" s="7">
        <v>17480.523339707641</v>
      </c>
      <c r="K31" s="7">
        <v>4923.543096205407</v>
      </c>
      <c r="L31" s="7">
        <f t="shared" si="0"/>
        <v>79694.801999999996</v>
      </c>
      <c r="M31" s="7">
        <f t="shared" si="2"/>
        <v>109272.67686206661</v>
      </c>
      <c r="N31" s="8">
        <f>100*L31/(data2018!$BB31*1000)</f>
        <v>1.2827319498024752E-2</v>
      </c>
      <c r="O31" s="8">
        <f>100*M31/(data2018!$BB31*1000)</f>
        <v>1.7588042172614286E-2</v>
      </c>
      <c r="P31" s="8">
        <f>100*E31/(data2018!$BB31*1000)</f>
        <v>3.2687336147265299E-3</v>
      </c>
      <c r="Q31" s="7">
        <v>110282.382</v>
      </c>
      <c r="R31" s="7">
        <v>81958.447</v>
      </c>
      <c r="S31" s="7">
        <f t="shared" si="3"/>
        <v>72406.212</v>
      </c>
      <c r="T31" s="7">
        <v>543716.43599999999</v>
      </c>
      <c r="U31" s="8">
        <f t="shared" si="4"/>
        <v>20.283069390236346</v>
      </c>
      <c r="V31" s="8">
        <f t="shared" si="5"/>
        <v>15.073748294782099</v>
      </c>
      <c r="W31" s="8">
        <f t="shared" si="6"/>
        <v>13.316906976856592</v>
      </c>
      <c r="X31" s="6">
        <f t="shared" si="1"/>
        <v>1.3455889665649716</v>
      </c>
      <c r="Y31">
        <v>9552.2350000000006</v>
      </c>
    </row>
    <row r="32" spans="1:25" x14ac:dyDescent="0.25">
      <c r="A32">
        <v>1990</v>
      </c>
      <c r="B32" s="7">
        <v>29635.084999999999</v>
      </c>
      <c r="C32" s="7">
        <v>17802.409</v>
      </c>
      <c r="D32" s="7">
        <v>3893.337</v>
      </c>
      <c r="E32" s="7">
        <v>21227.798999999999</v>
      </c>
      <c r="F32" s="7">
        <v>10308.657999999999</v>
      </c>
      <c r="G32" s="7">
        <v>5490.3109189689694</v>
      </c>
      <c r="H32" s="7">
        <v>87810.447856985134</v>
      </c>
      <c r="I32" s="7">
        <v>2240.4036872650277</v>
      </c>
      <c r="J32" s="7">
        <v>18611.459279017141</v>
      </c>
      <c r="K32" s="7">
        <v>5335.0057625589407</v>
      </c>
      <c r="L32" s="7">
        <f t="shared" si="0"/>
        <v>82867.288</v>
      </c>
      <c r="M32" s="7">
        <f t="shared" si="2"/>
        <v>119487.62750479522</v>
      </c>
      <c r="N32" s="8">
        <f>100*L32/(data2018!$BB32*1000)</f>
        <v>1.2501610538326074E-2</v>
      </c>
      <c r="O32" s="8">
        <f>100*M32/(data2018!$BB32*1000)</f>
        <v>1.8026266084797279E-2</v>
      </c>
      <c r="P32" s="8">
        <f>100*E32/(data2018!$BB32*1000)</f>
        <v>3.2024901754220277E-3</v>
      </c>
      <c r="Q32" s="7">
        <v>118183.554</v>
      </c>
      <c r="R32" s="7">
        <v>85342.422999999995</v>
      </c>
      <c r="S32" s="7">
        <f t="shared" si="3"/>
        <v>75019.228999999992</v>
      </c>
      <c r="T32" s="7">
        <v>573408.95700000005</v>
      </c>
      <c r="U32" s="8">
        <f t="shared" si="4"/>
        <v>20.610691995172303</v>
      </c>
      <c r="V32" s="8">
        <f t="shared" si="5"/>
        <v>14.883343198282127</v>
      </c>
      <c r="W32" s="8">
        <f t="shared" si="6"/>
        <v>13.083023570557861</v>
      </c>
      <c r="X32" s="6">
        <f t="shared" si="1"/>
        <v>1.3848160134848762</v>
      </c>
      <c r="Y32">
        <v>10323.194</v>
      </c>
    </row>
    <row r="33" spans="1:25" x14ac:dyDescent="0.25">
      <c r="A33">
        <v>1991</v>
      </c>
      <c r="B33" s="7">
        <v>27226.543000000001</v>
      </c>
      <c r="C33" s="7">
        <v>18563.161</v>
      </c>
      <c r="D33" s="7">
        <v>3666.5120000000002</v>
      </c>
      <c r="E33" s="7">
        <v>21600.244999999999</v>
      </c>
      <c r="F33" s="7">
        <v>10309.481</v>
      </c>
      <c r="G33" s="7">
        <v>5867.4104145667116</v>
      </c>
      <c r="H33" s="7">
        <v>95046.690768794899</v>
      </c>
      <c r="I33" s="7">
        <v>3004.4546560159679</v>
      </c>
      <c r="J33" s="7">
        <v>21072.123573020832</v>
      </c>
      <c r="K33" s="7">
        <v>5848.9702697188904</v>
      </c>
      <c r="L33" s="7">
        <f t="shared" si="0"/>
        <v>81365.941999999995</v>
      </c>
      <c r="M33" s="7">
        <f t="shared" si="2"/>
        <v>130839.64968211729</v>
      </c>
      <c r="N33" s="8">
        <f>100*L33/(data2018!$BB33*1000)</f>
        <v>1.1770776811642843E-2</v>
      </c>
      <c r="O33" s="8">
        <f>100*M33/(data2018!$BB33*1000)</f>
        <v>1.8927874202227503E-2</v>
      </c>
      <c r="P33" s="8">
        <f>100*E33/(data2018!$BB33*1000)</f>
        <v>3.1247922253736615E-3</v>
      </c>
      <c r="Q33" s="7">
        <v>128387.59699999999</v>
      </c>
      <c r="R33" s="7">
        <v>84292.319000000003</v>
      </c>
      <c r="S33" s="7">
        <f t="shared" si="3"/>
        <v>73968.701000000001</v>
      </c>
      <c r="T33" s="7">
        <v>592510.87699999998</v>
      </c>
      <c r="U33" s="8">
        <f t="shared" si="4"/>
        <v>21.668394958427065</v>
      </c>
      <c r="V33" s="8">
        <f t="shared" si="5"/>
        <v>14.226290566476809</v>
      </c>
      <c r="W33" s="8">
        <f t="shared" si="6"/>
        <v>12.483939767404472</v>
      </c>
      <c r="X33" s="6">
        <f t="shared" si="1"/>
        <v>1.5231233227786745</v>
      </c>
      <c r="Y33">
        <v>10323.618</v>
      </c>
    </row>
    <row r="34" spans="1:25" x14ac:dyDescent="0.25">
      <c r="A34">
        <v>1992</v>
      </c>
      <c r="B34" s="7">
        <v>28463.924999999999</v>
      </c>
      <c r="C34" s="7">
        <v>19416.858</v>
      </c>
      <c r="D34" s="7">
        <v>3319.9630000000002</v>
      </c>
      <c r="E34" s="7">
        <v>21405.058000000001</v>
      </c>
      <c r="F34" s="7">
        <v>11048.087</v>
      </c>
      <c r="G34" s="7">
        <v>6243.0459619333906</v>
      </c>
      <c r="H34" s="7">
        <v>103109.21528285871</v>
      </c>
      <c r="I34" s="7">
        <v>2449.6505292591501</v>
      </c>
      <c r="J34" s="7">
        <v>21909.864762767698</v>
      </c>
      <c r="K34" s="7">
        <v>5396.0042030308259</v>
      </c>
      <c r="L34" s="7">
        <f t="shared" si="0"/>
        <v>83653.891000000003</v>
      </c>
      <c r="M34" s="7">
        <f t="shared" si="2"/>
        <v>139107.78073984978</v>
      </c>
      <c r="N34" s="8">
        <f>100*L34/(data2018!$BB34*1000)</f>
        <v>1.1561870544861496E-2</v>
      </c>
      <c r="O34" s="8">
        <f>100*M34/(data2018!$BB34*1000)</f>
        <v>1.9226196575806861E-2</v>
      </c>
      <c r="P34" s="8">
        <f>100*E34/(data2018!$BB34*1000)</f>
        <v>2.95841002304665E-3</v>
      </c>
      <c r="Q34" s="7">
        <v>136724.10699999999</v>
      </c>
      <c r="R34" s="7">
        <v>87325.637000000002</v>
      </c>
      <c r="S34" s="7">
        <f t="shared" si="3"/>
        <v>76263</v>
      </c>
      <c r="T34" s="7">
        <v>613680.98</v>
      </c>
      <c r="U34" s="8">
        <f t="shared" si="4"/>
        <v>22.279345695217732</v>
      </c>
      <c r="V34" s="8">
        <f t="shared" si="5"/>
        <v>14.229809925020001</v>
      </c>
      <c r="W34" s="8">
        <f t="shared" si="6"/>
        <v>12.427140890043553</v>
      </c>
      <c r="X34" s="6">
        <f t="shared" ref="X34:X51" si="7">Q34/R34</f>
        <v>1.5656811870722454</v>
      </c>
      <c r="Y34">
        <v>11062.637000000001</v>
      </c>
    </row>
    <row r="35" spans="1:25" x14ac:dyDescent="0.25">
      <c r="A35">
        <v>1993</v>
      </c>
      <c r="B35" s="7">
        <v>25178.024000000001</v>
      </c>
      <c r="C35" s="7">
        <v>19558.897000000001</v>
      </c>
      <c r="D35" s="7">
        <v>3351.1219999999998</v>
      </c>
      <c r="E35" s="7">
        <v>22117.603999999999</v>
      </c>
      <c r="F35" s="7">
        <v>10881.697</v>
      </c>
      <c r="G35" s="7">
        <v>6585.9688268100917</v>
      </c>
      <c r="H35" s="7">
        <v>109082.30580459746</v>
      </c>
      <c r="I35" s="7">
        <v>2924.4581309154628</v>
      </c>
      <c r="J35" s="7">
        <v>22459.122393000758</v>
      </c>
      <c r="K35" s="7">
        <v>5309.8891273793079</v>
      </c>
      <c r="L35" s="7">
        <f t="shared" si="0"/>
        <v>81087.343999999997</v>
      </c>
      <c r="M35" s="7">
        <f t="shared" si="2"/>
        <v>146361.74428270309</v>
      </c>
      <c r="N35" s="8">
        <f>100*L35/(data2018!$BB35*1000)</f>
        <v>1.0970862334777176E-2</v>
      </c>
      <c r="O35" s="8">
        <f>100*M35/(data2018!$BB35*1000)</f>
        <v>1.9802283172616876E-2</v>
      </c>
      <c r="P35" s="8">
        <f>100*E35/(data2018!$BB35*1000)</f>
        <v>2.992442182581748E-3</v>
      </c>
      <c r="Q35" s="7">
        <v>143820.204</v>
      </c>
      <c r="R35" s="7">
        <v>85039.851999999999</v>
      </c>
      <c r="S35" s="7">
        <f t="shared" si="3"/>
        <v>74143.807000000001</v>
      </c>
      <c r="T35" s="7">
        <v>622644.42599999998</v>
      </c>
      <c r="U35" s="8">
        <f t="shared" si="4"/>
        <v>23.098288203418367</v>
      </c>
      <c r="V35" s="8">
        <f t="shared" si="5"/>
        <v>13.657851648382056</v>
      </c>
      <c r="W35" s="8">
        <f t="shared" si="6"/>
        <v>11.907888981889</v>
      </c>
      <c r="X35" s="6">
        <f t="shared" si="7"/>
        <v>1.691209481408787</v>
      </c>
      <c r="Y35">
        <v>10896.045</v>
      </c>
    </row>
    <row r="36" spans="1:25" x14ac:dyDescent="0.25">
      <c r="A36">
        <v>1994</v>
      </c>
      <c r="B36" s="7">
        <v>28233.089</v>
      </c>
      <c r="C36" s="7">
        <v>20952.510999999999</v>
      </c>
      <c r="D36" s="7">
        <v>3995.9059999999999</v>
      </c>
      <c r="E36" s="7">
        <v>22907.642</v>
      </c>
      <c r="F36" s="7">
        <v>11112.005999999999</v>
      </c>
      <c r="G36" s="7">
        <v>6828.7963433748937</v>
      </c>
      <c r="H36" s="7">
        <v>114019.62086251591</v>
      </c>
      <c r="I36" s="7">
        <v>3537.0105199149598</v>
      </c>
      <c r="J36" s="7">
        <v>22114.332136613797</v>
      </c>
      <c r="K36" s="7">
        <v>4947.1971215051908</v>
      </c>
      <c r="L36" s="7">
        <f t="shared" si="0"/>
        <v>87201.153999999995</v>
      </c>
      <c r="M36" s="7">
        <f t="shared" si="2"/>
        <v>151446.95698392476</v>
      </c>
      <c r="N36" s="8">
        <f>100*L36/(data2018!$BB36*1000)</f>
        <v>1.159997355453871E-2</v>
      </c>
      <c r="O36" s="8">
        <f>100*M36/(data2018!$BB36*1000)</f>
        <v>2.0146300998824952E-2</v>
      </c>
      <c r="P36" s="8">
        <f>100*E36/(data2018!$BB36*1000)</f>
        <v>3.0472995964805722E-3</v>
      </c>
      <c r="Q36" s="7">
        <v>149153.682</v>
      </c>
      <c r="R36" s="7">
        <v>90619.956999999995</v>
      </c>
      <c r="S36" s="7">
        <f t="shared" si="3"/>
        <v>79493.489000000001</v>
      </c>
      <c r="T36" s="7">
        <v>638776.68700000003</v>
      </c>
      <c r="U36" s="8">
        <f t="shared" si="4"/>
        <v>23.349894420927729</v>
      </c>
      <c r="V36" s="8">
        <f t="shared" si="5"/>
        <v>14.186484704943528</v>
      </c>
      <c r="W36" s="8">
        <f t="shared" si="6"/>
        <v>12.444644680653475</v>
      </c>
      <c r="X36" s="6">
        <f t="shared" si="7"/>
        <v>1.6459253230499769</v>
      </c>
      <c r="Y36">
        <v>11126.468000000001</v>
      </c>
    </row>
    <row r="37" spans="1:25" x14ac:dyDescent="0.25">
      <c r="A37">
        <v>1995</v>
      </c>
      <c r="B37" s="7">
        <v>27290.269</v>
      </c>
      <c r="C37" s="7">
        <v>22426.308000000001</v>
      </c>
      <c r="D37" s="7">
        <v>3703.0630000000001</v>
      </c>
      <c r="E37" s="7">
        <v>23529.014999999999</v>
      </c>
      <c r="F37" s="7">
        <v>11101.906000000001</v>
      </c>
      <c r="G37" s="7">
        <v>7123.3538062574926</v>
      </c>
      <c r="H37" s="7">
        <v>118722.10018574093</v>
      </c>
      <c r="I37" s="7">
        <v>3404.1849327990913</v>
      </c>
      <c r="J37" s="7">
        <v>23069.578573296596</v>
      </c>
      <c r="K37" s="7">
        <v>4979.6731475948745</v>
      </c>
      <c r="L37" s="7">
        <f t="shared" si="0"/>
        <v>88050.561000000002</v>
      </c>
      <c r="M37" s="7">
        <f t="shared" si="2"/>
        <v>157298.89064568898</v>
      </c>
      <c r="N37" s="8">
        <f>100*L37/(data2018!$BB37*1000)</f>
        <v>1.133157310059979E-2</v>
      </c>
      <c r="O37" s="8">
        <f>100*M37/(data2018!$BB37*1000)</f>
        <v>2.0243413077116877E-2</v>
      </c>
      <c r="P37" s="8">
        <f>100*E37/(data2018!$BB37*1000)</f>
        <v>3.0280415073971985E-3</v>
      </c>
      <c r="Q37" s="7">
        <v>155955.924</v>
      </c>
      <c r="R37" s="7">
        <v>92029.663</v>
      </c>
      <c r="S37" s="7">
        <f t="shared" si="3"/>
        <v>80913.379000000001</v>
      </c>
      <c r="T37" s="7">
        <v>655094.78300000005</v>
      </c>
      <c r="U37" s="8">
        <f t="shared" si="4"/>
        <v>23.806619751389469</v>
      </c>
      <c r="V37" s="8">
        <f t="shared" si="5"/>
        <v>14.048297343866956</v>
      </c>
      <c r="W37" s="8">
        <f t="shared" si="6"/>
        <v>12.351400301107267</v>
      </c>
      <c r="X37" s="6">
        <f t="shared" si="7"/>
        <v>1.6946266987851515</v>
      </c>
      <c r="Y37">
        <v>11116.284</v>
      </c>
    </row>
    <row r="38" spans="1:25" x14ac:dyDescent="0.25">
      <c r="A38">
        <v>1996</v>
      </c>
      <c r="B38" s="7">
        <v>30052.018</v>
      </c>
      <c r="C38" s="7">
        <v>22241.667000000001</v>
      </c>
      <c r="D38" s="7">
        <v>3913.0410000000002</v>
      </c>
      <c r="E38" s="7">
        <v>24909.576000000001</v>
      </c>
      <c r="F38" s="7">
        <v>11841.32</v>
      </c>
      <c r="G38" s="7">
        <v>7394.0177075596157</v>
      </c>
      <c r="H38" s="7">
        <v>123109.93635767218</v>
      </c>
      <c r="I38" s="7">
        <v>3733.738426284368</v>
      </c>
      <c r="J38" s="7">
        <v>24760.371115479793</v>
      </c>
      <c r="K38" s="7">
        <v>5678.6998503987516</v>
      </c>
      <c r="L38" s="7">
        <f t="shared" si="0"/>
        <v>92957.622000000003</v>
      </c>
      <c r="M38" s="7">
        <f t="shared" si="2"/>
        <v>164676.7634573947</v>
      </c>
      <c r="N38" s="8">
        <f>100*L38/(data2018!$BB38*1000)</f>
        <v>1.1678367569690394E-2</v>
      </c>
      <c r="O38" s="8">
        <f>100*M38/(data2018!$BB38*1000)</f>
        <v>2.0688521634540248E-2</v>
      </c>
      <c r="P38" s="8">
        <f>100*E38/(data2018!$BB38*1000)</f>
        <v>3.1294172363094462E-3</v>
      </c>
      <c r="Q38" s="7">
        <v>163220.95000000001</v>
      </c>
      <c r="R38" s="7">
        <v>97314.948999999993</v>
      </c>
      <c r="S38" s="7">
        <f t="shared" si="3"/>
        <v>85458.172999999995</v>
      </c>
      <c r="T38" s="7">
        <v>677650.75</v>
      </c>
      <c r="U38" s="8">
        <f t="shared" si="4"/>
        <v>24.086293713981725</v>
      </c>
      <c r="V38" s="8">
        <f t="shared" si="5"/>
        <v>14.360634736993944</v>
      </c>
      <c r="W38" s="8">
        <f t="shared" si="6"/>
        <v>12.610946420409036</v>
      </c>
      <c r="X38" s="6">
        <f t="shared" si="7"/>
        <v>1.6772443666388812</v>
      </c>
      <c r="Y38">
        <v>11856.776</v>
      </c>
    </row>
    <row r="39" spans="1:25" x14ac:dyDescent="0.25">
      <c r="A39">
        <v>1997</v>
      </c>
      <c r="B39" s="7">
        <v>24683.427</v>
      </c>
      <c r="C39" s="7">
        <v>22623.85</v>
      </c>
      <c r="D39" s="7">
        <v>3628.998</v>
      </c>
      <c r="E39" s="7">
        <v>25913.845000000001</v>
      </c>
      <c r="F39" s="7">
        <v>12589.583000000001</v>
      </c>
      <c r="G39" s="7">
        <v>7582.6511799056916</v>
      </c>
      <c r="H39" s="7">
        <v>127704.97016892581</v>
      </c>
      <c r="I39" s="7">
        <v>3714.9027920326698</v>
      </c>
      <c r="J39" s="7">
        <v>23864.976141222891</v>
      </c>
      <c r="K39" s="7">
        <v>5640.6218152869023</v>
      </c>
      <c r="L39" s="7">
        <f t="shared" si="0"/>
        <v>89439.702999999994</v>
      </c>
      <c r="M39" s="7">
        <f t="shared" si="2"/>
        <v>168508.12209737397</v>
      </c>
      <c r="N39" s="8">
        <f>100*L39/(data2018!$BB39*1000)</f>
        <v>1.0945231441505473E-2</v>
      </c>
      <c r="O39" s="8">
        <f>100*M39/(data2018!$BB39*1000)</f>
        <v>2.0621271474137396E-2</v>
      </c>
      <c r="P39" s="8">
        <f>100*E39/(data2018!$BB39*1000)</f>
        <v>3.1712206274242595E-3</v>
      </c>
      <c r="Q39" s="7">
        <v>167162.861</v>
      </c>
      <c r="R39" s="7">
        <v>94128.981</v>
      </c>
      <c r="S39" s="7">
        <f t="shared" si="3"/>
        <v>81522.883000000002</v>
      </c>
      <c r="T39" s="7">
        <v>687277.57</v>
      </c>
      <c r="U39" s="8">
        <f t="shared" si="4"/>
        <v>24.32246712198101</v>
      </c>
      <c r="V39" s="8">
        <f t="shared" si="5"/>
        <v>13.695919248463179</v>
      </c>
      <c r="W39" s="8">
        <f t="shared" si="6"/>
        <v>11.861711564368383</v>
      </c>
      <c r="X39" s="6">
        <f t="shared" si="7"/>
        <v>1.7758915397161263</v>
      </c>
      <c r="Y39">
        <v>12606.098</v>
      </c>
    </row>
    <row r="40" spans="1:25" x14ac:dyDescent="0.25">
      <c r="A40">
        <v>1998</v>
      </c>
      <c r="B40" s="7">
        <v>28395.704000000002</v>
      </c>
      <c r="C40" s="7">
        <v>23807.058000000001</v>
      </c>
      <c r="D40" s="7">
        <v>3528.556</v>
      </c>
      <c r="E40" s="7">
        <v>25557.445</v>
      </c>
      <c r="F40" s="7">
        <v>13315.766</v>
      </c>
      <c r="G40" s="7">
        <v>7806.1575162012414</v>
      </c>
      <c r="H40" s="7">
        <v>133292.44873079823</v>
      </c>
      <c r="I40" s="7">
        <v>3651.3841692893461</v>
      </c>
      <c r="J40" s="7">
        <v>24971.886385158195</v>
      </c>
      <c r="K40" s="7">
        <v>5353.1285627451516</v>
      </c>
      <c r="L40" s="7">
        <f t="shared" si="0"/>
        <v>94604.52900000001</v>
      </c>
      <c r="M40" s="7">
        <f t="shared" si="2"/>
        <v>175075.00536419215</v>
      </c>
      <c r="N40" s="8">
        <f>100*L40/(data2018!$BB40*1000)</f>
        <v>1.1186949333704795E-2</v>
      </c>
      <c r="O40" s="8">
        <f>100*M40/(data2018!$BB40*1000)</f>
        <v>2.0702552354626837E-2</v>
      </c>
      <c r="P40" s="8">
        <f>100*E40/(data2018!$BB40*1000)</f>
        <v>3.022158086257656E-3</v>
      </c>
      <c r="Q40" s="7">
        <v>173630.497</v>
      </c>
      <c r="R40" s="7">
        <v>100104.424</v>
      </c>
      <c r="S40" s="7">
        <f t="shared" si="3"/>
        <v>86770.703999999998</v>
      </c>
      <c r="T40" s="7">
        <v>716172.16700000002</v>
      </c>
      <c r="U40" s="8">
        <f t="shared" si="4"/>
        <v>24.244239723435104</v>
      </c>
      <c r="V40" s="8">
        <f t="shared" si="5"/>
        <v>13.977703771892045</v>
      </c>
      <c r="W40" s="8">
        <f t="shared" si="6"/>
        <v>12.115900058428268</v>
      </c>
      <c r="X40" s="6">
        <f t="shared" si="7"/>
        <v>1.7344937422545881</v>
      </c>
      <c r="Y40">
        <v>13333.72</v>
      </c>
    </row>
    <row r="41" spans="1:25" x14ac:dyDescent="0.25">
      <c r="A41">
        <v>1999</v>
      </c>
      <c r="B41" s="7">
        <v>31577.697</v>
      </c>
      <c r="C41" s="7">
        <v>24716.821</v>
      </c>
      <c r="D41" s="7">
        <v>3603</v>
      </c>
      <c r="E41" s="7">
        <v>26963.964</v>
      </c>
      <c r="F41" s="7">
        <v>14155.183999999999</v>
      </c>
      <c r="G41" s="7">
        <v>7904.8880429999999</v>
      </c>
      <c r="H41" s="7">
        <v>138886.70580768737</v>
      </c>
      <c r="I41" s="7">
        <v>3363</v>
      </c>
      <c r="J41" s="7">
        <v>24264.14797821247</v>
      </c>
      <c r="K41" s="7">
        <v>5539.7960926325004</v>
      </c>
      <c r="L41" s="7">
        <f t="shared" si="0"/>
        <v>101016.66599999998</v>
      </c>
      <c r="M41" s="7">
        <f t="shared" si="2"/>
        <v>179958.53792153235</v>
      </c>
      <c r="N41" s="8">
        <f>100*L41/(data2018!$BB41*1000)</f>
        <v>1.1649383947283353E-2</v>
      </c>
      <c r="O41" s="8">
        <f>100*M41/(data2018!$BB41*1000)</f>
        <v>2.0753071605428774E-2</v>
      </c>
      <c r="P41" s="8">
        <f>100*E41/(data2018!$BB41*1000)</f>
        <v>3.1095222384069409E-3</v>
      </c>
      <c r="Q41" s="7">
        <v>178124.22</v>
      </c>
      <c r="R41" s="7">
        <v>107059.788</v>
      </c>
      <c r="S41" s="7">
        <f t="shared" si="3"/>
        <v>92884.788</v>
      </c>
      <c r="T41" s="7">
        <v>737466.33799999999</v>
      </c>
      <c r="U41" s="8">
        <f t="shared" si="4"/>
        <v>24.153539059568573</v>
      </c>
      <c r="V41" s="8">
        <f t="shared" si="5"/>
        <v>14.517244039957795</v>
      </c>
      <c r="W41" s="8">
        <f t="shared" si="6"/>
        <v>12.59512240950583</v>
      </c>
      <c r="X41" s="6">
        <f t="shared" si="7"/>
        <v>1.6637826706699625</v>
      </c>
      <c r="Y41">
        <v>14175</v>
      </c>
    </row>
    <row r="42" spans="1:25" x14ac:dyDescent="0.25">
      <c r="A42">
        <v>2000</v>
      </c>
      <c r="B42" s="7">
        <v>31809.786</v>
      </c>
      <c r="C42" s="7">
        <v>25677.703000000001</v>
      </c>
      <c r="D42" s="7">
        <v>4123</v>
      </c>
      <c r="E42" s="7">
        <v>31075.663</v>
      </c>
      <c r="F42" s="7">
        <v>15214.549000000001</v>
      </c>
      <c r="G42" s="7">
        <v>8031.4879869638626</v>
      </c>
      <c r="H42" s="7">
        <v>144050.72145828413</v>
      </c>
      <c r="I42" s="7">
        <v>4000.9160357999999</v>
      </c>
      <c r="J42" s="7">
        <v>24313.766710158146</v>
      </c>
      <c r="K42" s="7">
        <v>6819.374310763068</v>
      </c>
      <c r="L42" s="7">
        <f t="shared" si="0"/>
        <v>107900.701</v>
      </c>
      <c r="M42" s="7">
        <f t="shared" si="2"/>
        <v>187216.26650196919</v>
      </c>
      <c r="N42" s="8">
        <f>100*L42/(data2018!$BB42*1000)</f>
        <v>1.176686844333957E-2</v>
      </c>
      <c r="O42" s="8">
        <f>100*M42/(data2018!$BB42*1000)</f>
        <v>2.0416449179341961E-2</v>
      </c>
      <c r="P42" s="8">
        <f>100*E42/(data2018!$BB42*1000)</f>
        <v>3.3888865866641134E-3</v>
      </c>
      <c r="Q42" s="7">
        <v>184298.83799999999</v>
      </c>
      <c r="R42" s="7">
        <v>113406.01300000001</v>
      </c>
      <c r="S42" s="7">
        <f t="shared" si="3"/>
        <v>98170.013000000006</v>
      </c>
      <c r="T42" s="7">
        <v>781704.00100000005</v>
      </c>
      <c r="U42" s="8">
        <f t="shared" si="4"/>
        <v>23.576550428836804</v>
      </c>
      <c r="V42" s="8">
        <f t="shared" si="5"/>
        <v>14.507539024352518</v>
      </c>
      <c r="W42" s="8">
        <f t="shared" si="6"/>
        <v>12.558463673515213</v>
      </c>
      <c r="X42" s="6">
        <f t="shared" si="7"/>
        <v>1.6251240399395752</v>
      </c>
      <c r="Y42">
        <v>15236</v>
      </c>
    </row>
    <row r="43" spans="1:25" x14ac:dyDescent="0.25">
      <c r="A43">
        <v>2001</v>
      </c>
      <c r="B43" s="7">
        <v>34138.459000000003</v>
      </c>
      <c r="C43" s="7">
        <v>26705.007000000001</v>
      </c>
      <c r="D43" s="7">
        <v>4314</v>
      </c>
      <c r="E43" s="7">
        <v>30032.672999999999</v>
      </c>
      <c r="F43" s="7">
        <v>15825.75</v>
      </c>
      <c r="G43" s="7">
        <v>8360.463228952427</v>
      </c>
      <c r="H43" s="7">
        <v>149260.76977642422</v>
      </c>
      <c r="I43" s="7">
        <v>3505.9659137440108</v>
      </c>
      <c r="J43" s="7">
        <v>26563.404540130548</v>
      </c>
      <c r="K43" s="7">
        <v>7000.2109158286094</v>
      </c>
      <c r="L43" s="7">
        <f t="shared" si="0"/>
        <v>111015.889</v>
      </c>
      <c r="M43" s="7">
        <f t="shared" si="2"/>
        <v>194690.81437507982</v>
      </c>
      <c r="N43" s="8">
        <f>100*L43/(data2018!$BB43*1000)</f>
        <v>1.1510755987717397E-2</v>
      </c>
      <c r="O43" s="8">
        <f>100*M43/(data2018!$BB43*1000)</f>
        <v>2.0186646051373117E-2</v>
      </c>
      <c r="P43" s="8">
        <f>100*E43/(data2018!$BB43*1000)</f>
        <v>3.1139575936009354E-3</v>
      </c>
      <c r="Q43" s="7">
        <v>192112.46400000001</v>
      </c>
      <c r="R43" s="7">
        <v>116412.326</v>
      </c>
      <c r="S43" s="7">
        <f t="shared" si="3"/>
        <v>100564.326</v>
      </c>
      <c r="T43" s="7">
        <v>816548.43599999999</v>
      </c>
      <c r="U43" s="8">
        <f t="shared" si="4"/>
        <v>23.52738129548019</v>
      </c>
      <c r="V43" s="8">
        <f t="shared" si="5"/>
        <v>14.256634495592861</v>
      </c>
      <c r="W43" s="8">
        <f t="shared" si="6"/>
        <v>12.315782085461002</v>
      </c>
      <c r="X43" s="6">
        <f t="shared" si="7"/>
        <v>1.6502759681994499</v>
      </c>
      <c r="Y43">
        <v>15848</v>
      </c>
    </row>
    <row r="44" spans="1:25" x14ac:dyDescent="0.25">
      <c r="A44">
        <v>2002</v>
      </c>
      <c r="B44" s="7">
        <v>33766.42</v>
      </c>
      <c r="C44" s="7">
        <v>28318.09</v>
      </c>
      <c r="D44" s="7">
        <v>4588</v>
      </c>
      <c r="E44" s="7">
        <v>29215.210999999999</v>
      </c>
      <c r="F44" s="7">
        <v>16605.887999999999</v>
      </c>
      <c r="G44" s="7">
        <v>8839.5409488091573</v>
      </c>
      <c r="H44" s="7">
        <v>157144.57813095194</v>
      </c>
      <c r="I44" s="7">
        <v>3970.9493930081289</v>
      </c>
      <c r="J44" s="7">
        <v>26167.618885066557</v>
      </c>
      <c r="K44" s="7">
        <v>6352.9986559116469</v>
      </c>
      <c r="L44" s="7">
        <f t="shared" si="0"/>
        <v>112493.609</v>
      </c>
      <c r="M44" s="7">
        <f t="shared" si="2"/>
        <v>202475.68601374744</v>
      </c>
      <c r="N44" s="8">
        <f>100*L44/(data2018!$BB44*1000)</f>
        <v>1.1211496313500416E-2</v>
      </c>
      <c r="O44" s="8">
        <f>100*M44/(data2018!$BB44*1000)</f>
        <v>2.0179416657497378E-2</v>
      </c>
      <c r="P44" s="8">
        <f>100*E44/(data2018!$BB44*1000)</f>
        <v>2.9116874579482714E-3</v>
      </c>
      <c r="Q44" s="7">
        <v>198745.505</v>
      </c>
      <c r="R44" s="7">
        <v>118018.031</v>
      </c>
      <c r="S44" s="7">
        <f t="shared" si="3"/>
        <v>101388.031</v>
      </c>
      <c r="T44" s="7">
        <v>840252.13300000003</v>
      </c>
      <c r="U44" s="8">
        <f t="shared" si="4"/>
        <v>23.653079497746422</v>
      </c>
      <c r="V44" s="8">
        <f t="shared" si="5"/>
        <v>14.045549706447456</v>
      </c>
      <c r="W44" s="8">
        <f t="shared" si="6"/>
        <v>12.066381865406106</v>
      </c>
      <c r="X44" s="6">
        <f t="shared" si="7"/>
        <v>1.6840266128486756</v>
      </c>
      <c r="Y44">
        <v>16630</v>
      </c>
    </row>
    <row r="45" spans="1:25" x14ac:dyDescent="0.25">
      <c r="A45">
        <v>2003</v>
      </c>
      <c r="B45" s="7">
        <v>32432.352999999999</v>
      </c>
      <c r="C45" s="7">
        <v>29446.612000000001</v>
      </c>
      <c r="D45" s="7">
        <v>5234</v>
      </c>
      <c r="E45" s="7">
        <v>29832.654999999999</v>
      </c>
      <c r="F45" s="7">
        <v>16988</v>
      </c>
      <c r="G45" s="7">
        <v>8878</v>
      </c>
      <c r="H45" s="7">
        <v>165390</v>
      </c>
      <c r="I45" s="7">
        <v>4051.948360732546</v>
      </c>
      <c r="J45" s="7">
        <v>28372</v>
      </c>
      <c r="K45" s="7">
        <v>6854.9855338996304</v>
      </c>
      <c r="L45" s="7">
        <f t="shared" si="0"/>
        <v>113933.62</v>
      </c>
      <c r="M45" s="7">
        <f t="shared" si="2"/>
        <v>213546.93389463218</v>
      </c>
      <c r="N45" s="8">
        <f>100*L45/(data2018!$BB45*1000)</f>
        <v>1.107192734138848E-2</v>
      </c>
      <c r="O45" s="8">
        <f>100*M45/(data2018!$BB45*1000)</f>
        <v>2.0752225164597217E-2</v>
      </c>
      <c r="P45" s="8">
        <f>100*E45/(data2018!$BB45*1000)</f>
        <v>2.8991002704970644E-3</v>
      </c>
      <c r="Q45" s="7">
        <v>208733.283</v>
      </c>
      <c r="R45" s="7">
        <v>118746.111</v>
      </c>
      <c r="S45" s="7">
        <f t="shared" si="3"/>
        <v>101734.111</v>
      </c>
      <c r="T45" s="7">
        <v>868521.29200000002</v>
      </c>
      <c r="U45" s="8">
        <f t="shared" si="4"/>
        <v>24.03317971852324</v>
      </c>
      <c r="V45" s="8">
        <f t="shared" si="5"/>
        <v>13.672216454999701</v>
      </c>
      <c r="W45" s="8">
        <f t="shared" si="6"/>
        <v>11.713484970038017</v>
      </c>
      <c r="X45" s="6">
        <f t="shared" si="7"/>
        <v>1.7578115295076904</v>
      </c>
      <c r="Y45">
        <v>17012</v>
      </c>
    </row>
    <row r="46" spans="1:25" x14ac:dyDescent="0.25">
      <c r="A46">
        <v>2004</v>
      </c>
      <c r="B46" s="7">
        <v>34008.273999999998</v>
      </c>
      <c r="C46" s="7">
        <v>30929.445</v>
      </c>
      <c r="D46" s="7">
        <v>5452</v>
      </c>
      <c r="E46" s="7">
        <v>31591.994999999999</v>
      </c>
      <c r="F46" s="7">
        <v>18247</v>
      </c>
      <c r="G46" s="7">
        <v>9309</v>
      </c>
      <c r="H46" s="7">
        <v>174462</v>
      </c>
      <c r="I46" s="7">
        <v>4909.9374262578476</v>
      </c>
      <c r="J46" s="7">
        <v>29468</v>
      </c>
      <c r="K46" s="7">
        <v>7539.798898332825</v>
      </c>
      <c r="L46" s="7">
        <f t="shared" si="0"/>
        <v>120228.71399999999</v>
      </c>
      <c r="M46" s="7">
        <f t="shared" si="2"/>
        <v>225688.73632459069</v>
      </c>
      <c r="N46" s="8">
        <f>100*L46/(data2018!$BB46*1000)</f>
        <v>1.1184328600075089E-2</v>
      </c>
      <c r="O46" s="8">
        <f>100*M46/(data2018!$BB46*1000)</f>
        <v>2.0994793210463231E-2</v>
      </c>
      <c r="P46" s="8">
        <f>100*E46/(data2018!$BB46*1000)</f>
        <v>2.9388591248836718E-3</v>
      </c>
      <c r="Q46" s="7">
        <v>219070.91399999999</v>
      </c>
      <c r="R46" s="7">
        <v>125271.235</v>
      </c>
      <c r="S46" s="7">
        <f t="shared" si="3"/>
        <v>106998.235</v>
      </c>
      <c r="T46" s="7">
        <v>905537.03500000003</v>
      </c>
      <c r="U46" s="8">
        <f t="shared" si="4"/>
        <v>24.192374859632327</v>
      </c>
      <c r="V46" s="8">
        <f t="shared" si="5"/>
        <v>13.833916246175397</v>
      </c>
      <c r="W46" s="8">
        <f t="shared" si="6"/>
        <v>11.815997674794161</v>
      </c>
      <c r="X46" s="6">
        <f t="shared" si="7"/>
        <v>1.7487726851259988</v>
      </c>
      <c r="Y46">
        <v>18273</v>
      </c>
    </row>
    <row r="47" spans="1:25" x14ac:dyDescent="0.25">
      <c r="A47">
        <v>2005</v>
      </c>
      <c r="B47" s="7">
        <v>35281.847000000002</v>
      </c>
      <c r="C47" s="7">
        <v>32664.588</v>
      </c>
      <c r="D47" s="7">
        <v>5612</v>
      </c>
      <c r="E47" s="7">
        <v>34606.000999999997</v>
      </c>
      <c r="F47" s="7">
        <v>19414</v>
      </c>
      <c r="G47" s="7">
        <v>9700</v>
      </c>
      <c r="H47" s="7">
        <v>186277</v>
      </c>
      <c r="I47" s="7">
        <v>4974.9365978885526</v>
      </c>
      <c r="J47" s="7">
        <v>30205</v>
      </c>
      <c r="K47">
        <v>9071.8224250600106</v>
      </c>
      <c r="L47" s="7">
        <f>SUM(B47:F47)</f>
        <v>127578.43599999999</v>
      </c>
      <c r="M47" s="7">
        <f>SUM(G47:K47)</f>
        <v>240228.75902294856</v>
      </c>
      <c r="N47" s="8">
        <f>100*L47/(data2018!$BB47*1000)</f>
        <v>1.1538708645482079E-2</v>
      </c>
      <c r="O47" s="8">
        <f>100*M47/(data2018!$BB47*1000)</f>
        <v>2.1727258504968094E-2</v>
      </c>
      <c r="P47" s="8">
        <f>100*E47/(data2018!$BB47*1000)</f>
        <v>3.129906396753927E-3</v>
      </c>
      <c r="Q47" s="7">
        <v>231895.98699999999</v>
      </c>
      <c r="R47" s="7">
        <v>132606.63399999999</v>
      </c>
      <c r="S47" s="7">
        <f t="shared" si="3"/>
        <v>113165.63399999999</v>
      </c>
      <c r="T47" s="7">
        <v>945812.402</v>
      </c>
      <c r="U47" s="8">
        <f t="shared" si="4"/>
        <v>24.518179980473548</v>
      </c>
      <c r="V47" s="8">
        <f t="shared" si="5"/>
        <v>14.020394923939683</v>
      </c>
      <c r="W47" s="8">
        <f t="shared" si="6"/>
        <v>11.964913312693058</v>
      </c>
      <c r="X47" s="6">
        <f t="shared" si="7"/>
        <v>1.7487510240249369</v>
      </c>
      <c r="Y47">
        <v>19441</v>
      </c>
    </row>
    <row r="48" spans="1:25" x14ac:dyDescent="0.25">
      <c r="A48">
        <v>2006</v>
      </c>
      <c r="B48">
        <v>34791.186000000002</v>
      </c>
      <c r="C48">
        <v>34006.925000000003</v>
      </c>
      <c r="D48" s="7">
        <v>5520</v>
      </c>
      <c r="E48" s="7">
        <v>36023.298999999999</v>
      </c>
      <c r="F48">
        <v>20672</v>
      </c>
      <c r="G48">
        <v>10503</v>
      </c>
      <c r="H48" s="7">
        <v>196157</v>
      </c>
      <c r="I48" s="7">
        <v>5129.9346502096596</v>
      </c>
      <c r="J48">
        <v>32157</v>
      </c>
      <c r="K48">
        <v>9565.7759842517116</v>
      </c>
      <c r="L48" s="7">
        <f>SUM(B48:F48)</f>
        <v>131013.41</v>
      </c>
      <c r="M48" s="7">
        <f>SUM(G48:K48)</f>
        <v>253512.71063446137</v>
      </c>
      <c r="N48" s="8">
        <f>100*L48/(data2018!$BB48*1000)</f>
        <v>1.1334384179857401E-2</v>
      </c>
      <c r="O48" s="8">
        <f>100*M48/(data2018!$BB48*1000)</f>
        <v>2.1932185848822696E-2</v>
      </c>
      <c r="P48" s="8">
        <f>100*E48/(data2018!$BB48*1000)</f>
        <v>3.1164894516666109E-3</v>
      </c>
      <c r="Q48" s="7">
        <v>244618.394</v>
      </c>
      <c r="R48" s="7">
        <v>136661.82199999999</v>
      </c>
      <c r="S48" s="7">
        <f t="shared" si="3"/>
        <v>115959.82199999999</v>
      </c>
      <c r="T48" s="7">
        <v>987164.12199999997</v>
      </c>
      <c r="U48" s="8">
        <f t="shared" si="4"/>
        <v>24.77991131853554</v>
      </c>
      <c r="V48" s="8">
        <f t="shared" si="5"/>
        <v>13.843880561939628</v>
      </c>
      <c r="W48" s="8">
        <f t="shared" si="6"/>
        <v>11.746762206578653</v>
      </c>
      <c r="X48" s="6">
        <f t="shared" si="7"/>
        <v>1.7899541394962524</v>
      </c>
      <c r="Y48">
        <v>20702</v>
      </c>
    </row>
    <row r="49" spans="1:25" x14ac:dyDescent="0.25">
      <c r="A49">
        <v>2007</v>
      </c>
      <c r="B49">
        <v>36872.262999999999</v>
      </c>
      <c r="C49">
        <v>35923.951999999997</v>
      </c>
      <c r="D49" s="7">
        <v>5916</v>
      </c>
      <c r="E49" s="7">
        <v>37049.069000000003</v>
      </c>
      <c r="F49">
        <v>21792</v>
      </c>
      <c r="G49">
        <v>11393</v>
      </c>
      <c r="H49">
        <v>206198</v>
      </c>
      <c r="I49" s="7">
        <v>5211.9336056321144</v>
      </c>
      <c r="J49">
        <v>32328</v>
      </c>
      <c r="K49">
        <v>9074.9997116633567</v>
      </c>
      <c r="L49" s="7">
        <f>SUM(B49:F49)</f>
        <v>137553.28399999999</v>
      </c>
      <c r="M49" s="7">
        <f>SUM(G49:K49)</f>
        <v>264205.93331729545</v>
      </c>
      <c r="N49" s="8">
        <f>100*L49/(data2018!$BB49*1000)</f>
        <v>1.130945329327857E-2</v>
      </c>
      <c r="O49" s="8">
        <f>100*M49/(data2018!$BB49*1000)</f>
        <v>2.1722670486435103E-2</v>
      </c>
      <c r="P49" s="8">
        <f>100*E49/(data2018!$BB49*1000)</f>
        <v>3.0461265862249793E-3</v>
      </c>
      <c r="Q49" s="7">
        <v>253966.43599999999</v>
      </c>
      <c r="R49" s="7">
        <v>143461.848</v>
      </c>
      <c r="S49" s="7">
        <f t="shared" si="3"/>
        <v>121638.848</v>
      </c>
      <c r="T49" s="7">
        <v>1032729.947</v>
      </c>
      <c r="U49" s="8">
        <f t="shared" si="4"/>
        <v>24.591756706363814</v>
      </c>
      <c r="V49" s="8">
        <f t="shared" si="5"/>
        <v>13.891516210674968</v>
      </c>
      <c r="W49" s="8">
        <f t="shared" si="6"/>
        <v>11.778379077061857</v>
      </c>
      <c r="X49" s="6">
        <f t="shared" si="7"/>
        <v>1.7702716055909162</v>
      </c>
      <c r="Y49">
        <v>21823</v>
      </c>
    </row>
    <row r="50" spans="1:25" x14ac:dyDescent="0.25">
      <c r="A50">
        <v>2008</v>
      </c>
      <c r="B50">
        <v>34710.034</v>
      </c>
      <c r="C50">
        <v>37227.883000000002</v>
      </c>
      <c r="D50" s="7">
        <v>5965</v>
      </c>
      <c r="E50" s="7">
        <v>40611.504999999997</v>
      </c>
      <c r="F50">
        <v>23361</v>
      </c>
      <c r="G50">
        <v>12046</v>
      </c>
      <c r="H50">
        <v>214304</v>
      </c>
      <c r="I50" s="7">
        <v>5150.9343826958975</v>
      </c>
      <c r="J50">
        <v>34856</v>
      </c>
      <c r="K50">
        <v>11826.19666889479</v>
      </c>
      <c r="L50" s="7">
        <f>SUM(B50:F50)</f>
        <v>141875.42199999999</v>
      </c>
      <c r="M50" s="7">
        <f>SUM(G50:K50)</f>
        <v>278183.13105159072</v>
      </c>
      <c r="N50" s="8">
        <f>100*L50/(data2018!$BB50*1000)</f>
        <v>1.1312964343476443E-2</v>
      </c>
      <c r="O50" s="8">
        <f>100*M50/(data2018!$BB50*1000)</f>
        <v>2.218196639121384E-2</v>
      </c>
      <c r="P50" s="8">
        <f>100*E50/(data2018!$BB50*1000)</f>
        <v>3.238309366931189E-3</v>
      </c>
      <c r="Q50" s="7">
        <v>265057.61800000002</v>
      </c>
      <c r="R50" s="7">
        <v>147732.71299999999</v>
      </c>
      <c r="S50" s="7">
        <f t="shared" si="3"/>
        <v>124338.71299999999</v>
      </c>
      <c r="T50" s="7">
        <v>1066598.0970000001</v>
      </c>
      <c r="U50" s="8">
        <f t="shared" si="4"/>
        <v>24.850749194614398</v>
      </c>
      <c r="V50" s="8">
        <f t="shared" si="5"/>
        <v>13.850832231514845</v>
      </c>
      <c r="W50" s="8">
        <f t="shared" si="6"/>
        <v>11.657503735448723</v>
      </c>
      <c r="X50" s="6">
        <f t="shared" si="7"/>
        <v>1.7941701104480499</v>
      </c>
      <c r="Y50">
        <v>23394</v>
      </c>
    </row>
    <row r="51" spans="1:25" x14ac:dyDescent="0.25">
      <c r="A51">
        <v>2009</v>
      </c>
      <c r="B51">
        <v>37056.095000000001</v>
      </c>
      <c r="C51">
        <v>35981.800000000003</v>
      </c>
      <c r="D51" s="7">
        <v>5247</v>
      </c>
      <c r="E51" s="7">
        <v>33274.957000000002</v>
      </c>
      <c r="F51">
        <v>23641</v>
      </c>
      <c r="G51">
        <v>12526</v>
      </c>
      <c r="H51">
        <v>222216</v>
      </c>
      <c r="I51" s="7">
        <v>5414.9310196657525</v>
      </c>
      <c r="J51">
        <v>35459</v>
      </c>
      <c r="K51">
        <v>8609.6130463539012</v>
      </c>
      <c r="L51" s="7">
        <f>SUM(B51:F51)</f>
        <v>135200.85200000001</v>
      </c>
      <c r="M51" s="7">
        <f>SUM(G51:K51)</f>
        <v>284225.54406601971</v>
      </c>
      <c r="N51" s="8">
        <f>100*L51/(data2018!$BB51*1000)</f>
        <v>1.0770417023673139E-2</v>
      </c>
      <c r="O51" s="8">
        <f>100*M51/(data2018!$BB51*1000)</f>
        <v>2.2642073574887071E-2</v>
      </c>
      <c r="P51" s="8">
        <f>100*E51/(data2018!$BB51*1000)</f>
        <v>2.6507611308158891E-3</v>
      </c>
      <c r="Q51" s="7">
        <v>268363.01799999998</v>
      </c>
      <c r="R51" s="7">
        <v>142137.75700000001</v>
      </c>
      <c r="S51" s="7">
        <f t="shared" si="3"/>
        <v>118463.75700000001</v>
      </c>
      <c r="T51" s="7">
        <v>1051463.202</v>
      </c>
      <c r="U51" s="8">
        <f t="shared" si="4"/>
        <v>25.522815966316617</v>
      </c>
      <c r="V51" s="8">
        <f t="shared" si="5"/>
        <v>13.518091430079357</v>
      </c>
      <c r="W51" s="8">
        <f t="shared" si="6"/>
        <v>11.266562327114135</v>
      </c>
      <c r="X51" s="6">
        <f t="shared" si="7"/>
        <v>1.888048775104844</v>
      </c>
      <c r="Y51">
        <v>23674</v>
      </c>
    </row>
    <row r="52" spans="1:25" x14ac:dyDescent="0.25">
      <c r="A52">
        <v>2010</v>
      </c>
      <c r="B52">
        <v>36178.735000000001</v>
      </c>
      <c r="C52">
        <v>37234.631999999998</v>
      </c>
      <c r="D52">
        <v>5627</v>
      </c>
      <c r="E52">
        <v>37096.421000000002</v>
      </c>
      <c r="F52">
        <v>23968</v>
      </c>
      <c r="Q52">
        <v>278290.46299999999</v>
      </c>
      <c r="R52">
        <v>145981.59700000001</v>
      </c>
      <c r="S52" s="7">
        <f t="shared" si="3"/>
        <v>122050.59700000001</v>
      </c>
      <c r="T52">
        <v>1082393.7</v>
      </c>
      <c r="U52" s="8">
        <f t="shared" ref="U52:U56" si="8">100*Q52/$T52</f>
        <v>25.710650662508474</v>
      </c>
      <c r="V52" s="8">
        <f t="shared" ref="V52:V56" si="9">100*R52/$T52</f>
        <v>13.486922272367256</v>
      </c>
      <c r="W52" s="8">
        <f t="shared" ref="W52:W56" si="10">100*S52/$T52</f>
        <v>11.275989226470925</v>
      </c>
      <c r="X52" s="6">
        <f t="shared" ref="X52:X56" si="11">Q52/R52</f>
        <v>1.9063393518019944</v>
      </c>
      <c r="Y52">
        <v>23931</v>
      </c>
    </row>
    <row r="53" spans="1:25" x14ac:dyDescent="0.25">
      <c r="A53">
        <v>2011</v>
      </c>
      <c r="B53">
        <v>37214.951999999997</v>
      </c>
      <c r="C53">
        <v>37899.027999999998</v>
      </c>
      <c r="D53">
        <v>8157</v>
      </c>
      <c r="E53">
        <v>42058.781000000003</v>
      </c>
      <c r="F53">
        <v>25425</v>
      </c>
      <c r="Q53">
        <v>282779.59600000002</v>
      </c>
      <c r="R53">
        <v>153361.66899999999</v>
      </c>
      <c r="S53" s="7">
        <f t="shared" si="3"/>
        <v>128453.66899999999</v>
      </c>
      <c r="T53">
        <v>1106881</v>
      </c>
      <c r="U53" s="8">
        <f t="shared" si="8"/>
        <v>25.54742524264126</v>
      </c>
      <c r="V53" s="8">
        <f t="shared" si="9"/>
        <v>13.855298717748338</v>
      </c>
      <c r="W53" s="8">
        <f t="shared" si="10"/>
        <v>11.60501164985215</v>
      </c>
      <c r="X53" s="6">
        <f t="shared" si="11"/>
        <v>1.8438740126126303</v>
      </c>
      <c r="Y53">
        <v>24908</v>
      </c>
    </row>
    <row r="54" spans="1:25" x14ac:dyDescent="0.25">
      <c r="A54">
        <v>2012</v>
      </c>
      <c r="Q54">
        <v>295251.37599999999</v>
      </c>
      <c r="R54">
        <v>151693.74400000001</v>
      </c>
      <c r="S54" s="7">
        <f t="shared" si="3"/>
        <v>126004.74400000001</v>
      </c>
      <c r="T54">
        <v>1119646</v>
      </c>
      <c r="U54" s="8">
        <f t="shared" si="8"/>
        <v>26.37006482406046</v>
      </c>
      <c r="V54" s="8">
        <f t="shared" si="9"/>
        <v>13.548366537280534</v>
      </c>
      <c r="W54" s="8">
        <f t="shared" si="10"/>
        <v>11.253980633164412</v>
      </c>
      <c r="X54" s="6">
        <f t="shared" si="11"/>
        <v>1.946364881072485</v>
      </c>
      <c r="Y54">
        <v>25689</v>
      </c>
    </row>
    <row r="55" spans="1:25" x14ac:dyDescent="0.25">
      <c r="A55">
        <v>2013</v>
      </c>
      <c r="Q55">
        <v>304340.46500000003</v>
      </c>
      <c r="R55">
        <v>148373.32800000001</v>
      </c>
      <c r="S55" s="7">
        <f t="shared" si="3"/>
        <v>122334.32800000001</v>
      </c>
      <c r="T55">
        <v>1132688</v>
      </c>
      <c r="U55" s="8">
        <f t="shared" si="8"/>
        <v>26.868869891797214</v>
      </c>
      <c r="V55" s="8">
        <f t="shared" si="9"/>
        <v>13.099223087028379</v>
      </c>
      <c r="W55" s="8">
        <f t="shared" si="10"/>
        <v>10.800355261113388</v>
      </c>
      <c r="X55" s="6">
        <f t="shared" si="11"/>
        <v>2.0511804183565929</v>
      </c>
      <c r="Y55">
        <v>26039</v>
      </c>
    </row>
    <row r="56" spans="1:25" x14ac:dyDescent="0.25">
      <c r="A56">
        <v>2014</v>
      </c>
      <c r="Q56">
        <v>305185.01899999997</v>
      </c>
      <c r="R56">
        <v>148813.024</v>
      </c>
      <c r="S56" s="7">
        <f t="shared" si="3"/>
        <v>122324.024</v>
      </c>
      <c r="T56">
        <v>1138980</v>
      </c>
      <c r="U56" s="8">
        <f t="shared" si="8"/>
        <v>26.79458980842508</v>
      </c>
      <c r="V56" s="8">
        <f t="shared" si="9"/>
        <v>13.065464187255264</v>
      </c>
      <c r="W56" s="8">
        <f t="shared" si="10"/>
        <v>10.739786826809953</v>
      </c>
      <c r="X56" s="6">
        <f t="shared" si="11"/>
        <v>2.0507950903544567</v>
      </c>
      <c r="Y56">
        <v>26489</v>
      </c>
    </row>
  </sheetData>
  <phoneticPr fontId="10" type="noConversion"/>
  <pageMargins left="0.78740157499999996" right="0.78740157499999996" top="0.984251969" bottom="0.984251969" header="0.4921259845" footer="0.4921259845"/>
  <headerFooter alignWithMargins="0"/>
  <ignoredErrors>
    <ignoredError sqref="L2:M47 L48:M51" formulaRange="1"/>
  </ignoredError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4"/>
  <dimension ref="A1:AN57"/>
  <sheetViews>
    <sheetView workbookViewId="0">
      <pane xSplit="1" ySplit="2" topLeftCell="AD42" activePane="bottomRight" state="frozen"/>
      <selection pane="topRight" activeCell="B1" sqref="B1"/>
      <selection pane="bottomLeft" activeCell="A3" sqref="A3"/>
      <selection pane="bottomRight" activeCell="AG3" sqref="AG3"/>
    </sheetView>
  </sheetViews>
  <sheetFormatPr baseColWidth="10" defaultRowHeight="13.5" x14ac:dyDescent="0.25"/>
  <cols>
    <col min="1" max="1" width="4.875" style="31" bestFit="1" customWidth="1"/>
    <col min="2" max="2" width="8.875" style="31" customWidth="1"/>
    <col min="3" max="3" width="10.875" style="31" customWidth="1"/>
    <col min="4" max="4" width="6.875" style="31" customWidth="1"/>
    <col min="5" max="6" width="12.375" style="31" customWidth="1"/>
    <col min="7" max="7" width="11.875" style="31" bestFit="1" customWidth="1"/>
    <col min="8" max="11" width="11" style="31"/>
    <col min="12" max="12" width="14.5" style="31" customWidth="1"/>
    <col min="13" max="13" width="13.375" style="31" customWidth="1"/>
    <col min="14" max="14" width="13.875" style="31" customWidth="1"/>
    <col min="15" max="15" width="20.5" style="31" customWidth="1"/>
    <col min="16" max="16" width="24.125" style="31" customWidth="1"/>
    <col min="17" max="19" width="23.125" style="31" customWidth="1"/>
    <col min="20" max="20" width="13.125" style="31" customWidth="1"/>
    <col min="21" max="24" width="12.25" style="31" customWidth="1"/>
    <col min="25" max="30" width="11" style="31"/>
    <col min="31" max="31" width="13.625" style="31" customWidth="1"/>
    <col min="32" max="35" width="14.375" style="31" customWidth="1"/>
    <col min="36" max="36" width="12.75" style="31" customWidth="1"/>
    <col min="37" max="37" width="12.625" style="31" customWidth="1"/>
    <col min="38" max="16384" width="11" style="31"/>
  </cols>
  <sheetData>
    <row r="1" spans="1:40" s="41" customFormat="1" ht="12" customHeight="1" x14ac:dyDescent="0.25">
      <c r="A1" s="39"/>
      <c r="B1" s="208" t="s">
        <v>99</v>
      </c>
      <c r="C1" s="208"/>
      <c r="D1" s="208"/>
      <c r="E1" s="208"/>
      <c r="F1" s="208"/>
      <c r="G1" s="208"/>
      <c r="H1" s="209" t="s">
        <v>93</v>
      </c>
      <c r="I1" s="209"/>
      <c r="J1" s="209"/>
      <c r="K1" s="209"/>
      <c r="L1" s="208" t="s">
        <v>325</v>
      </c>
      <c r="M1" s="208"/>
      <c r="N1" s="208"/>
      <c r="O1" s="208"/>
      <c r="P1" s="208"/>
      <c r="Q1" s="208"/>
      <c r="R1" s="40" t="s">
        <v>100</v>
      </c>
      <c r="S1" s="40"/>
      <c r="T1" s="210" t="s">
        <v>696</v>
      </c>
      <c r="U1" s="210"/>
      <c r="V1" s="210"/>
      <c r="W1" s="210"/>
      <c r="X1" s="210"/>
      <c r="Y1" s="210"/>
      <c r="Z1" s="208" t="s">
        <v>697</v>
      </c>
      <c r="AA1" s="208"/>
      <c r="AB1" s="208"/>
      <c r="AC1" s="208"/>
      <c r="AD1" s="208"/>
      <c r="AE1" s="50"/>
    </row>
    <row r="2" spans="1:40" s="41" customFormat="1" ht="81" x14ac:dyDescent="0.25">
      <c r="B2" s="41" t="s">
        <v>84</v>
      </c>
      <c r="C2" s="41" t="s">
        <v>85</v>
      </c>
      <c r="D2" s="41" t="s">
        <v>86</v>
      </c>
      <c r="E2" s="41" t="s">
        <v>87</v>
      </c>
      <c r="F2" s="41" t="s">
        <v>102</v>
      </c>
      <c r="G2" s="41" t="s">
        <v>88</v>
      </c>
      <c r="H2" s="41" t="s">
        <v>89</v>
      </c>
      <c r="I2" s="41" t="s">
        <v>90</v>
      </c>
      <c r="J2" s="41" t="s">
        <v>91</v>
      </c>
      <c r="K2" s="41" t="s">
        <v>92</v>
      </c>
      <c r="L2" s="41" t="s">
        <v>320</v>
      </c>
      <c r="M2" s="41" t="s">
        <v>321</v>
      </c>
      <c r="N2" s="41" t="s">
        <v>322</v>
      </c>
      <c r="O2" s="41" t="s">
        <v>323</v>
      </c>
      <c r="P2" s="41" t="s">
        <v>107</v>
      </c>
      <c r="Q2" s="41" t="s">
        <v>324</v>
      </c>
      <c r="R2" s="41" t="s">
        <v>131</v>
      </c>
      <c r="S2" s="41" t="s">
        <v>101</v>
      </c>
      <c r="T2" s="41" t="s">
        <v>698</v>
      </c>
      <c r="U2" s="41" t="s">
        <v>699</v>
      </c>
      <c r="V2" s="41" t="s">
        <v>700</v>
      </c>
      <c r="W2" s="41" t="s">
        <v>701</v>
      </c>
      <c r="X2" s="41" t="s">
        <v>97</v>
      </c>
      <c r="Y2" s="41" t="s">
        <v>702</v>
      </c>
      <c r="Z2" s="41" t="s">
        <v>94</v>
      </c>
      <c r="AA2" s="41" t="s">
        <v>95</v>
      </c>
      <c r="AB2" s="41" t="s">
        <v>103</v>
      </c>
      <c r="AC2" s="41" t="s">
        <v>96</v>
      </c>
      <c r="AD2" s="41" t="s">
        <v>98</v>
      </c>
      <c r="AE2" s="41" t="s">
        <v>310</v>
      </c>
      <c r="AF2" s="41" t="s">
        <v>703</v>
      </c>
      <c r="AG2" s="41" t="s">
        <v>314</v>
      </c>
      <c r="AH2" s="41" t="s">
        <v>315</v>
      </c>
      <c r="AI2" s="41" t="s">
        <v>316</v>
      </c>
      <c r="AJ2" s="41" t="s">
        <v>311</v>
      </c>
      <c r="AK2" s="41" t="s">
        <v>312</v>
      </c>
      <c r="AL2" s="41" t="s">
        <v>313</v>
      </c>
      <c r="AM2" s="40" t="s">
        <v>578</v>
      </c>
      <c r="AN2" s="40" t="s">
        <v>106</v>
      </c>
    </row>
    <row r="3" spans="1:40" x14ac:dyDescent="0.25">
      <c r="A3" s="5">
        <v>1960</v>
      </c>
      <c r="B3" s="28">
        <v>806.41</v>
      </c>
      <c r="C3" s="28">
        <v>0</v>
      </c>
      <c r="D3" s="28">
        <v>9.3680000000000003</v>
      </c>
      <c r="E3" s="28">
        <v>82.51</v>
      </c>
      <c r="F3" s="28">
        <f t="shared" ref="F3:F47" si="0">D3+C3+B3</f>
        <v>815.77800000000002</v>
      </c>
      <c r="G3" s="28">
        <f t="shared" ref="G3:G50" si="1">E3+D3+C3+B3</f>
        <v>898.28800000000001</v>
      </c>
      <c r="H3" s="30">
        <v>0.15303742423633804</v>
      </c>
      <c r="I3" s="30"/>
      <c r="J3" s="30">
        <v>0.10208390883349013</v>
      </c>
      <c r="K3" s="30">
        <v>0.14203744659611617</v>
      </c>
      <c r="L3" s="28">
        <f>B3/H3</f>
        <v>5269.3646931396897</v>
      </c>
      <c r="M3" s="28"/>
      <c r="N3" s="28">
        <f>E3/J3</f>
        <v>808.25666790035166</v>
      </c>
      <c r="O3" s="28">
        <f>G3/K3</f>
        <v>6324.30405873378</v>
      </c>
      <c r="P3" s="28">
        <f t="shared" ref="P3:P47" si="2">100*F3/AM3</f>
        <v>8467.7560757921401</v>
      </c>
      <c r="Q3" s="28">
        <f t="shared" ref="Q3:Q47" si="3">N3+M3+L3</f>
        <v>6077.6213610400409</v>
      </c>
      <c r="R3" s="5">
        <v>4285</v>
      </c>
      <c r="S3" s="18">
        <f t="shared" ref="S3:S47" si="4">R3-Q3</f>
        <v>-1792.6213610400409</v>
      </c>
      <c r="T3" s="32">
        <v>9.6489999999999991</v>
      </c>
      <c r="U3" s="32" t="s">
        <v>693</v>
      </c>
      <c r="V3" s="32">
        <v>8.3369999999999997</v>
      </c>
      <c r="W3" s="32">
        <v>7.9960000000000004</v>
      </c>
      <c r="X3" s="158">
        <v>9.609</v>
      </c>
      <c r="Y3" s="16">
        <v>10.896000000000001</v>
      </c>
      <c r="Z3" s="30">
        <f>T3/$Y3</f>
        <v>0.8855543318649044</v>
      </c>
      <c r="AA3" s="30"/>
      <c r="AB3" s="30">
        <f t="shared" ref="AB3:AB18" si="5">V3/$Y3</f>
        <v>0.76514317180616731</v>
      </c>
      <c r="AC3" s="30">
        <f>W3/Y3</f>
        <v>0.73384728340675476</v>
      </c>
      <c r="AD3" s="30">
        <f t="shared" ref="AD3:AD47" si="6">X3/Y3</f>
        <v>0.8818832599118942</v>
      </c>
      <c r="AE3" s="28">
        <f>F3</f>
        <v>815.77800000000002</v>
      </c>
      <c r="AF3" s="18">
        <f>100*AE3/data2018!BY2</f>
        <v>7486.9493392070481</v>
      </c>
      <c r="AG3" s="20">
        <f>AE3/data2018!AN2</f>
        <v>0.15718265895953756</v>
      </c>
      <c r="AH3" s="20">
        <f>AE3/data2018!E2</f>
        <v>1.7856885461330949E-2</v>
      </c>
      <c r="AI3" s="20">
        <f>AE3/data2018!H2</f>
        <v>5.727276424864608E-2</v>
      </c>
      <c r="AJ3" s="30">
        <f>AF3/data2018!AK2</f>
        <v>1.3788120330031397</v>
      </c>
      <c r="AK3" s="30">
        <f>AF3/data2018!C2</f>
        <v>0.1631013734332413</v>
      </c>
      <c r="AL3" s="30">
        <f>AF3/data2018!H2</f>
        <v>0.52563109626143611</v>
      </c>
      <c r="AM3" s="8">
        <v>9.633933626550359</v>
      </c>
      <c r="AN3" s="30">
        <f>AM3/data2018!BY2</f>
        <v>0.88417158833979059</v>
      </c>
    </row>
    <row r="4" spans="1:40" x14ac:dyDescent="0.25">
      <c r="A4" s="5">
        <v>1961</v>
      </c>
      <c r="B4" s="28">
        <v>891.5</v>
      </c>
      <c r="C4" s="28">
        <v>0</v>
      </c>
      <c r="D4" s="28">
        <v>10.509</v>
      </c>
      <c r="E4" s="28">
        <v>86.77</v>
      </c>
      <c r="F4" s="28">
        <f t="shared" si="0"/>
        <v>902.00900000000001</v>
      </c>
      <c r="G4" s="28">
        <f t="shared" si="1"/>
        <v>988.779</v>
      </c>
      <c r="H4" s="30">
        <v>0.15284842203128618</v>
      </c>
      <c r="I4" s="30"/>
      <c r="J4" s="30">
        <v>0.10179048387804925</v>
      </c>
      <c r="K4" s="30">
        <v>0.14170833010265152</v>
      </c>
      <c r="L4" s="28">
        <f t="shared" ref="L4:L52" si="7">B4/H4</f>
        <v>5832.5757515345558</v>
      </c>
      <c r="M4" s="28"/>
      <c r="N4" s="28">
        <f t="shared" ref="N4:N48" si="8">D4/J4</f>
        <v>103.24147798128533</v>
      </c>
      <c r="O4" s="28">
        <f t="shared" ref="O4:O48" si="9">G4/K4</f>
        <v>6977.5644048853192</v>
      </c>
      <c r="P4" s="28">
        <f t="shared" si="2"/>
        <v>9357.4546197527852</v>
      </c>
      <c r="Q4" s="28">
        <f t="shared" si="3"/>
        <v>5935.8172295158411</v>
      </c>
      <c r="R4" s="5">
        <v>4950</v>
      </c>
      <c r="S4" s="18">
        <f t="shared" si="4"/>
        <v>-985.81722951584106</v>
      </c>
      <c r="T4" s="32">
        <v>9.6549999999999994</v>
      </c>
      <c r="U4" s="32" t="s">
        <v>693</v>
      </c>
      <c r="V4" s="32">
        <v>8.3219999999999992</v>
      </c>
      <c r="W4" s="32">
        <v>8.2460000000000004</v>
      </c>
      <c r="X4" s="158">
        <v>9.641</v>
      </c>
      <c r="Y4" s="16">
        <v>11.221</v>
      </c>
      <c r="Z4" s="30">
        <f t="shared" ref="Z4:Z48" si="10">T4/$Y4</f>
        <v>0.86044024596738256</v>
      </c>
      <c r="AA4" s="30"/>
      <c r="AB4" s="30">
        <f t="shared" si="5"/>
        <v>0.74164512966758744</v>
      </c>
      <c r="AC4" s="30">
        <f t="shared" ref="AC4:AC48" si="11">W4/Y4</f>
        <v>0.73487211478477854</v>
      </c>
      <c r="AD4" s="30">
        <f t="shared" si="6"/>
        <v>0.85919258533107568</v>
      </c>
      <c r="AE4" s="28">
        <f t="shared" ref="AE4:AE57" si="12">F4</f>
        <v>902.00900000000001</v>
      </c>
      <c r="AF4" s="18">
        <f>100*AE4/data2018!BY3</f>
        <v>8038.5794492469468</v>
      </c>
      <c r="AG4" s="20">
        <f>AE4/data2018!AN3</f>
        <v>0.15824719298245615</v>
      </c>
      <c r="AH4" s="20">
        <f>AE4/data2018!E3</f>
        <v>1.9539725772433181E-2</v>
      </c>
      <c r="AI4" s="20">
        <f>AE4/data2018!H3</f>
        <v>6.2632895084624107E-2</v>
      </c>
      <c r="AJ4" s="30">
        <f>AF4/data2018!AK3</f>
        <v>1.346495720141867</v>
      </c>
      <c r="AK4" s="30">
        <f>AF4/data2018!C3</f>
        <v>0.173163143536404</v>
      </c>
      <c r="AL4" s="30">
        <f>AF4/data2018!H3</f>
        <v>0.55817569810733536</v>
      </c>
      <c r="AM4" s="8">
        <v>9.6394696704800058</v>
      </c>
      <c r="AN4" s="30">
        <f>AM4/data2018!BY3</f>
        <v>0.8590562044808846</v>
      </c>
    </row>
    <row r="5" spans="1:40" x14ac:dyDescent="0.25">
      <c r="A5" s="5">
        <v>1962</v>
      </c>
      <c r="B5" s="28">
        <v>963.52</v>
      </c>
      <c r="C5" s="28">
        <v>0</v>
      </c>
      <c r="D5" s="28">
        <v>11.901999999999999</v>
      </c>
      <c r="E5" s="28">
        <v>91.02</v>
      </c>
      <c r="F5" s="28">
        <f t="shared" si="0"/>
        <v>975.42200000000003</v>
      </c>
      <c r="G5" s="28">
        <f t="shared" si="1"/>
        <v>1066.442</v>
      </c>
      <c r="H5" s="30">
        <v>0.15290422144578786</v>
      </c>
      <c r="I5" s="30"/>
      <c r="J5" s="30">
        <v>0.10146433934641905</v>
      </c>
      <c r="K5" s="30">
        <v>0.14132347464263323</v>
      </c>
      <c r="L5" s="28">
        <f t="shared" si="7"/>
        <v>6301.4610773294817</v>
      </c>
      <c r="M5" s="28"/>
      <c r="N5" s="28">
        <f t="shared" si="8"/>
        <v>117.30229632072259</v>
      </c>
      <c r="O5" s="28">
        <f t="shared" si="9"/>
        <v>7546.1065664902999</v>
      </c>
      <c r="P5" s="28">
        <f t="shared" si="2"/>
        <v>10122.452144965804</v>
      </c>
      <c r="Q5" s="28">
        <f t="shared" si="3"/>
        <v>6418.7633736502039</v>
      </c>
      <c r="R5" s="5">
        <v>5520</v>
      </c>
      <c r="S5" s="18">
        <f t="shared" si="4"/>
        <v>-898.7633736502039</v>
      </c>
      <c r="T5" s="32">
        <v>9.6530000000000005</v>
      </c>
      <c r="U5" s="32" t="s">
        <v>693</v>
      </c>
      <c r="V5" s="32">
        <v>8.2780000000000005</v>
      </c>
      <c r="W5" s="32">
        <v>8.1780000000000008</v>
      </c>
      <c r="X5" s="158">
        <v>9.6310000000000002</v>
      </c>
      <c r="Y5" s="16">
        <v>11.7</v>
      </c>
      <c r="Z5" s="30">
        <f t="shared" si="10"/>
        <v>0.82504273504273518</v>
      </c>
      <c r="AA5" s="30"/>
      <c r="AB5" s="30">
        <f t="shared" si="5"/>
        <v>0.70752136752136763</v>
      </c>
      <c r="AC5" s="30">
        <f t="shared" si="11"/>
        <v>0.69897435897435911</v>
      </c>
      <c r="AD5" s="30">
        <f t="shared" si="6"/>
        <v>0.82316239316239326</v>
      </c>
      <c r="AE5" s="28">
        <f t="shared" si="12"/>
        <v>975.42200000000003</v>
      </c>
      <c r="AF5" s="18">
        <f>100*AE5/data2018!BY4</f>
        <v>8336.9401709401718</v>
      </c>
      <c r="AG5" s="20">
        <f>AE5/data2018!AN4</f>
        <v>0.15397348066298344</v>
      </c>
      <c r="AH5" s="20">
        <f>AE5/data2018!E4</f>
        <v>2.0754673903956539E-2</v>
      </c>
      <c r="AI5" s="20">
        <f>AE5/data2018!H4</f>
        <v>6.6439939586128163E-2</v>
      </c>
      <c r="AJ5" s="30">
        <f>AF5/data2018!AK4</f>
        <v>1.2443194284985331</v>
      </c>
      <c r="AK5" s="30">
        <f>AF5/data2018!C4</f>
        <v>0.17524371012956633</v>
      </c>
      <c r="AL5" s="30">
        <f>AF5/data2018!H4</f>
        <v>0.56786273150536892</v>
      </c>
      <c r="AM5" s="8">
        <v>9.6362223898989363</v>
      </c>
      <c r="AN5" s="30">
        <f>AM5/data2018!BY4</f>
        <v>0.82360875127341338</v>
      </c>
    </row>
    <row r="6" spans="1:40" x14ac:dyDescent="0.25">
      <c r="A6" s="5">
        <v>1963</v>
      </c>
      <c r="B6" s="28">
        <v>1053.43</v>
      </c>
      <c r="C6" s="28">
        <v>0</v>
      </c>
      <c r="D6" s="28">
        <v>13.414</v>
      </c>
      <c r="E6" s="28">
        <v>97.41</v>
      </c>
      <c r="F6" s="28">
        <f t="shared" si="0"/>
        <v>1066.8440000000001</v>
      </c>
      <c r="G6" s="28">
        <f t="shared" si="1"/>
        <v>1164.2540000000001</v>
      </c>
      <c r="H6" s="30">
        <v>0.15264875097971001</v>
      </c>
      <c r="I6" s="30"/>
      <c r="J6" s="30">
        <v>0.10134667703276271</v>
      </c>
      <c r="K6" s="30">
        <v>0.14083712217828942</v>
      </c>
      <c r="L6" s="28">
        <f t="shared" si="7"/>
        <v>6901.0063511100816</v>
      </c>
      <c r="M6" s="28"/>
      <c r="N6" s="28">
        <f t="shared" si="8"/>
        <v>132.35757099035035</v>
      </c>
      <c r="O6" s="28">
        <f t="shared" si="9"/>
        <v>8266.6699091319151</v>
      </c>
      <c r="P6" s="28">
        <f t="shared" si="2"/>
        <v>11068.773621974562</v>
      </c>
      <c r="Q6" s="28">
        <f t="shared" si="3"/>
        <v>7033.3639221004323</v>
      </c>
      <c r="R6" s="5">
        <v>6150</v>
      </c>
      <c r="S6" s="18">
        <f t="shared" si="4"/>
        <v>-883.36392210043232</v>
      </c>
      <c r="T6" s="32">
        <v>9.6560000000000006</v>
      </c>
      <c r="U6" s="32" t="s">
        <v>693</v>
      </c>
      <c r="V6" s="32">
        <v>8.25</v>
      </c>
      <c r="W6" s="32">
        <v>8.2989999999999995</v>
      </c>
      <c r="X6" s="158">
        <v>9.6449999999999996</v>
      </c>
      <c r="Y6" s="16">
        <v>12.266</v>
      </c>
      <c r="Z6" s="30">
        <f t="shared" si="10"/>
        <v>0.7872166965595957</v>
      </c>
      <c r="AA6" s="30"/>
      <c r="AB6" s="30">
        <f t="shared" si="5"/>
        <v>0.67259090167943913</v>
      </c>
      <c r="AC6" s="30">
        <f t="shared" si="11"/>
        <v>0.67658568400456542</v>
      </c>
      <c r="AD6" s="30">
        <f t="shared" si="6"/>
        <v>0.78631990869068968</v>
      </c>
      <c r="AE6" s="28">
        <f t="shared" si="12"/>
        <v>1066.8440000000001</v>
      </c>
      <c r="AF6" s="18">
        <f>100*AE6/data2018!BY5</f>
        <v>8697.5705201369656</v>
      </c>
      <c r="AG6" s="20">
        <f>AE6/data2018!AN5</f>
        <v>0.1499429374560787</v>
      </c>
      <c r="AH6" s="20">
        <f>AE6/data2018!E5</f>
        <v>2.2311342380856455E-2</v>
      </c>
      <c r="AI6" s="20">
        <f>AE6/data2018!H5</f>
        <v>7.1410508176507431E-2</v>
      </c>
      <c r="AJ6" s="30">
        <f>AF6/data2018!AK5</f>
        <v>1.1550558459677245</v>
      </c>
      <c r="AK6" s="30">
        <f>AF6/data2018!C5</f>
        <v>0.18097682581429111</v>
      </c>
      <c r="AL6" s="30">
        <f>AF6/data2018!H5</f>
        <v>0.58218252222817091</v>
      </c>
      <c r="AM6" s="8">
        <v>9.6383216102822917</v>
      </c>
      <c r="AN6" s="30">
        <f>AM6/data2018!BY5</f>
        <v>0.78577544515590181</v>
      </c>
    </row>
    <row r="7" spans="1:40" x14ac:dyDescent="0.25">
      <c r="A7" s="5">
        <v>1964</v>
      </c>
      <c r="B7" s="28">
        <v>1169.17</v>
      </c>
      <c r="C7" s="28">
        <v>0</v>
      </c>
      <c r="D7" s="28">
        <v>15.061</v>
      </c>
      <c r="E7" s="28">
        <v>107.93</v>
      </c>
      <c r="F7" s="28">
        <f t="shared" si="0"/>
        <v>1184.231</v>
      </c>
      <c r="G7" s="28">
        <f t="shared" si="1"/>
        <v>1292.1610000000001</v>
      </c>
      <c r="H7" s="30">
        <v>0.15095404832730777</v>
      </c>
      <c r="I7" s="30"/>
      <c r="J7" s="30">
        <v>0.10032840508129857</v>
      </c>
      <c r="K7" s="30">
        <v>0.13913532086731822</v>
      </c>
      <c r="L7" s="28">
        <f t="shared" si="7"/>
        <v>7745.2046696020661</v>
      </c>
      <c r="M7" s="28"/>
      <c r="N7" s="28">
        <f t="shared" si="8"/>
        <v>150.1170081174489</v>
      </c>
      <c r="O7" s="28">
        <f t="shared" si="9"/>
        <v>9287.0810369728224</v>
      </c>
      <c r="P7" s="28">
        <f t="shared" si="2"/>
        <v>12320.013945292383</v>
      </c>
      <c r="Q7" s="28">
        <f t="shared" si="3"/>
        <v>7895.3216777195148</v>
      </c>
      <c r="R7" s="5">
        <v>7120</v>
      </c>
      <c r="S7" s="18">
        <f t="shared" si="4"/>
        <v>-775.32167771951481</v>
      </c>
      <c r="T7" s="32">
        <v>9.6310000000000002</v>
      </c>
      <c r="U7" s="32" t="s">
        <v>693</v>
      </c>
      <c r="V7" s="32">
        <v>8.157</v>
      </c>
      <c r="W7" s="32">
        <v>8.6029999999999998</v>
      </c>
      <c r="X7" s="158">
        <v>9.65</v>
      </c>
      <c r="Y7" s="16">
        <v>12.67</v>
      </c>
      <c r="Z7" s="30">
        <f t="shared" si="10"/>
        <v>0.76014206787687455</v>
      </c>
      <c r="AA7" s="30"/>
      <c r="AB7" s="30">
        <f t="shared" si="5"/>
        <v>0.64380426203630625</v>
      </c>
      <c r="AC7" s="30">
        <f t="shared" si="11"/>
        <v>0.67900552486187848</v>
      </c>
      <c r="AD7" s="30">
        <f t="shared" si="6"/>
        <v>0.76164167324388321</v>
      </c>
      <c r="AE7" s="28">
        <f t="shared" si="12"/>
        <v>1184.231</v>
      </c>
      <c r="AF7" s="18">
        <f>100*AE7/data2018!BY6</f>
        <v>9346.7324388318866</v>
      </c>
      <c r="AG7" s="20">
        <f>AE7/data2018!AN6</f>
        <v>0.14942977917981073</v>
      </c>
      <c r="AH7" s="20">
        <f>AE7/data2018!E6</f>
        <v>2.4512954654942985E-2</v>
      </c>
      <c r="AI7" s="20">
        <f>AE7/data2018!H6</f>
        <v>7.8442079453608482E-2</v>
      </c>
      <c r="AJ7" s="30">
        <f>AF7/data2018!AK6</f>
        <v>1.1234053412057556</v>
      </c>
      <c r="AK7" s="30">
        <f>AF7/data2018!C6</f>
        <v>0.19247088120357742</v>
      </c>
      <c r="AL7" s="30">
        <f>AF7/data2018!H6</f>
        <v>0.61911664919975118</v>
      </c>
      <c r="AM7" s="8">
        <v>9.6122537300577342</v>
      </c>
      <c r="AN7" s="30">
        <f>AM7/data2018!BY6</f>
        <v>0.75866248856020002</v>
      </c>
    </row>
    <row r="8" spans="1:40" x14ac:dyDescent="0.25">
      <c r="A8" s="5">
        <v>1965</v>
      </c>
      <c r="B8" s="28">
        <v>1285.99</v>
      </c>
      <c r="C8" s="28">
        <v>0</v>
      </c>
      <c r="D8" s="28">
        <v>16.329000000000001</v>
      </c>
      <c r="E8" s="28">
        <v>110.06</v>
      </c>
      <c r="F8" s="28">
        <f t="shared" si="0"/>
        <v>1302.319</v>
      </c>
      <c r="G8" s="28">
        <f t="shared" si="1"/>
        <v>1412.3789999999999</v>
      </c>
      <c r="H8" s="30">
        <v>0.15027614173314999</v>
      </c>
      <c r="I8" s="30"/>
      <c r="J8" s="30">
        <v>9.8611569842799909E-2</v>
      </c>
      <c r="K8" s="30">
        <v>0.13815712090747148</v>
      </c>
      <c r="L8" s="28">
        <f t="shared" si="7"/>
        <v>8557.5127573049649</v>
      </c>
      <c r="M8" s="28"/>
      <c r="N8" s="28">
        <f t="shared" si="8"/>
        <v>165.58908884657876</v>
      </c>
      <c r="O8" s="28">
        <f t="shared" si="9"/>
        <v>10222.990973776286</v>
      </c>
      <c r="P8" s="28">
        <f t="shared" si="2"/>
        <v>13647.257328367285</v>
      </c>
      <c r="Q8" s="28">
        <f t="shared" si="3"/>
        <v>8723.1018461515432</v>
      </c>
      <c r="R8" s="5">
        <v>7920</v>
      </c>
      <c r="S8" s="18">
        <f t="shared" si="4"/>
        <v>-803.10184615154321</v>
      </c>
      <c r="T8" s="32">
        <v>9.5619999999999994</v>
      </c>
      <c r="U8" s="32" t="s">
        <v>693</v>
      </c>
      <c r="V8" s="32">
        <v>8.0239999999999991</v>
      </c>
      <c r="W8" s="32">
        <v>8.6329999999999991</v>
      </c>
      <c r="X8" s="158">
        <v>9.5869999999999997</v>
      </c>
      <c r="Y8" s="16">
        <v>13.005000000000001</v>
      </c>
      <c r="Z8" s="30">
        <f t="shared" si="10"/>
        <v>0.73525567089580923</v>
      </c>
      <c r="AA8" s="30"/>
      <c r="AB8" s="30">
        <f t="shared" si="5"/>
        <v>0.6169934640522875</v>
      </c>
      <c r="AC8" s="30">
        <f t="shared" si="11"/>
        <v>0.66382160707420212</v>
      </c>
      <c r="AD8" s="30">
        <f t="shared" si="6"/>
        <v>0.73717800845828518</v>
      </c>
      <c r="AE8" s="28">
        <f t="shared" si="12"/>
        <v>1302.319</v>
      </c>
      <c r="AF8" s="18">
        <f>100*AE8/data2018!BY7</f>
        <v>10013.986928104574</v>
      </c>
      <c r="AG8" s="20">
        <f>AE8/data2018!AN7</f>
        <v>0.15029648009232544</v>
      </c>
      <c r="AH8" s="20">
        <f>AE8/data2018!E7</f>
        <v>2.6709964494703572E-2</v>
      </c>
      <c r="AI8" s="20">
        <f>AE8/data2018!H7</f>
        <v>8.5416404065607549E-2</v>
      </c>
      <c r="AJ8" s="30">
        <f>AF8/data2018!AK7</f>
        <v>1.1114302916875221</v>
      </c>
      <c r="AK8" s="30">
        <f>AF8/data2018!C7</f>
        <v>0.20455998440538731</v>
      </c>
      <c r="AL8" s="30">
        <f>AF8/data2018!H7</f>
        <v>0.65679664794777037</v>
      </c>
      <c r="AM8" s="8">
        <v>9.5427159367251804</v>
      </c>
      <c r="AN8" s="30">
        <f>AM8/data2018!BY7</f>
        <v>0.73377285172819529</v>
      </c>
    </row>
    <row r="9" spans="1:40" x14ac:dyDescent="0.25">
      <c r="A9" s="5">
        <v>1966</v>
      </c>
      <c r="B9" s="28">
        <v>1426.46</v>
      </c>
      <c r="C9" s="28">
        <v>0</v>
      </c>
      <c r="D9" s="28">
        <v>18.103000000000002</v>
      </c>
      <c r="E9" s="28">
        <v>118.57</v>
      </c>
      <c r="F9" s="28">
        <f t="shared" si="0"/>
        <v>1444.5630000000001</v>
      </c>
      <c r="G9" s="28">
        <f t="shared" si="1"/>
        <v>1563.133</v>
      </c>
      <c r="H9" s="30">
        <v>0.15104711259813022</v>
      </c>
      <c r="I9" s="30"/>
      <c r="J9" s="30">
        <v>9.8329616118129695E-2</v>
      </c>
      <c r="K9" s="30">
        <v>0.13847650278213269</v>
      </c>
      <c r="L9" s="28">
        <f t="shared" si="7"/>
        <v>9443.8084612393832</v>
      </c>
      <c r="M9" s="28"/>
      <c r="N9" s="28">
        <f t="shared" si="8"/>
        <v>184.10526466666667</v>
      </c>
      <c r="O9" s="28">
        <f t="shared" si="9"/>
        <v>11288.073922976682</v>
      </c>
      <c r="P9" s="28">
        <f t="shared" si="2"/>
        <v>15134.632434078454</v>
      </c>
      <c r="Q9" s="28">
        <f t="shared" si="3"/>
        <v>9627.9137259060499</v>
      </c>
      <c r="R9" s="5">
        <v>8760</v>
      </c>
      <c r="S9" s="18">
        <f t="shared" si="4"/>
        <v>-867.91372590604988</v>
      </c>
      <c r="T9" s="32">
        <v>9.5640000000000001</v>
      </c>
      <c r="U9" s="32" t="s">
        <v>693</v>
      </c>
      <c r="V9" s="32">
        <v>8.0280000000000005</v>
      </c>
      <c r="W9" s="32">
        <v>8.7469999999999999</v>
      </c>
      <c r="X9" s="158">
        <v>9.5990000000000002</v>
      </c>
      <c r="Y9" s="16">
        <v>13.397</v>
      </c>
      <c r="Z9" s="30">
        <f t="shared" si="10"/>
        <v>0.71389116966485033</v>
      </c>
      <c r="AA9" s="30"/>
      <c r="AB9" s="30">
        <f t="shared" si="5"/>
        <v>0.5992386355154139</v>
      </c>
      <c r="AC9" s="30">
        <f t="shared" si="11"/>
        <v>0.65290736732104204</v>
      </c>
      <c r="AD9" s="30">
        <f t="shared" si="6"/>
        <v>0.71650369485705756</v>
      </c>
      <c r="AE9" s="28">
        <f t="shared" si="12"/>
        <v>1444.5630000000001</v>
      </c>
      <c r="AF9" s="18">
        <f>100*AE9/data2018!BY8</f>
        <v>10782.734940658358</v>
      </c>
      <c r="AG9" s="20">
        <f>AE9/data2018!AN8</f>
        <v>0.15351360255047822</v>
      </c>
      <c r="AH9" s="20">
        <f>AE9/data2018!E8</f>
        <v>2.9382736512653572E-2</v>
      </c>
      <c r="AI9" s="20">
        <f>AE9/data2018!H8</f>
        <v>9.3808755053080395E-2</v>
      </c>
      <c r="AJ9" s="30">
        <f>AF9/data2018!AK8</f>
        <v>1.099157486305643</v>
      </c>
      <c r="AK9" s="30">
        <f>AF9/data2018!C8</f>
        <v>0.21839097613481406</v>
      </c>
      <c r="AL9" s="30">
        <f>AF9/data2018!H8</f>
        <v>0.70022210235933724</v>
      </c>
      <c r="AM9" s="8">
        <v>9.5447511281958626</v>
      </c>
      <c r="AN9" s="30">
        <f>AM9/data2018!BY8</f>
        <v>0.712454365021711</v>
      </c>
    </row>
    <row r="10" spans="1:40" x14ac:dyDescent="0.25">
      <c r="A10" s="5">
        <v>1967</v>
      </c>
      <c r="B10" s="28">
        <v>1606.44</v>
      </c>
      <c r="C10" s="28">
        <v>0</v>
      </c>
      <c r="D10" s="28">
        <v>20.13</v>
      </c>
      <c r="E10" s="28">
        <v>120.7</v>
      </c>
      <c r="F10" s="28">
        <f t="shared" si="0"/>
        <v>1626.5700000000002</v>
      </c>
      <c r="G10" s="28">
        <f t="shared" si="1"/>
        <v>1747.27</v>
      </c>
      <c r="H10" s="30">
        <v>0.15338127523412412</v>
      </c>
      <c r="I10" s="30"/>
      <c r="J10" s="30">
        <v>9.9100436617778107E-2</v>
      </c>
      <c r="K10" s="30">
        <v>0.1403428087269529</v>
      </c>
      <c r="L10" s="28">
        <f t="shared" si="7"/>
        <v>10473.507913843454</v>
      </c>
      <c r="M10" s="28"/>
      <c r="N10" s="28">
        <f t="shared" si="8"/>
        <v>203.12725843620331</v>
      </c>
      <c r="O10" s="28">
        <f t="shared" si="9"/>
        <v>12450.014474196823</v>
      </c>
      <c r="P10" s="28">
        <f t="shared" si="2"/>
        <v>16815.288021686021</v>
      </c>
      <c r="Q10" s="28">
        <f t="shared" si="3"/>
        <v>10676.635172279657</v>
      </c>
      <c r="R10" s="5">
        <v>9640</v>
      </c>
      <c r="S10" s="18">
        <f t="shared" si="4"/>
        <v>-1036.6351722796571</v>
      </c>
      <c r="T10" s="32">
        <v>9.6929999999999996</v>
      </c>
      <c r="U10" s="32" t="s">
        <v>693</v>
      </c>
      <c r="V10" s="32">
        <v>8.09</v>
      </c>
      <c r="W10" s="32">
        <v>8.9049999999999994</v>
      </c>
      <c r="X10" s="158">
        <v>9.7309999999999999</v>
      </c>
      <c r="Y10" s="16">
        <v>13.818</v>
      </c>
      <c r="Z10" s="30">
        <f t="shared" si="10"/>
        <v>0.70147633521493702</v>
      </c>
      <c r="AA10" s="30"/>
      <c r="AB10" s="30">
        <f t="shared" si="5"/>
        <v>0.58546822984512958</v>
      </c>
      <c r="AC10" s="30">
        <f t="shared" si="11"/>
        <v>0.64444926906932987</v>
      </c>
      <c r="AD10" s="30">
        <f t="shared" si="6"/>
        <v>0.70422637139962374</v>
      </c>
      <c r="AE10" s="28">
        <f t="shared" si="12"/>
        <v>1626.5700000000002</v>
      </c>
      <c r="AF10" s="18">
        <f>100*AE10/data2018!BY9</f>
        <v>11771.385149804604</v>
      </c>
      <c r="AG10" s="20">
        <f>AE10/data2018!AN9</f>
        <v>0.1596633128834356</v>
      </c>
      <c r="AH10" s="20">
        <f>AE10/data2018!E9</f>
        <v>3.2827964880210989E-2</v>
      </c>
      <c r="AI10" s="20">
        <f>AE10/data2018!H9</f>
        <v>0.10444650656138023</v>
      </c>
      <c r="AJ10" s="30">
        <f>AF10/data2018!AK9</f>
        <v>1.1141869521821679</v>
      </c>
      <c r="AK10" s="30">
        <f>AF10/data2018!C9</f>
        <v>0.23673889557355998</v>
      </c>
      <c r="AL10" s="30">
        <f>AF10/data2018!H9</f>
        <v>0.7558728221260691</v>
      </c>
      <c r="AM10" s="8">
        <v>9.6731616960843994</v>
      </c>
      <c r="AN10" s="30">
        <f>AM10/data2018!BY9</f>
        <v>0.70004064959360257</v>
      </c>
    </row>
    <row r="11" spans="1:40" x14ac:dyDescent="0.25">
      <c r="A11" s="5">
        <v>1968</v>
      </c>
      <c r="B11" s="28">
        <v>1780.97</v>
      </c>
      <c r="C11" s="28">
        <v>0</v>
      </c>
      <c r="D11" s="28">
        <v>22.655000000000001</v>
      </c>
      <c r="E11" s="28">
        <v>129.09</v>
      </c>
      <c r="F11" s="28">
        <f t="shared" si="0"/>
        <v>1803.625</v>
      </c>
      <c r="G11" s="28">
        <f t="shared" si="1"/>
        <v>1932.7150000000001</v>
      </c>
      <c r="H11" s="30">
        <v>0.15725094885151378</v>
      </c>
      <c r="I11" s="30"/>
      <c r="J11" s="30">
        <v>0.10159649892311366</v>
      </c>
      <c r="K11" s="30">
        <v>0.14361066337505049</v>
      </c>
      <c r="L11" s="28">
        <f t="shared" si="7"/>
        <v>11325.655031065688</v>
      </c>
      <c r="M11" s="28"/>
      <c r="N11" s="28">
        <f t="shared" si="8"/>
        <v>222.98996756910771</v>
      </c>
      <c r="O11" s="28">
        <f t="shared" si="9"/>
        <v>13458.018747205168</v>
      </c>
      <c r="P11" s="28">
        <f t="shared" si="2"/>
        <v>18536.568465251054</v>
      </c>
      <c r="Q11" s="28">
        <f t="shared" si="3"/>
        <v>11548.644998634796</v>
      </c>
      <c r="R11" s="5">
        <v>10710</v>
      </c>
      <c r="S11" s="18">
        <f t="shared" si="4"/>
        <v>-838.64499863479614</v>
      </c>
      <c r="T11" s="32">
        <v>9.75</v>
      </c>
      <c r="U11" s="32" t="s">
        <v>693</v>
      </c>
      <c r="V11" s="32">
        <v>8.1649999999999991</v>
      </c>
      <c r="W11" s="32">
        <v>9.5229999999999997</v>
      </c>
      <c r="X11" s="158">
        <v>9.827</v>
      </c>
      <c r="Y11" s="16">
        <v>14.513999999999999</v>
      </c>
      <c r="Z11" s="30">
        <f t="shared" si="10"/>
        <v>0.67176519222819353</v>
      </c>
      <c r="AA11" s="30"/>
      <c r="AB11" s="30">
        <f t="shared" si="5"/>
        <v>0.56256028661981528</v>
      </c>
      <c r="AC11" s="30">
        <f t="shared" si="11"/>
        <v>0.65612512057323968</v>
      </c>
      <c r="AD11" s="30">
        <f t="shared" si="6"/>
        <v>0.67707041477194441</v>
      </c>
      <c r="AE11" s="28">
        <f t="shared" si="12"/>
        <v>1803.625</v>
      </c>
      <c r="AF11" s="18">
        <f>100*AE11/data2018!BY10</f>
        <v>12426.794818795646</v>
      </c>
      <c r="AG11" s="20">
        <f>AE11/data2018!AN10</f>
        <v>0.16566016073478759</v>
      </c>
      <c r="AH11" s="20">
        <f>AE11/data2018!E10</f>
        <v>3.6133635582050336E-2</v>
      </c>
      <c r="AI11" s="20">
        <f>AE11/data2018!H10</f>
        <v>0.11434647860807928</v>
      </c>
      <c r="AJ11" s="30">
        <f>AF11/data2018!AK10</f>
        <v>1.1085454789291389</v>
      </c>
      <c r="AK11" s="30">
        <f>AF11/data2018!C10</f>
        <v>0.24800152748464177</v>
      </c>
      <c r="AL11" s="30">
        <f>AF11/data2018!H10</f>
        <v>0.78783573520793226</v>
      </c>
      <c r="AM11" s="8">
        <v>9.7300911081849062</v>
      </c>
      <c r="AN11" s="30">
        <f>AM11/data2018!BY10</f>
        <v>0.67039348960899181</v>
      </c>
    </row>
    <row r="12" spans="1:40" x14ac:dyDescent="0.25">
      <c r="A12" s="5">
        <v>1969</v>
      </c>
      <c r="B12" s="28">
        <v>2053.8200000000002</v>
      </c>
      <c r="C12" s="28">
        <v>0</v>
      </c>
      <c r="D12" s="28">
        <v>26.457000000000001</v>
      </c>
      <c r="E12" s="28">
        <v>150.25</v>
      </c>
      <c r="F12" s="28">
        <f t="shared" si="0"/>
        <v>2080.277</v>
      </c>
      <c r="G12" s="28">
        <f t="shared" si="1"/>
        <v>2230.527</v>
      </c>
      <c r="H12" s="30">
        <v>0.1687905486632553</v>
      </c>
      <c r="I12" s="30"/>
      <c r="J12" s="30">
        <v>0.10779338841663828</v>
      </c>
      <c r="K12" s="30">
        <v>0.15343091029062719</v>
      </c>
      <c r="L12" s="28">
        <f t="shared" si="7"/>
        <v>12167.861389546539</v>
      </c>
      <c r="M12" s="28"/>
      <c r="N12" s="28">
        <f t="shared" si="8"/>
        <v>245.44176956140913</v>
      </c>
      <c r="O12" s="28">
        <f t="shared" si="9"/>
        <v>14537.663863004916</v>
      </c>
      <c r="P12" s="28">
        <f t="shared" si="2"/>
        <v>19905.028595502568</v>
      </c>
      <c r="Q12" s="28">
        <f t="shared" si="3"/>
        <v>12413.303159107947</v>
      </c>
      <c r="R12" s="5">
        <v>11520</v>
      </c>
      <c r="S12" s="18">
        <f t="shared" si="4"/>
        <v>-893.30315910794707</v>
      </c>
      <c r="T12" s="32">
        <v>10.478</v>
      </c>
      <c r="U12" s="32" t="s">
        <v>693</v>
      </c>
      <c r="V12" s="32">
        <v>8.3559999999999999</v>
      </c>
      <c r="W12" s="32">
        <v>10.315</v>
      </c>
      <c r="X12" s="158">
        <v>10.561</v>
      </c>
      <c r="Y12" s="16">
        <v>15.544</v>
      </c>
      <c r="Z12" s="30">
        <f t="shared" si="10"/>
        <v>0.67408646423057128</v>
      </c>
      <c r="AA12" s="30"/>
      <c r="AB12" s="30">
        <f t="shared" si="5"/>
        <v>0.5375707668553783</v>
      </c>
      <c r="AC12" s="30">
        <f t="shared" si="11"/>
        <v>0.66360010293360772</v>
      </c>
      <c r="AD12" s="30">
        <f t="shared" si="6"/>
        <v>0.67942614513638699</v>
      </c>
      <c r="AE12" s="28">
        <f t="shared" si="12"/>
        <v>2080.277</v>
      </c>
      <c r="AF12" s="18">
        <f>100*AE12/data2018!BY11</f>
        <v>13383.15105506948</v>
      </c>
      <c r="AG12" s="20">
        <f>AE12/data2018!AN11</f>
        <v>0.18034477676636324</v>
      </c>
      <c r="AH12" s="20">
        <f>AE12/data2018!E11</f>
        <v>4.1342619954693328E-2</v>
      </c>
      <c r="AI12" s="20">
        <f>AE12/data2018!H11</f>
        <v>0.12978467220548748</v>
      </c>
      <c r="AJ12" s="30">
        <f>AF12/data2018!AK11</f>
        <v>1.1284275763127725</v>
      </c>
      <c r="AK12" s="30">
        <f>AF12/data2018!C11</f>
        <v>0.26486488777824291</v>
      </c>
      <c r="AL12" s="30">
        <f>AF12/data2018!H11</f>
        <v>0.83495028438939445</v>
      </c>
      <c r="AM12" s="8">
        <v>10.451012366141626</v>
      </c>
      <c r="AN12" s="30">
        <f>AM12/data2018!BY11</f>
        <v>0.67235025515579161</v>
      </c>
    </row>
    <row r="13" spans="1:40" x14ac:dyDescent="0.25">
      <c r="A13" s="5">
        <v>1970</v>
      </c>
      <c r="B13" s="28">
        <v>2280.4699999999998</v>
      </c>
      <c r="C13" s="28">
        <v>0</v>
      </c>
      <c r="D13" s="28">
        <v>29.742999999999999</v>
      </c>
      <c r="E13" s="28">
        <v>160.88999999999999</v>
      </c>
      <c r="F13" s="28">
        <f t="shared" si="0"/>
        <v>2310.2129999999997</v>
      </c>
      <c r="G13" s="28">
        <f t="shared" si="1"/>
        <v>2471.1029999999996</v>
      </c>
      <c r="H13" s="30">
        <v>0.17277968925345372</v>
      </c>
      <c r="I13" s="30"/>
      <c r="J13" s="30">
        <v>0.10943288053437433</v>
      </c>
      <c r="K13" s="30">
        <v>0.15662452449426836</v>
      </c>
      <c r="L13" s="28">
        <f t="shared" si="7"/>
        <v>13198.715716259543</v>
      </c>
      <c r="M13" s="28"/>
      <c r="N13" s="28">
        <f t="shared" si="8"/>
        <v>271.79216936227249</v>
      </c>
      <c r="O13" s="28">
        <f t="shared" si="9"/>
        <v>15777.241833480739</v>
      </c>
      <c r="P13" s="28">
        <f t="shared" si="2"/>
        <v>21892.450326679176</v>
      </c>
      <c r="Q13" s="28">
        <f t="shared" si="3"/>
        <v>13470.507885621815</v>
      </c>
      <c r="R13" s="5">
        <v>12524</v>
      </c>
      <c r="S13" s="18">
        <f t="shared" si="4"/>
        <v>-946.50788562181515</v>
      </c>
      <c r="T13" s="32">
        <v>10.579000000000001</v>
      </c>
      <c r="U13" s="32" t="s">
        <v>693</v>
      </c>
      <c r="V13" s="32">
        <v>8.5250000000000004</v>
      </c>
      <c r="W13" s="32">
        <v>10.462999999999999</v>
      </c>
      <c r="X13" s="158">
        <v>10.667</v>
      </c>
      <c r="Y13" s="16">
        <v>16.324000000000002</v>
      </c>
      <c r="Z13" s="30">
        <f t="shared" si="10"/>
        <v>0.6480641999509924</v>
      </c>
      <c r="AA13" s="30"/>
      <c r="AB13" s="30">
        <f t="shared" si="5"/>
        <v>0.52223719676549862</v>
      </c>
      <c r="AC13" s="30">
        <f t="shared" si="11"/>
        <v>0.64095809850526819</v>
      </c>
      <c r="AD13" s="30">
        <f t="shared" si="6"/>
        <v>0.6534550355305071</v>
      </c>
      <c r="AE13" s="28">
        <f t="shared" si="12"/>
        <v>2310.2129999999997</v>
      </c>
      <c r="AF13" s="18">
        <f>100*AE13/data2018!BY12</f>
        <v>14152.248223474637</v>
      </c>
      <c r="AG13" s="20">
        <f>AE13/data2018!AN12</f>
        <v>0.18990653514180023</v>
      </c>
      <c r="AH13" s="20">
        <f>AE13/data2018!E12</f>
        <v>4.5501510555185122E-2</v>
      </c>
      <c r="AI13" s="20">
        <f>AE13/data2018!H12</f>
        <v>0.14151085163815372</v>
      </c>
      <c r="AJ13" s="30">
        <f>AF13/data2018!AK12</f>
        <v>1.1349036265817671</v>
      </c>
      <c r="AK13" s="30">
        <f>AF13/data2018!C12</f>
        <v>0.2774067608258704</v>
      </c>
      <c r="AL13" s="30">
        <f>AF13/data2018!H12</f>
        <v>0.86688833397545761</v>
      </c>
      <c r="AM13" s="8">
        <v>10.552555632316155</v>
      </c>
      <c r="AN13" s="30">
        <f>AM13/data2018!BY12</f>
        <v>0.64644423133522133</v>
      </c>
    </row>
    <row r="14" spans="1:40" x14ac:dyDescent="0.25">
      <c r="A14" s="5">
        <v>1971</v>
      </c>
      <c r="B14" s="28">
        <v>2600.4499999999998</v>
      </c>
      <c r="C14" s="28">
        <v>0</v>
      </c>
      <c r="D14" s="28">
        <v>32.024000000000001</v>
      </c>
      <c r="E14" s="28">
        <v>176.54</v>
      </c>
      <c r="F14" s="28">
        <f t="shared" si="0"/>
        <v>2632.4739999999997</v>
      </c>
      <c r="G14" s="28">
        <f t="shared" si="1"/>
        <v>2809.0139999999997</v>
      </c>
      <c r="H14" s="30">
        <v>0.17737971029859628</v>
      </c>
      <c r="I14" s="30"/>
      <c r="J14" s="30">
        <v>0.11405053615735675</v>
      </c>
      <c r="K14" s="30">
        <v>0.16116232255892696</v>
      </c>
      <c r="L14" s="28">
        <f t="shared" si="7"/>
        <v>14660.357690417193</v>
      </c>
      <c r="M14" s="28"/>
      <c r="N14" s="28">
        <f t="shared" si="8"/>
        <v>280.78780757169039</v>
      </c>
      <c r="O14" s="28">
        <f t="shared" si="9"/>
        <v>17429.719027367079</v>
      </c>
      <c r="P14" s="28">
        <f t="shared" si="2"/>
        <v>23929.018165567857</v>
      </c>
      <c r="Q14" s="28">
        <f t="shared" si="3"/>
        <v>14941.145497988884</v>
      </c>
      <c r="R14" s="5">
        <v>14010</v>
      </c>
      <c r="S14" s="18">
        <f t="shared" si="4"/>
        <v>-931.14549798888402</v>
      </c>
      <c r="T14" s="32">
        <v>11.023999999999999</v>
      </c>
      <c r="U14" s="32" t="s">
        <v>693</v>
      </c>
      <c r="V14" s="32">
        <v>9.1479999999999997</v>
      </c>
      <c r="W14" s="32">
        <v>11.226000000000001</v>
      </c>
      <c r="X14" s="158">
        <v>11.138999999999999</v>
      </c>
      <c r="Y14" s="16">
        <v>17.247</v>
      </c>
      <c r="Z14" s="30">
        <f t="shared" si="10"/>
        <v>0.63918362613787905</v>
      </c>
      <c r="AA14" s="30"/>
      <c r="AB14" s="30">
        <f t="shared" si="5"/>
        <v>0.53041108598596853</v>
      </c>
      <c r="AC14" s="30">
        <f t="shared" si="11"/>
        <v>0.65089580796660296</v>
      </c>
      <c r="AD14" s="30">
        <f t="shared" si="6"/>
        <v>0.64585145242650888</v>
      </c>
      <c r="AE14" s="28">
        <f t="shared" si="12"/>
        <v>2632.4739999999997</v>
      </c>
      <c r="AF14" s="18">
        <f>100*AE14/data2018!BY13</f>
        <v>15263.373340291064</v>
      </c>
      <c r="AG14" s="20">
        <f>AE14/data2018!AN13</f>
        <v>0.20566203124999999</v>
      </c>
      <c r="AH14" s="20">
        <f>AE14/data2018!E13</f>
        <v>5.1364250403749916E-2</v>
      </c>
      <c r="AI14" s="20">
        <f>AE14/data2018!H13</f>
        <v>0.15831595918422267</v>
      </c>
      <c r="AJ14" s="30">
        <f>AF14/data2018!AK13</f>
        <v>1.1624808332285654</v>
      </c>
      <c r="AK14" s="30">
        <f>AF14/data2018!C13</f>
        <v>0.29645704218179791</v>
      </c>
      <c r="AL14" s="30">
        <f>AF14/data2018!H13</f>
        <v>0.9179333170071472</v>
      </c>
      <c r="AM14" s="8">
        <v>11.001178492930984</v>
      </c>
      <c r="AN14" s="30">
        <f>AM14/data2018!BY13</f>
        <v>0.63786041009630567</v>
      </c>
    </row>
    <row r="15" spans="1:40" x14ac:dyDescent="0.25">
      <c r="A15" s="5">
        <v>1972</v>
      </c>
      <c r="B15" s="28">
        <v>2889.94</v>
      </c>
      <c r="C15" s="28">
        <v>0</v>
      </c>
      <c r="D15" s="28">
        <v>32.277000000000001</v>
      </c>
      <c r="E15" s="28">
        <v>190.19</v>
      </c>
      <c r="F15" s="28">
        <f t="shared" si="0"/>
        <v>2922.2170000000001</v>
      </c>
      <c r="G15" s="28">
        <f t="shared" si="1"/>
        <v>3112.4070000000002</v>
      </c>
      <c r="H15" s="30">
        <v>0.17966342917709685</v>
      </c>
      <c r="I15" s="30"/>
      <c r="J15" s="30">
        <v>0.11826058334060177</v>
      </c>
      <c r="K15" s="30">
        <v>0.16361951742167308</v>
      </c>
      <c r="L15" s="28">
        <f t="shared" si="7"/>
        <v>16085.299124238269</v>
      </c>
      <c r="M15" s="28"/>
      <c r="N15" s="28">
        <f t="shared" si="8"/>
        <v>272.93117527620473</v>
      </c>
      <c r="O15" s="28">
        <f t="shared" si="9"/>
        <v>19022.223320576362</v>
      </c>
      <c r="P15" s="28">
        <f t="shared" si="2"/>
        <v>26555.773477582967</v>
      </c>
      <c r="Q15" s="28">
        <f t="shared" si="3"/>
        <v>16358.230299514473</v>
      </c>
      <c r="R15" s="5">
        <v>15613</v>
      </c>
      <c r="S15" s="18">
        <f t="shared" si="4"/>
        <v>-745.23029951447279</v>
      </c>
      <c r="T15" s="32">
        <v>11.023999999999999</v>
      </c>
      <c r="U15" s="32" t="s">
        <v>693</v>
      </c>
      <c r="V15" s="32">
        <v>9.2200000000000006</v>
      </c>
      <c r="W15" s="32">
        <v>11.597</v>
      </c>
      <c r="X15" s="158">
        <v>11.162000000000001</v>
      </c>
      <c r="Y15" s="16">
        <v>18.257999999999999</v>
      </c>
      <c r="Z15" s="30">
        <f t="shared" si="10"/>
        <v>0.60379011939971516</v>
      </c>
      <c r="AA15" s="30"/>
      <c r="AB15" s="30">
        <f t="shared" si="5"/>
        <v>0.50498411655164865</v>
      </c>
      <c r="AC15" s="30">
        <f t="shared" si="11"/>
        <v>0.63517362252163434</v>
      </c>
      <c r="AD15" s="30">
        <f t="shared" si="6"/>
        <v>0.61134844999452298</v>
      </c>
      <c r="AE15" s="28">
        <f t="shared" si="12"/>
        <v>2922.2170000000001</v>
      </c>
      <c r="AF15" s="18">
        <f>100*AE15/data2018!BY14</f>
        <v>16005.131996932852</v>
      </c>
      <c r="AG15" s="20">
        <f>AE15/data2018!AN14</f>
        <v>0.21606040665434381</v>
      </c>
      <c r="AH15" s="20">
        <f>AE15/data2018!E14</f>
        <v>5.6521574386897193E-2</v>
      </c>
      <c r="AI15" s="20">
        <f>AE15/data2018!H14</f>
        <v>0.17263514914257039</v>
      </c>
      <c r="AJ15" s="30">
        <f>AF15/data2018!AK14</f>
        <v>1.1497939652969003</v>
      </c>
      <c r="AK15" s="30">
        <f>AF15/data2018!C14</f>
        <v>0.30828975941390513</v>
      </c>
      <c r="AL15" s="30">
        <f>AF15/data2018!H14</f>
        <v>0.94553154311847076</v>
      </c>
      <c r="AM15" s="8">
        <v>11.004074132756054</v>
      </c>
      <c r="AN15" s="30">
        <f>AM15/data2018!BY14</f>
        <v>0.60269876945755585</v>
      </c>
    </row>
    <row r="16" spans="1:40" x14ac:dyDescent="0.25">
      <c r="A16" s="5">
        <v>1973</v>
      </c>
      <c r="B16" s="28">
        <v>3277.74</v>
      </c>
      <c r="C16" s="28">
        <v>0</v>
      </c>
      <c r="D16" s="28">
        <v>34.685000000000002</v>
      </c>
      <c r="E16" s="28">
        <v>210.22</v>
      </c>
      <c r="F16" s="28">
        <f t="shared" si="0"/>
        <v>3312.4249999999997</v>
      </c>
      <c r="G16" s="28">
        <f t="shared" si="1"/>
        <v>3522.645</v>
      </c>
      <c r="H16" s="30">
        <v>0.18789354497386854</v>
      </c>
      <c r="I16" s="30"/>
      <c r="J16" s="30">
        <v>0.12238162539813914</v>
      </c>
      <c r="K16" s="30">
        <v>0.17015063565207297</v>
      </c>
      <c r="L16" s="28">
        <f t="shared" si="7"/>
        <v>17444.665278181081</v>
      </c>
      <c r="M16" s="28"/>
      <c r="N16" s="28">
        <f t="shared" si="8"/>
        <v>283.4167293264876</v>
      </c>
      <c r="O16" s="28">
        <f t="shared" si="9"/>
        <v>20703.096326969749</v>
      </c>
      <c r="P16" s="28">
        <f t="shared" si="2"/>
        <v>28998.785475784985</v>
      </c>
      <c r="Q16" s="28">
        <f t="shared" si="3"/>
        <v>17728.082007507568</v>
      </c>
      <c r="R16" s="5">
        <v>17204</v>
      </c>
      <c r="S16" s="18">
        <f t="shared" si="4"/>
        <v>-524.08200750756805</v>
      </c>
      <c r="T16" s="32">
        <v>11.443</v>
      </c>
      <c r="U16" s="32" t="s">
        <v>693</v>
      </c>
      <c r="V16" s="32">
        <v>9.4979999999999993</v>
      </c>
      <c r="W16" s="32">
        <v>12.061</v>
      </c>
      <c r="X16" s="158">
        <v>11.586</v>
      </c>
      <c r="Y16" s="16">
        <v>19.585999999999999</v>
      </c>
      <c r="Z16" s="30">
        <f t="shared" si="10"/>
        <v>0.58424384764627801</v>
      </c>
      <c r="AA16" s="30"/>
      <c r="AB16" s="30">
        <f t="shared" si="5"/>
        <v>0.48493822117839275</v>
      </c>
      <c r="AC16" s="30">
        <f t="shared" si="11"/>
        <v>0.61579699785561115</v>
      </c>
      <c r="AD16" s="30">
        <f t="shared" si="6"/>
        <v>0.59154498110895548</v>
      </c>
      <c r="AE16" s="28">
        <f t="shared" si="12"/>
        <v>3312.4249999999997</v>
      </c>
      <c r="AF16" s="18">
        <f>100*AE16/data2018!BY15</f>
        <v>16912.207699377108</v>
      </c>
      <c r="AG16" s="20">
        <f>AE16/data2018!AN15</f>
        <v>0.23212508759635597</v>
      </c>
      <c r="AH16" s="20">
        <f>AE16/data2018!E15</f>
        <v>6.3555892336394165E-2</v>
      </c>
      <c r="AI16" s="20">
        <f>AE16/data2018!H15</f>
        <v>0.19229464206263741</v>
      </c>
      <c r="AJ16" s="30">
        <f>AF16/data2018!AK15</f>
        <v>1.1567857523513754</v>
      </c>
      <c r="AK16" s="30">
        <f>AF16/data2018!C15</f>
        <v>0.32324108084085434</v>
      </c>
      <c r="AL16" s="30">
        <f>AF16/data2018!H15</f>
        <v>0.98179639570426558</v>
      </c>
      <c r="AM16" s="8">
        <v>11.422633553967259</v>
      </c>
      <c r="AN16" s="30">
        <f>AM16/data2018!BY15</f>
        <v>0.5832040005088972</v>
      </c>
    </row>
    <row r="17" spans="1:40" x14ac:dyDescent="0.25">
      <c r="A17" s="5">
        <v>1974</v>
      </c>
      <c r="B17" s="28">
        <v>4374.42</v>
      </c>
      <c r="C17" s="28">
        <v>0</v>
      </c>
      <c r="D17" s="28">
        <v>52.154000000000003</v>
      </c>
      <c r="E17" s="28">
        <v>201.08</v>
      </c>
      <c r="F17" s="28">
        <f t="shared" si="0"/>
        <v>4426.5740000000005</v>
      </c>
      <c r="G17" s="28">
        <f t="shared" si="1"/>
        <v>4627.6540000000005</v>
      </c>
      <c r="H17" s="30">
        <v>0.26582479064589115</v>
      </c>
      <c r="I17" s="30"/>
      <c r="J17" s="30">
        <v>0.16485471984419509</v>
      </c>
      <c r="K17" s="30">
        <v>0.23706757376910736</v>
      </c>
      <c r="L17" s="28">
        <f t="shared" si="7"/>
        <v>16456.027255287958</v>
      </c>
      <c r="M17" s="28"/>
      <c r="N17" s="28">
        <f t="shared" si="8"/>
        <v>316.36340196562753</v>
      </c>
      <c r="O17" s="28">
        <f t="shared" si="9"/>
        <v>19520.400561011003</v>
      </c>
      <c r="P17" s="28">
        <f t="shared" si="2"/>
        <v>27487.120084810453</v>
      </c>
      <c r="Q17" s="28">
        <f t="shared" si="3"/>
        <v>16772.390657253585</v>
      </c>
      <c r="R17" s="5">
        <v>16553</v>
      </c>
      <c r="S17" s="18">
        <f t="shared" si="4"/>
        <v>-219.39065725358523</v>
      </c>
      <c r="T17" s="32">
        <v>16.145</v>
      </c>
      <c r="U17" s="32" t="s">
        <v>693</v>
      </c>
      <c r="V17" s="32">
        <v>12.68</v>
      </c>
      <c r="W17" s="32">
        <v>13.218</v>
      </c>
      <c r="X17" s="158">
        <v>16.135999999999999</v>
      </c>
      <c r="Y17" s="16">
        <v>22.402999999999999</v>
      </c>
      <c r="Z17" s="30">
        <f t="shared" si="10"/>
        <v>0.72066241128420305</v>
      </c>
      <c r="AA17" s="30"/>
      <c r="AB17" s="30">
        <f t="shared" si="5"/>
        <v>0.56599562558585903</v>
      </c>
      <c r="AC17" s="30">
        <f t="shared" si="11"/>
        <v>0.59001026648216759</v>
      </c>
      <c r="AD17" s="30">
        <f t="shared" si="6"/>
        <v>0.72026067937329818</v>
      </c>
      <c r="AE17" s="28">
        <f t="shared" si="12"/>
        <v>4426.5740000000005</v>
      </c>
      <c r="AF17" s="18">
        <f>100*AE17/data2018!BY16</f>
        <v>19758.844797571757</v>
      </c>
      <c r="AG17" s="20">
        <f>AE17/data2018!AN16</f>
        <v>0.29708550335570472</v>
      </c>
      <c r="AH17" s="20">
        <f>AE17/data2018!E16</f>
        <v>8.4379401686368455E-2</v>
      </c>
      <c r="AI17" s="20">
        <f>AE17/data2018!H16</f>
        <v>0.25283861317986134</v>
      </c>
      <c r="AJ17" s="30">
        <f>AF17/data2018!AK16</f>
        <v>1.3016366796819339</v>
      </c>
      <c r="AK17" s="30">
        <f>AF17/data2018!C16</f>
        <v>0.37564343721619309</v>
      </c>
      <c r="AL17" s="30">
        <f>AF17/data2018!H16</f>
        <v>1.1285926580362511</v>
      </c>
      <c r="AM17" s="8">
        <v>16.104175287705573</v>
      </c>
      <c r="AN17" s="30">
        <f>AM17/data2018!BY16</f>
        <v>0.71884012354173876</v>
      </c>
    </row>
    <row r="18" spans="1:40" x14ac:dyDescent="0.25">
      <c r="A18" s="5">
        <v>1975</v>
      </c>
      <c r="B18" s="28">
        <v>4818.53</v>
      </c>
      <c r="C18" s="28">
        <v>0</v>
      </c>
      <c r="D18" s="28">
        <v>65.188000000000002</v>
      </c>
      <c r="E18" s="28">
        <v>225.25</v>
      </c>
      <c r="F18" s="28">
        <f t="shared" si="0"/>
        <v>4883.7179999999998</v>
      </c>
      <c r="G18" s="28">
        <f t="shared" si="1"/>
        <v>5108.9679999999998</v>
      </c>
      <c r="H18" s="30">
        <v>0.27546139599785635</v>
      </c>
      <c r="I18" s="30"/>
      <c r="J18" s="30">
        <v>0.17583481121778924</v>
      </c>
      <c r="K18" s="30">
        <v>0.24761130002896511</v>
      </c>
      <c r="L18" s="28">
        <f t="shared" si="7"/>
        <v>17492.578161614696</v>
      </c>
      <c r="M18" s="28"/>
      <c r="N18" s="28">
        <f t="shared" si="8"/>
        <v>370.73432472514247</v>
      </c>
      <c r="O18" s="28">
        <f t="shared" si="9"/>
        <v>20633.016342155475</v>
      </c>
      <c r="P18" s="28">
        <f t="shared" si="2"/>
        <v>29133.209511364064</v>
      </c>
      <c r="Q18" s="28">
        <f t="shared" si="3"/>
        <v>17863.312486339837</v>
      </c>
      <c r="R18" s="5">
        <v>17400</v>
      </c>
      <c r="S18" s="18">
        <f t="shared" si="4"/>
        <v>-463.31248633983705</v>
      </c>
      <c r="T18" s="32">
        <v>16.806999999999999</v>
      </c>
      <c r="U18" s="32" t="s">
        <v>693</v>
      </c>
      <c r="V18" s="32">
        <v>13.541</v>
      </c>
      <c r="W18" s="32">
        <v>14.606999999999999</v>
      </c>
      <c r="X18" s="158">
        <v>16.846</v>
      </c>
      <c r="Y18" s="16">
        <v>25.015000000000001</v>
      </c>
      <c r="Z18" s="30">
        <f t="shared" si="10"/>
        <v>0.67187687387567452</v>
      </c>
      <c r="AA18" s="30"/>
      <c r="AB18" s="30">
        <f t="shared" si="5"/>
        <v>0.54131521087347589</v>
      </c>
      <c r="AC18" s="30">
        <f t="shared" si="11"/>
        <v>0.58392964221467114</v>
      </c>
      <c r="AD18" s="30">
        <f t="shared" si="6"/>
        <v>0.67343593843693783</v>
      </c>
      <c r="AE18" s="28">
        <f t="shared" si="12"/>
        <v>4883.7179999999998</v>
      </c>
      <c r="AF18" s="18">
        <f>100*AE18/data2018!BY17</f>
        <v>19523.158105136918</v>
      </c>
      <c r="AG18" s="20">
        <f>AE18/data2018!AN17</f>
        <v>0.31815752442996742</v>
      </c>
      <c r="AH18" s="20">
        <f>AE18/data2018!E17</f>
        <v>9.2671632070706833E-2</v>
      </c>
      <c r="AI18" s="20">
        <f>AE18/data2018!H17</f>
        <v>0.27469359201995791</v>
      </c>
      <c r="AJ18" s="30">
        <f>AF18/data2018!AK17</f>
        <v>1.2579354449186158</v>
      </c>
      <c r="AK18" s="30">
        <f>AF18/data2018!C17</f>
        <v>0.36976842159571227</v>
      </c>
      <c r="AL18" s="30">
        <f>AF18/data2018!H17</f>
        <v>1.0981154987805632</v>
      </c>
      <c r="AM18" s="8">
        <v>16.763405343633682</v>
      </c>
      <c r="AN18" s="30">
        <f>AM18/data2018!BY17</f>
        <v>0.67013413326538807</v>
      </c>
    </row>
    <row r="19" spans="1:40" x14ac:dyDescent="0.25">
      <c r="A19" s="5">
        <v>1976</v>
      </c>
      <c r="B19" s="28">
        <v>5524.76</v>
      </c>
      <c r="C19" s="28">
        <v>0</v>
      </c>
      <c r="D19" s="28">
        <v>86.457999999999998</v>
      </c>
      <c r="E19" s="28">
        <v>263.31</v>
      </c>
      <c r="F19" s="28">
        <f t="shared" si="0"/>
        <v>5611.2179999999998</v>
      </c>
      <c r="G19" s="28">
        <f t="shared" si="1"/>
        <v>5874.5280000000002</v>
      </c>
      <c r="H19" s="30">
        <v>0.29853029420313659</v>
      </c>
      <c r="I19" s="30"/>
      <c r="J19" s="30">
        <v>0.19360307716007871</v>
      </c>
      <c r="K19" s="30">
        <v>0.26835160506090899</v>
      </c>
      <c r="L19" s="28">
        <f t="shared" si="7"/>
        <v>18506.530517270206</v>
      </c>
      <c r="M19" s="28"/>
      <c r="N19" s="28">
        <f t="shared" si="8"/>
        <v>446.57348048509112</v>
      </c>
      <c r="O19" s="28">
        <f t="shared" si="9"/>
        <v>21891.160288259249</v>
      </c>
      <c r="P19" s="28">
        <f t="shared" si="2"/>
        <v>30913.653454077506</v>
      </c>
      <c r="Q19" s="28">
        <f t="shared" si="3"/>
        <v>18953.103997755297</v>
      </c>
      <c r="R19" s="5">
        <v>18492</v>
      </c>
      <c r="S19" s="18">
        <f t="shared" si="4"/>
        <v>-461.10399775529731</v>
      </c>
      <c r="T19" s="32">
        <v>18.202000000000002</v>
      </c>
      <c r="U19" s="32" t="s">
        <v>693</v>
      </c>
      <c r="V19" s="32">
        <v>14.909000000000001</v>
      </c>
      <c r="W19" s="32">
        <v>15.776</v>
      </c>
      <c r="X19" s="158">
        <v>18.247</v>
      </c>
      <c r="Y19" s="16">
        <v>27.425999999999998</v>
      </c>
      <c r="Z19" s="30">
        <f t="shared" si="10"/>
        <v>0.66367680303361787</v>
      </c>
      <c r="AA19" s="30"/>
      <c r="AB19" s="30">
        <f t="shared" ref="AB19:AB48" si="13">V19/$Y19</f>
        <v>0.54360825494056741</v>
      </c>
      <c r="AC19" s="30">
        <f t="shared" si="11"/>
        <v>0.57522059359731648</v>
      </c>
      <c r="AD19" s="30">
        <f t="shared" si="6"/>
        <v>0.66531758185663248</v>
      </c>
      <c r="AE19" s="28">
        <f t="shared" si="12"/>
        <v>5611.2179999999998</v>
      </c>
      <c r="AF19" s="18">
        <f>100*AE19/data2018!BY18</f>
        <v>20459.483701597022</v>
      </c>
      <c r="AG19" s="20">
        <f>AE19/data2018!AN18</f>
        <v>0.35346255118110237</v>
      </c>
      <c r="AH19" s="20">
        <f>AE19/data2018!E18</f>
        <v>0.10605478914737068</v>
      </c>
      <c r="AI19" s="20">
        <f>AE19/data2018!H18</f>
        <v>0.31079263724180473</v>
      </c>
      <c r="AJ19" s="30">
        <f>AF19/data2018!AK18</f>
        <v>1.2605966544422071</v>
      </c>
      <c r="AK19" s="30">
        <f>AF19/data2018!C18</f>
        <v>0.3858896201767088</v>
      </c>
      <c r="AL19" s="30">
        <f>AF19/data2018!H18</f>
        <v>1.1332043945227328</v>
      </c>
      <c r="AM19" s="8">
        <v>18.151261248805518</v>
      </c>
      <c r="AN19" s="30">
        <f>AM19/data2018!BY18</f>
        <v>0.66182677928992628</v>
      </c>
    </row>
    <row r="20" spans="1:40" x14ac:dyDescent="0.25">
      <c r="A20" s="5">
        <v>1977</v>
      </c>
      <c r="B20" s="28">
        <v>6357.91</v>
      </c>
      <c r="C20" s="28">
        <v>0</v>
      </c>
      <c r="D20" s="28">
        <v>118.319</v>
      </c>
      <c r="E20" s="28">
        <v>286.77999999999997</v>
      </c>
      <c r="F20" s="28">
        <f t="shared" si="0"/>
        <v>6476.2290000000003</v>
      </c>
      <c r="G20" s="28">
        <f t="shared" si="1"/>
        <v>6763.009</v>
      </c>
      <c r="H20" s="30">
        <v>0.35206565307792442</v>
      </c>
      <c r="I20" s="30"/>
      <c r="J20" s="30">
        <v>0.21489590720380758</v>
      </c>
      <c r="K20" s="30">
        <v>0.31139680743404929</v>
      </c>
      <c r="L20" s="28">
        <f t="shared" si="7"/>
        <v>18058.876077277473</v>
      </c>
      <c r="M20" s="28"/>
      <c r="N20" s="28">
        <f t="shared" si="8"/>
        <v>550.58749856871907</v>
      </c>
      <c r="O20" s="28">
        <f t="shared" si="9"/>
        <v>21718.299091529181</v>
      </c>
      <c r="P20" s="28">
        <f t="shared" si="2"/>
        <v>30460.887157098248</v>
      </c>
      <c r="Q20" s="28">
        <f t="shared" si="3"/>
        <v>18609.463575846192</v>
      </c>
      <c r="R20" s="5">
        <v>19088</v>
      </c>
      <c r="S20" s="18">
        <f t="shared" si="4"/>
        <v>478.53642415380818</v>
      </c>
      <c r="T20" s="32">
        <v>21.350999999999999</v>
      </c>
      <c r="U20" s="32" t="s">
        <v>693</v>
      </c>
      <c r="V20" s="32">
        <v>16.414000000000001</v>
      </c>
      <c r="W20" s="32">
        <v>18.221</v>
      </c>
      <c r="X20" s="158">
        <v>21.364999999999998</v>
      </c>
      <c r="Y20" s="16">
        <v>29.984999999999999</v>
      </c>
      <c r="Z20" s="30">
        <f t="shared" si="10"/>
        <v>0.71205602801400703</v>
      </c>
      <c r="AA20" s="30"/>
      <c r="AB20" s="30">
        <f t="shared" si="13"/>
        <v>0.54740703685175929</v>
      </c>
      <c r="AC20" s="30">
        <f t="shared" si="11"/>
        <v>0.60767050191762551</v>
      </c>
      <c r="AD20" s="30">
        <f t="shared" si="6"/>
        <v>0.71252292813073204</v>
      </c>
      <c r="AE20" s="28">
        <f t="shared" si="12"/>
        <v>6476.2290000000003</v>
      </c>
      <c r="AF20" s="18">
        <f>100*AE20/data2018!BY19</f>
        <v>21598.229114557278</v>
      </c>
      <c r="AG20" s="20">
        <f>AE20/data2018!AN19</f>
        <v>0.38989939795304035</v>
      </c>
      <c r="AH20" s="20">
        <f>AE20/data2018!E19</f>
        <v>0.12185895586166341</v>
      </c>
      <c r="AI20" s="20">
        <f>AE20/data2018!H19</f>
        <v>0.35329780402352229</v>
      </c>
      <c r="AJ20" s="30">
        <f>AF20/data2018!AK19</f>
        <v>1.2712318490027827</v>
      </c>
      <c r="AK20" s="30">
        <f>AF20/data2018!C19</f>
        <v>0.40543634693519764</v>
      </c>
      <c r="AL20" s="30">
        <f>AF20/data2018!H19</f>
        <v>1.1782484709805645</v>
      </c>
      <c r="AM20" s="8">
        <v>21.260802308874499</v>
      </c>
      <c r="AN20" s="30">
        <f>AM20/data2018!BY19</f>
        <v>0.7090479342629481</v>
      </c>
    </row>
    <row r="21" spans="1:40" x14ac:dyDescent="0.25">
      <c r="A21" s="5">
        <v>1978</v>
      </c>
      <c r="B21" s="28">
        <v>7322</v>
      </c>
      <c r="C21" s="28">
        <v>0</v>
      </c>
      <c r="D21" s="28">
        <v>164.48</v>
      </c>
      <c r="E21" s="28">
        <v>324.04000000000002</v>
      </c>
      <c r="F21" s="28">
        <f t="shared" si="0"/>
        <v>7486.48</v>
      </c>
      <c r="G21" s="28">
        <f t="shared" si="1"/>
        <v>7810.52</v>
      </c>
      <c r="H21" s="30">
        <v>0.3835574449141072</v>
      </c>
      <c r="I21" s="30"/>
      <c r="J21" s="30">
        <v>0.23362651029293041</v>
      </c>
      <c r="K21" s="30">
        <v>0.33791548325670634</v>
      </c>
      <c r="L21" s="28">
        <f t="shared" si="7"/>
        <v>19089.708978637263</v>
      </c>
      <c r="M21" s="28"/>
      <c r="N21" s="28">
        <f t="shared" si="8"/>
        <v>704.02969163802641</v>
      </c>
      <c r="O21" s="28">
        <f t="shared" si="9"/>
        <v>23113.826938987979</v>
      </c>
      <c r="P21" s="28">
        <f t="shared" si="2"/>
        <v>31963.395415760442</v>
      </c>
      <c r="Q21" s="28">
        <f t="shared" si="3"/>
        <v>19793.738670275288</v>
      </c>
      <c r="R21" s="5">
        <v>20193</v>
      </c>
      <c r="S21" s="18">
        <f t="shared" si="4"/>
        <v>399.26132972471169</v>
      </c>
      <c r="T21" s="32">
        <v>23.542000000000002</v>
      </c>
      <c r="U21" s="32" t="s">
        <v>693</v>
      </c>
      <c r="V21" s="32">
        <v>18.082000000000001</v>
      </c>
      <c r="W21" s="32">
        <v>20.236999999999998</v>
      </c>
      <c r="X21" s="158">
        <v>23.564</v>
      </c>
      <c r="Y21" s="16">
        <v>32.594999999999999</v>
      </c>
      <c r="Z21" s="30">
        <f t="shared" si="10"/>
        <v>0.72225801503298059</v>
      </c>
      <c r="AA21" s="30"/>
      <c r="AB21" s="30">
        <f t="shared" si="13"/>
        <v>0.55474766068415404</v>
      </c>
      <c r="AC21" s="30">
        <f t="shared" si="11"/>
        <v>0.62086209541340698</v>
      </c>
      <c r="AD21" s="30">
        <f t="shared" si="6"/>
        <v>0.72293296517870842</v>
      </c>
      <c r="AE21" s="28">
        <f t="shared" si="12"/>
        <v>7486.48</v>
      </c>
      <c r="AF21" s="18">
        <f>100*AE21/data2018!BY20</f>
        <v>22968.185304494556</v>
      </c>
      <c r="AG21" s="20">
        <f>AE21/data2018!AN20</f>
        <v>0.4313730913281475</v>
      </c>
      <c r="AH21" s="20">
        <f>AE21/data2018!E20</f>
        <v>0.14025845300180353</v>
      </c>
      <c r="AI21" s="20">
        <f>AE21/data2018!H20</f>
        <v>0.40237878319317244</v>
      </c>
      <c r="AJ21" s="30">
        <f>AF21/data2018!AK20</f>
        <v>1.2961729855809569</v>
      </c>
      <c r="AK21" s="30">
        <f>AF21/data2018!C20</f>
        <v>0.42946380871031808</v>
      </c>
      <c r="AL21" s="30">
        <f>AF21/data2018!H20</f>
        <v>1.2344800834274352</v>
      </c>
      <c r="AM21" s="8">
        <v>23.422042316282152</v>
      </c>
      <c r="AN21" s="30">
        <f>AM21/data2018!BY20</f>
        <v>0.7185777670281378</v>
      </c>
    </row>
    <row r="22" spans="1:40" x14ac:dyDescent="0.25">
      <c r="A22" s="5">
        <v>1979</v>
      </c>
      <c r="B22" s="28">
        <v>8425.02</v>
      </c>
      <c r="C22" s="28">
        <v>0</v>
      </c>
      <c r="D22" s="28">
        <v>241.833</v>
      </c>
      <c r="E22" s="28">
        <v>379.69</v>
      </c>
      <c r="F22" s="28">
        <f t="shared" si="0"/>
        <v>8666.853000000001</v>
      </c>
      <c r="G22" s="28">
        <f t="shared" si="1"/>
        <v>9046.5429999999997</v>
      </c>
      <c r="H22" s="30">
        <v>0.43910179216904394</v>
      </c>
      <c r="I22" s="30"/>
      <c r="J22" s="30">
        <v>0.28928922799944973</v>
      </c>
      <c r="K22" s="30">
        <v>0.39168290799374178</v>
      </c>
      <c r="L22" s="28">
        <f t="shared" si="7"/>
        <v>19186.940591571452</v>
      </c>
      <c r="M22" s="28"/>
      <c r="N22" s="28">
        <f t="shared" si="8"/>
        <v>835.95577226421995</v>
      </c>
      <c r="O22" s="28">
        <f t="shared" si="9"/>
        <v>23096.598844043874</v>
      </c>
      <c r="P22" s="28">
        <f t="shared" si="2"/>
        <v>32192.429267284238</v>
      </c>
      <c r="Q22" s="28">
        <f t="shared" si="3"/>
        <v>20022.896363835673</v>
      </c>
      <c r="R22" s="5">
        <v>20486</v>
      </c>
      <c r="S22" s="18">
        <f t="shared" si="4"/>
        <v>463.10363616432733</v>
      </c>
      <c r="T22" s="32">
        <v>27.053000000000001</v>
      </c>
      <c r="U22" s="32" t="s">
        <v>693</v>
      </c>
      <c r="V22" s="32">
        <v>22.359000000000002</v>
      </c>
      <c r="W22" s="32">
        <v>23.803999999999998</v>
      </c>
      <c r="X22" s="158">
        <v>27.155000000000001</v>
      </c>
      <c r="Y22" s="16">
        <v>36.158000000000001</v>
      </c>
      <c r="Z22" s="30">
        <f t="shared" si="10"/>
        <v>0.74818850600143816</v>
      </c>
      <c r="AA22" s="30"/>
      <c r="AB22" s="30">
        <f t="shared" si="13"/>
        <v>0.61836937883732512</v>
      </c>
      <c r="AC22" s="30">
        <f t="shared" si="11"/>
        <v>0.65833287239338456</v>
      </c>
      <c r="AD22" s="30">
        <f t="shared" si="6"/>
        <v>0.75100945848774825</v>
      </c>
      <c r="AE22" s="28">
        <f t="shared" si="12"/>
        <v>8666.853000000001</v>
      </c>
      <c r="AF22" s="18">
        <f>100*AE22/data2018!BY21</f>
        <v>23969.392665523537</v>
      </c>
      <c r="AG22" s="20">
        <f>AE22/data2018!AN21</f>
        <v>0.47936133849557527</v>
      </c>
      <c r="AH22" s="20">
        <f>AE22/data2018!E21</f>
        <v>0.16167622681169708</v>
      </c>
      <c r="AI22" s="20">
        <f>AE22/data2018!H21</f>
        <v>0.4590659915359005</v>
      </c>
      <c r="AJ22" s="30">
        <f>AF22/data2018!AK21</f>
        <v>1.2998586044210161</v>
      </c>
      <c r="AK22" s="30">
        <f>AF22/data2018!C21</f>
        <v>0.4460966672147052</v>
      </c>
      <c r="AL22" s="30">
        <f>AF22/data2018!H21</f>
        <v>1.2696111276505904</v>
      </c>
      <c r="AM22" s="8">
        <v>26.922022342711941</v>
      </c>
      <c r="AN22" s="30">
        <f>AM22/data2018!BY21</f>
        <v>0.74456613592322418</v>
      </c>
    </row>
    <row r="23" spans="1:40" x14ac:dyDescent="0.25">
      <c r="A23" s="5">
        <v>1980</v>
      </c>
      <c r="B23" s="28">
        <v>9895.33</v>
      </c>
      <c r="C23" s="28">
        <v>0</v>
      </c>
      <c r="D23" s="28">
        <v>375.25799999999998</v>
      </c>
      <c r="E23" s="28">
        <v>464.52</v>
      </c>
      <c r="F23" s="28">
        <f t="shared" si="0"/>
        <v>10270.588</v>
      </c>
      <c r="G23" s="28">
        <f t="shared" si="1"/>
        <v>10735.108</v>
      </c>
      <c r="H23" s="30">
        <v>0.51742823845117258</v>
      </c>
      <c r="I23" s="30"/>
      <c r="J23" s="30">
        <v>0.36650476536918269</v>
      </c>
      <c r="K23" s="30">
        <v>0.46880382409057214</v>
      </c>
      <c r="L23" s="28">
        <f t="shared" si="7"/>
        <v>19124.062555263456</v>
      </c>
      <c r="M23" s="28"/>
      <c r="N23" s="28">
        <f t="shared" si="8"/>
        <v>1023.8830036002399</v>
      </c>
      <c r="O23" s="28">
        <f t="shared" si="9"/>
        <v>22898.934369455987</v>
      </c>
      <c r="P23" s="28">
        <f t="shared" si="2"/>
        <v>32805.593078929895</v>
      </c>
      <c r="Q23" s="28">
        <f t="shared" si="3"/>
        <v>20147.945558863696</v>
      </c>
      <c r="R23" s="5">
        <v>20796</v>
      </c>
      <c r="S23" s="18">
        <f t="shared" si="4"/>
        <v>648.05444113630438</v>
      </c>
      <c r="T23" s="32">
        <v>31.439</v>
      </c>
      <c r="U23" s="32" t="s">
        <v>693</v>
      </c>
      <c r="V23" s="32">
        <v>27.838000000000001</v>
      </c>
      <c r="W23" s="32">
        <v>29.495999999999999</v>
      </c>
      <c r="X23" s="158">
        <v>31.716999999999999</v>
      </c>
      <c r="Y23" s="16">
        <v>40.881999999999998</v>
      </c>
      <c r="Z23" s="30">
        <f t="shared" si="10"/>
        <v>0.76901814979697669</v>
      </c>
      <c r="AA23" s="30"/>
      <c r="AB23" s="30">
        <f t="shared" si="13"/>
        <v>0.68093537498165457</v>
      </c>
      <c r="AC23" s="30">
        <f t="shared" si="11"/>
        <v>0.72149112078665423</v>
      </c>
      <c r="AD23" s="30">
        <f t="shared" si="6"/>
        <v>0.77581820850251948</v>
      </c>
      <c r="AE23" s="28">
        <f t="shared" si="12"/>
        <v>10270.588</v>
      </c>
      <c r="AF23" s="18">
        <f>100*AE23/data2018!BY22</f>
        <v>25122.518467785332</v>
      </c>
      <c r="AG23" s="20">
        <f>AE23/data2018!AN22</f>
        <v>0.54674410433856802</v>
      </c>
      <c r="AH23" s="20">
        <f>AE23/data2018!E22</f>
        <v>0.19061964327641112</v>
      </c>
      <c r="AI23" s="20">
        <f>AE23/data2018!H22</f>
        <v>0.53642159822414914</v>
      </c>
      <c r="AJ23" s="30">
        <f>AF23/data2018!AK22</f>
        <v>1.3132524029161177</v>
      </c>
      <c r="AK23" s="30">
        <f>AF23/data2018!C22</f>
        <v>0.46498529516268194</v>
      </c>
      <c r="AL23" s="30">
        <f>AF23/data2018!H22</f>
        <v>1.3121217118148554</v>
      </c>
      <c r="AM23" s="8">
        <v>31.30742972787926</v>
      </c>
      <c r="AN23" s="30">
        <f>AM23/data2018!BY22</f>
        <v>0.76579985636415193</v>
      </c>
    </row>
    <row r="24" spans="1:40" x14ac:dyDescent="0.25">
      <c r="A24" s="5">
        <v>1981</v>
      </c>
      <c r="B24" s="28">
        <v>11606.72</v>
      </c>
      <c r="C24" s="28">
        <v>0</v>
      </c>
      <c r="D24" s="28">
        <v>549.65</v>
      </c>
      <c r="E24" s="28">
        <v>541.13</v>
      </c>
      <c r="F24" s="28">
        <f t="shared" si="0"/>
        <v>12156.369999999999</v>
      </c>
      <c r="G24" s="28">
        <f t="shared" si="1"/>
        <v>12697.5</v>
      </c>
      <c r="H24" s="30">
        <v>0.56100005604039394</v>
      </c>
      <c r="I24" s="30"/>
      <c r="J24" s="30">
        <v>0.41071421759685484</v>
      </c>
      <c r="K24" s="30">
        <v>0.51241685360523292</v>
      </c>
      <c r="L24" s="28">
        <f t="shared" si="7"/>
        <v>20689.338396722505</v>
      </c>
      <c r="M24" s="28"/>
      <c r="N24" s="28">
        <f t="shared" si="8"/>
        <v>1338.2784828245719</v>
      </c>
      <c r="O24" s="28">
        <f t="shared" si="9"/>
        <v>24779.629925642887</v>
      </c>
      <c r="P24" s="28">
        <f t="shared" si="2"/>
        <v>34059.731576005463</v>
      </c>
      <c r="Q24" s="28">
        <f t="shared" si="3"/>
        <v>22027.616879547077</v>
      </c>
      <c r="R24" s="5">
        <v>21583</v>
      </c>
      <c r="S24" s="18">
        <f t="shared" si="4"/>
        <v>-444.61687954707668</v>
      </c>
      <c r="T24" s="32">
        <v>35.813000000000002</v>
      </c>
      <c r="U24" s="32" t="s">
        <v>693</v>
      </c>
      <c r="V24" s="32">
        <v>33.122</v>
      </c>
      <c r="W24" s="32">
        <v>34.917999999999999</v>
      </c>
      <c r="X24" s="158">
        <v>36.255000000000003</v>
      </c>
      <c r="Y24" s="16">
        <v>46.457000000000001</v>
      </c>
      <c r="Z24" s="30">
        <f t="shared" si="10"/>
        <v>0.77088490432012402</v>
      </c>
      <c r="AA24" s="30"/>
      <c r="AB24" s="30">
        <f t="shared" si="13"/>
        <v>0.71296037195686335</v>
      </c>
      <c r="AC24" s="30">
        <f t="shared" si="11"/>
        <v>0.75161977742858987</v>
      </c>
      <c r="AD24" s="30">
        <f t="shared" si="6"/>
        <v>0.78039907871795433</v>
      </c>
      <c r="AE24" s="28">
        <f t="shared" si="12"/>
        <v>12156.369999999999</v>
      </c>
      <c r="AF24" s="18">
        <f>100*AE24/data2018!BY23</f>
        <v>26166.928557590891</v>
      </c>
      <c r="AG24" s="20">
        <f>AE24/data2018!AN23</f>
        <v>0.62532767489711927</v>
      </c>
      <c r="AH24" s="20">
        <f>AE24/data2018!E23</f>
        <v>0.22436254673269987</v>
      </c>
      <c r="AI24" s="20">
        <f>AE24/data2018!H23</f>
        <v>0.62636249116303833</v>
      </c>
      <c r="AJ24" s="30">
        <f>AF24/data2018!AK23</f>
        <v>1.3249077750678933</v>
      </c>
      <c r="AK24" s="30">
        <f>AF24/data2018!C23</f>
        <v>0.48158513955260679</v>
      </c>
      <c r="AL24" s="30">
        <f>AF24/data2018!H23</f>
        <v>1.348262890765737</v>
      </c>
      <c r="AM24" s="8">
        <v>35.691326494669056</v>
      </c>
      <c r="AN24" s="30">
        <f>AM24/data2018!BY23</f>
        <v>0.76826584787371233</v>
      </c>
    </row>
    <row r="25" spans="1:40" x14ac:dyDescent="0.25">
      <c r="A25" s="5">
        <v>1982</v>
      </c>
      <c r="B25" s="28">
        <v>13366.84</v>
      </c>
      <c r="C25" s="28">
        <v>0</v>
      </c>
      <c r="D25" s="28">
        <v>761.94799999999998</v>
      </c>
      <c r="E25" s="28">
        <v>608.12</v>
      </c>
      <c r="F25" s="28">
        <f t="shared" si="0"/>
        <v>14128.788</v>
      </c>
      <c r="G25" s="28">
        <f t="shared" si="1"/>
        <v>14736.907999999999</v>
      </c>
      <c r="H25" s="30">
        <v>0.65305397593525361</v>
      </c>
      <c r="I25" s="30"/>
      <c r="J25" s="30">
        <v>0.48021440429784273</v>
      </c>
      <c r="K25" s="30">
        <v>0.59633300542446654</v>
      </c>
      <c r="L25" s="28">
        <f t="shared" si="7"/>
        <v>20468.200933708489</v>
      </c>
      <c r="M25" s="28"/>
      <c r="N25" s="28">
        <f t="shared" si="8"/>
        <v>1586.6829340825395</v>
      </c>
      <c r="O25" s="28">
        <f t="shared" si="9"/>
        <v>24712.547965562211</v>
      </c>
      <c r="P25" s="28">
        <f t="shared" si="2"/>
        <v>34831.314690300533</v>
      </c>
      <c r="Q25" s="28">
        <f t="shared" si="3"/>
        <v>22054.883867791028</v>
      </c>
      <c r="R25" s="5">
        <v>21996</v>
      </c>
      <c r="S25" s="18">
        <f t="shared" si="4"/>
        <v>-58.883867791028024</v>
      </c>
      <c r="T25" s="32">
        <v>40.682000000000002</v>
      </c>
      <c r="U25" s="32" t="s">
        <v>693</v>
      </c>
      <c r="V25" s="32">
        <v>38.484000000000002</v>
      </c>
      <c r="W25" s="32">
        <v>39.247</v>
      </c>
      <c r="X25" s="158">
        <v>41.213000000000001</v>
      </c>
      <c r="Y25" s="16">
        <v>51.936999999999998</v>
      </c>
      <c r="Z25" s="30">
        <f t="shared" si="10"/>
        <v>0.78329514604232053</v>
      </c>
      <c r="AA25" s="30"/>
      <c r="AB25" s="30">
        <f t="shared" si="13"/>
        <v>0.74097464235516108</v>
      </c>
      <c r="AC25" s="30">
        <f t="shared" si="11"/>
        <v>0.75566551783892022</v>
      </c>
      <c r="AD25" s="30">
        <f t="shared" si="6"/>
        <v>0.79351907118239406</v>
      </c>
      <c r="AE25" s="28">
        <f t="shared" si="12"/>
        <v>14128.788</v>
      </c>
      <c r="AF25" s="18">
        <f>100*AE25/data2018!BY24</f>
        <v>27203.704488129853</v>
      </c>
      <c r="AG25" s="20">
        <f>AE25/data2018!AN24</f>
        <v>0.70555745318352059</v>
      </c>
      <c r="AH25" s="20">
        <f>AE25/data2018!E24</f>
        <v>0.25927953524313041</v>
      </c>
      <c r="AI25" s="20">
        <f>AE25/data2018!H24</f>
        <v>0.71826144842183348</v>
      </c>
      <c r="AJ25" s="30">
        <f>AF25/data2018!AK24</f>
        <v>1.3400839649325051</v>
      </c>
      <c r="AK25" s="30">
        <f>AF25/data2018!C24</f>
        <v>0.49778064872132177</v>
      </c>
      <c r="AL25" s="30">
        <f>AF25/data2018!H24</f>
        <v>1.3829475102948448</v>
      </c>
      <c r="AM25" s="8">
        <v>40.563464588186903</v>
      </c>
      <c r="AN25" s="30">
        <f>AM25/data2018!BY24</f>
        <v>0.78101285380724539</v>
      </c>
    </row>
    <row r="26" spans="1:40" x14ac:dyDescent="0.25">
      <c r="A26" s="5">
        <v>1983</v>
      </c>
      <c r="B26" s="28">
        <v>14382.03</v>
      </c>
      <c r="C26" s="28">
        <v>0</v>
      </c>
      <c r="D26" s="28">
        <v>924.50900000000001</v>
      </c>
      <c r="E26" s="28">
        <v>680.17100000000005</v>
      </c>
      <c r="F26" s="28">
        <f t="shared" si="0"/>
        <v>15306.539000000001</v>
      </c>
      <c r="G26" s="28">
        <f t="shared" si="1"/>
        <v>15986.710000000001</v>
      </c>
      <c r="H26" s="30">
        <v>0.70243707203195382</v>
      </c>
      <c r="I26" s="30"/>
      <c r="J26" s="30">
        <v>0.559487893261296</v>
      </c>
      <c r="K26" s="30">
        <v>0.65537351797420151</v>
      </c>
      <c r="L26" s="28">
        <f t="shared" si="7"/>
        <v>20474.474615066676</v>
      </c>
      <c r="M26" s="28"/>
      <c r="N26" s="28">
        <f t="shared" si="8"/>
        <v>1652.4200275558585</v>
      </c>
      <c r="O26" s="28">
        <f t="shared" si="9"/>
        <v>24393.280414222216</v>
      </c>
      <c r="P26" s="28">
        <f t="shared" si="2"/>
        <v>35232.826317772815</v>
      </c>
      <c r="Q26" s="28">
        <f t="shared" si="3"/>
        <v>22126.894642622534</v>
      </c>
      <c r="R26" s="5">
        <v>22540</v>
      </c>
      <c r="S26" s="18">
        <f t="shared" si="4"/>
        <v>413.10535737746613</v>
      </c>
      <c r="T26" s="32">
        <v>43.542000000000002</v>
      </c>
      <c r="U26" s="32" t="s">
        <v>693</v>
      </c>
      <c r="V26" s="32">
        <v>41.918999999999997</v>
      </c>
      <c r="W26" s="32">
        <v>44.354999999999997</v>
      </c>
      <c r="X26" s="158">
        <v>44.255000000000003</v>
      </c>
      <c r="Y26" s="16">
        <v>56.901000000000003</v>
      </c>
      <c r="Z26" s="30">
        <f t="shared" si="10"/>
        <v>0.76522380977487214</v>
      </c>
      <c r="AA26" s="30"/>
      <c r="AB26" s="30">
        <f t="shared" si="13"/>
        <v>0.73670058522697301</v>
      </c>
      <c r="AC26" s="30">
        <f t="shared" si="11"/>
        <v>0.77951178362418927</v>
      </c>
      <c r="AD26" s="30">
        <f t="shared" si="6"/>
        <v>0.7777543452663398</v>
      </c>
      <c r="AE26" s="28">
        <f t="shared" si="12"/>
        <v>15306.539000000001</v>
      </c>
      <c r="AF26" s="18">
        <f>100*AE26/data2018!BY25</f>
        <v>26900.298764520834</v>
      </c>
      <c r="AG26" s="20">
        <f>AE26/data2018!AN25</f>
        <v>0.7484860146699267</v>
      </c>
      <c r="AH26" s="20">
        <f>AE26/data2018!E25</f>
        <v>0.27945705666204007</v>
      </c>
      <c r="AI26" s="20">
        <f>AE26/data2018!H25</f>
        <v>0.76768455388872558</v>
      </c>
      <c r="AJ26" s="30">
        <f>AF26/data2018!AK25</f>
        <v>1.305839745850526</v>
      </c>
      <c r="AK26" s="30">
        <f>AF26/data2018!C25</f>
        <v>0.49003315983900486</v>
      </c>
      <c r="AL26" s="30">
        <f>AF26/data2018!H25</f>
        <v>1.3491582817327035</v>
      </c>
      <c r="AM26" s="8">
        <v>43.443971431490823</v>
      </c>
      <c r="AN26" s="30">
        <f>AM26/data2018!BY25</f>
        <v>0.76350101811024096</v>
      </c>
    </row>
    <row r="27" spans="1:40" x14ac:dyDescent="0.25">
      <c r="A27" s="5">
        <v>1984</v>
      </c>
      <c r="B27" s="28">
        <v>15643.66</v>
      </c>
      <c r="C27" s="28">
        <v>0</v>
      </c>
      <c r="D27" s="28">
        <v>1122.452</v>
      </c>
      <c r="E27" s="28">
        <v>713.89099999999996</v>
      </c>
      <c r="F27" s="28">
        <f t="shared" si="0"/>
        <v>16766.112000000001</v>
      </c>
      <c r="G27" s="28">
        <f t="shared" si="1"/>
        <v>17480.003000000001</v>
      </c>
      <c r="H27" s="30">
        <v>0.76122003014066097</v>
      </c>
      <c r="I27" s="30"/>
      <c r="J27" s="30">
        <v>0.57930626550215936</v>
      </c>
      <c r="K27" s="30">
        <v>0.69966065522977161</v>
      </c>
      <c r="L27" s="28">
        <f t="shared" si="7"/>
        <v>20550.772944202883</v>
      </c>
      <c r="M27" s="28"/>
      <c r="N27" s="28">
        <f t="shared" si="8"/>
        <v>1937.579596221053</v>
      </c>
      <c r="O27" s="28">
        <f t="shared" si="9"/>
        <v>24983.5443358745</v>
      </c>
      <c r="P27" s="28">
        <f t="shared" si="2"/>
        <v>35638.412251206806</v>
      </c>
      <c r="Q27" s="28">
        <f t="shared" si="3"/>
        <v>22488.352540423937</v>
      </c>
      <c r="R27" s="5">
        <v>22825</v>
      </c>
      <c r="S27" s="18">
        <f t="shared" si="4"/>
        <v>336.64745957606283</v>
      </c>
      <c r="T27" s="32">
        <v>47.173999999999999</v>
      </c>
      <c r="U27" s="32" t="s">
        <v>693</v>
      </c>
      <c r="V27" s="32">
        <v>45.247999999999998</v>
      </c>
      <c r="W27" s="32">
        <v>47.655000000000001</v>
      </c>
      <c r="X27" s="158">
        <v>47.918999999999997</v>
      </c>
      <c r="Y27" s="16">
        <v>61.4</v>
      </c>
      <c r="Z27" s="30">
        <f t="shared" si="10"/>
        <v>0.7683061889250814</v>
      </c>
      <c r="AA27" s="30"/>
      <c r="AB27" s="30">
        <f t="shared" si="13"/>
        <v>0.73693811074918569</v>
      </c>
      <c r="AC27" s="30">
        <f t="shared" si="11"/>
        <v>0.77614006514657985</v>
      </c>
      <c r="AD27" s="30">
        <f t="shared" si="6"/>
        <v>0.78043973941368072</v>
      </c>
      <c r="AE27" s="28">
        <f t="shared" si="12"/>
        <v>16766.112000000001</v>
      </c>
      <c r="AF27" s="18">
        <f>100*AE27/data2018!BY26</f>
        <v>27306.371335504889</v>
      </c>
      <c r="AG27" s="20">
        <f>AE27/data2018!AN26</f>
        <v>0.80995710144927546</v>
      </c>
      <c r="AH27" s="20">
        <f>AE27/data2018!E26</f>
        <v>0.30469392798907158</v>
      </c>
      <c r="AI27" s="20">
        <f>AE27/data2018!H26</f>
        <v>0.82985431349248284</v>
      </c>
      <c r="AJ27" s="30">
        <f>AF27/data2018!AK26</f>
        <v>1.3128063142069659</v>
      </c>
      <c r="AK27" s="30">
        <f>AF27/data2018!C26</f>
        <v>0.49506357001365514</v>
      </c>
      <c r="AL27" s="30">
        <f>AF27/data2018!H26</f>
        <v>1.3515542565024152</v>
      </c>
      <c r="AM27" s="8">
        <v>47.045058802899561</v>
      </c>
      <c r="AN27" s="30">
        <f>AM27/data2018!BY26</f>
        <v>0.76620616942833164</v>
      </c>
    </row>
    <row r="28" spans="1:40" x14ac:dyDescent="0.25">
      <c r="A28" s="5">
        <v>1985</v>
      </c>
      <c r="B28" s="28">
        <v>17138.64</v>
      </c>
      <c r="C28" s="28">
        <v>0</v>
      </c>
      <c r="D28" s="28">
        <v>1417.335</v>
      </c>
      <c r="E28" s="28">
        <v>750.37099999999998</v>
      </c>
      <c r="F28" s="28">
        <f t="shared" si="0"/>
        <v>18555.974999999999</v>
      </c>
      <c r="G28" s="28">
        <f t="shared" si="1"/>
        <v>19306.345999999998</v>
      </c>
      <c r="H28" s="30">
        <v>0.83361747413050558</v>
      </c>
      <c r="I28" s="30"/>
      <c r="J28" s="30">
        <v>0.65793164690390649</v>
      </c>
      <c r="K28" s="30">
        <v>0.77264693807059992</v>
      </c>
      <c r="L28" s="28">
        <f t="shared" si="7"/>
        <v>20559.357897189289</v>
      </c>
      <c r="M28" s="28"/>
      <c r="N28" s="28">
        <f t="shared" si="8"/>
        <v>2154.2283406941929</v>
      </c>
      <c r="O28" s="28">
        <f t="shared" si="9"/>
        <v>24987.280798925392</v>
      </c>
      <c r="P28" s="28">
        <f t="shared" si="2"/>
        <v>35527.865643126286</v>
      </c>
      <c r="Q28" s="28">
        <f t="shared" si="3"/>
        <v>22713.586237883483</v>
      </c>
      <c r="R28" s="5">
        <v>22691</v>
      </c>
      <c r="S28" s="18">
        <f t="shared" si="4"/>
        <v>-22.586237883482681</v>
      </c>
      <c r="T28" s="32">
        <v>52.235999999999997</v>
      </c>
      <c r="U28" s="32" t="s">
        <v>693</v>
      </c>
      <c r="V28" s="32">
        <v>52.149000000000001</v>
      </c>
      <c r="W28" s="32">
        <v>51.093000000000004</v>
      </c>
      <c r="X28" s="158">
        <v>53.146000000000001</v>
      </c>
      <c r="Y28" s="16">
        <v>65.204999999999998</v>
      </c>
      <c r="Z28" s="30">
        <f t="shared" si="10"/>
        <v>0.80110420979986197</v>
      </c>
      <c r="AA28" s="30"/>
      <c r="AB28" s="30">
        <f t="shared" si="13"/>
        <v>0.79976995629169545</v>
      </c>
      <c r="AC28" s="30">
        <f t="shared" si="11"/>
        <v>0.78357487922705327</v>
      </c>
      <c r="AD28" s="30">
        <f t="shared" si="6"/>
        <v>0.81506019477033975</v>
      </c>
      <c r="AE28" s="28">
        <f t="shared" si="12"/>
        <v>18555.974999999999</v>
      </c>
      <c r="AF28" s="18">
        <f>100*AE28/data2018!BY27</f>
        <v>28457.902001380258</v>
      </c>
      <c r="AG28" s="20">
        <f>AE28/data2018!AN27</f>
        <v>0.88593817140128905</v>
      </c>
      <c r="AH28" s="20">
        <f>AE28/data2018!E27</f>
        <v>0.33564655610315053</v>
      </c>
      <c r="AI28" s="20">
        <f>AE28/data2018!H27</f>
        <v>0.90729383467871805</v>
      </c>
      <c r="AJ28" s="30">
        <f>AF28/data2018!AK27</f>
        <v>1.3493552395154225</v>
      </c>
      <c r="AK28" s="30">
        <f>AF28/data2018!C27</f>
        <v>0.51357636155648168</v>
      </c>
      <c r="AL28" s="30">
        <f>AF28/data2018!H27</f>
        <v>1.3914482550091527</v>
      </c>
      <c r="AM28" s="8">
        <v>52.229354801081591</v>
      </c>
      <c r="AN28" s="30">
        <f>AM28/data2018!BY27</f>
        <v>0.80100229738642115</v>
      </c>
    </row>
    <row r="29" spans="1:40" x14ac:dyDescent="0.25">
      <c r="A29" s="5">
        <v>1986</v>
      </c>
      <c r="B29" s="28">
        <v>15460.95</v>
      </c>
      <c r="C29" s="28">
        <v>0</v>
      </c>
      <c r="D29" s="28">
        <v>1287.114</v>
      </c>
      <c r="E29" s="28">
        <v>817.15099999999995</v>
      </c>
      <c r="F29" s="28">
        <f t="shared" si="0"/>
        <v>16748.064000000002</v>
      </c>
      <c r="G29" s="28">
        <f t="shared" si="1"/>
        <v>17565.215</v>
      </c>
      <c r="H29" s="30">
        <v>0.79243665402717944</v>
      </c>
      <c r="I29" s="30"/>
      <c r="J29" s="30">
        <v>0.62504097067338249</v>
      </c>
      <c r="K29" s="30">
        <v>0.7321008124501952</v>
      </c>
      <c r="L29" s="28">
        <f t="shared" si="7"/>
        <v>19510.644694976101</v>
      </c>
      <c r="M29" s="28"/>
      <c r="N29" s="28">
        <f t="shared" si="8"/>
        <v>2059.2474099951223</v>
      </c>
      <c r="O29" s="28">
        <f t="shared" si="9"/>
        <v>23992.891008019418</v>
      </c>
      <c r="P29" s="28">
        <f t="shared" si="2"/>
        <v>36902.535400347493</v>
      </c>
      <c r="Q29" s="28">
        <f t="shared" si="3"/>
        <v>21569.892104971223</v>
      </c>
      <c r="R29" s="5">
        <v>23940</v>
      </c>
      <c r="S29" s="18">
        <f t="shared" si="4"/>
        <v>2370.1078950287774</v>
      </c>
      <c r="T29" s="32">
        <v>45.603999999999999</v>
      </c>
      <c r="U29" s="32" t="s">
        <v>693</v>
      </c>
      <c r="V29" s="32">
        <v>42.749000000000002</v>
      </c>
      <c r="W29" s="32">
        <v>53.768999999999998</v>
      </c>
      <c r="X29" s="158">
        <v>46.545999999999999</v>
      </c>
      <c r="Y29" s="16">
        <v>66.965000000000003</v>
      </c>
      <c r="Z29" s="30">
        <f t="shared" si="10"/>
        <v>0.68101246920032843</v>
      </c>
      <c r="AA29" s="30"/>
      <c r="AB29" s="30">
        <f t="shared" si="13"/>
        <v>0.63837825729858877</v>
      </c>
      <c r="AC29" s="30">
        <f t="shared" si="11"/>
        <v>0.80294183528709018</v>
      </c>
      <c r="AD29" s="30">
        <f t="shared" si="6"/>
        <v>0.69507951915179567</v>
      </c>
      <c r="AE29" s="28">
        <f t="shared" si="12"/>
        <v>16748.064000000002</v>
      </c>
      <c r="AF29" s="18">
        <f>100*AE29/data2018!BY28</f>
        <v>25010.175464795044</v>
      </c>
      <c r="AG29" s="20">
        <f>AE29/data2018!AN28</f>
        <v>0.7864787039211083</v>
      </c>
      <c r="AH29" s="20">
        <f>AE29/data2018!E28</f>
        <v>0.30151424997743786</v>
      </c>
      <c r="AI29" s="20">
        <f>AE29/data2018!H28</f>
        <v>0.8094325925325625</v>
      </c>
      <c r="AJ29" s="30">
        <f>AF29/data2018!AK28</f>
        <v>1.1632639751067462</v>
      </c>
      <c r="AK29" s="30">
        <f>AF29/data2018!C28</f>
        <v>0.44916264287519264</v>
      </c>
      <c r="AL29" s="30">
        <f>AF29/data2018!H28</f>
        <v>1.2087397782909914</v>
      </c>
      <c r="AM29" s="8">
        <v>45.384588940309754</v>
      </c>
      <c r="AN29" s="30">
        <f>AM29/data2018!BY28</f>
        <v>0.67773596565832528</v>
      </c>
    </row>
    <row r="30" spans="1:40" x14ac:dyDescent="0.25">
      <c r="A30" s="5">
        <v>1987</v>
      </c>
      <c r="B30" s="28">
        <v>15541.89</v>
      </c>
      <c r="C30" s="28">
        <v>0</v>
      </c>
      <c r="D30" s="28">
        <v>1394.326</v>
      </c>
      <c r="E30" s="28">
        <v>867.73099999999999</v>
      </c>
      <c r="F30" s="28">
        <f t="shared" si="0"/>
        <v>16936.216</v>
      </c>
      <c r="G30" s="28">
        <f t="shared" si="1"/>
        <v>17803.947</v>
      </c>
      <c r="H30" s="30">
        <v>0.71495360245367989</v>
      </c>
      <c r="I30" s="30"/>
      <c r="J30" s="30">
        <v>0.48631236498733904</v>
      </c>
      <c r="K30" s="30">
        <v>0.62879119977129805</v>
      </c>
      <c r="L30" s="28">
        <f t="shared" si="7"/>
        <v>21738.319726848178</v>
      </c>
      <c r="M30" s="28"/>
      <c r="N30" s="28">
        <f t="shared" si="8"/>
        <v>2867.1407522946711</v>
      </c>
      <c r="O30" s="28">
        <f t="shared" si="9"/>
        <v>28314.561346398608</v>
      </c>
      <c r="P30" s="28">
        <f t="shared" si="2"/>
        <v>37019.800877499729</v>
      </c>
      <c r="Q30" s="28">
        <f t="shared" si="3"/>
        <v>24605.46047914285</v>
      </c>
      <c r="R30" s="5">
        <v>24650</v>
      </c>
      <c r="S30" s="18">
        <f t="shared" si="4"/>
        <v>44.53952085714991</v>
      </c>
      <c r="T30" s="32">
        <v>46.11</v>
      </c>
      <c r="U30" s="32" t="s">
        <v>693</v>
      </c>
      <c r="V30" s="32">
        <v>41.725999999999999</v>
      </c>
      <c r="W30" s="32">
        <v>55.71</v>
      </c>
      <c r="X30" s="158">
        <v>46.984999999999999</v>
      </c>
      <c r="Y30" s="16">
        <v>68.972999999999999</v>
      </c>
      <c r="Z30" s="30">
        <f t="shared" si="10"/>
        <v>0.66852246531251358</v>
      </c>
      <c r="AA30" s="30"/>
      <c r="AB30" s="30">
        <f t="shared" si="13"/>
        <v>0.60496136169225634</v>
      </c>
      <c r="AC30" s="30">
        <f t="shared" si="11"/>
        <v>0.80770736375103303</v>
      </c>
      <c r="AD30" s="30">
        <f t="shared" si="6"/>
        <v>0.68120858886810787</v>
      </c>
      <c r="AE30" s="28">
        <f t="shared" si="12"/>
        <v>16936.216</v>
      </c>
      <c r="AF30" s="18">
        <f>100*AE30/data2018!BY29</f>
        <v>24554.848998883623</v>
      </c>
      <c r="AG30" s="20">
        <f>AE30/data2018!AN29</f>
        <v>0.77921398665746489</v>
      </c>
      <c r="AH30" s="20">
        <f>AE30/data2018!E29</f>
        <v>0.30338613915268392</v>
      </c>
      <c r="AI30" s="20">
        <f>AE30/data2018!H29</f>
        <v>0.80931833508613715</v>
      </c>
      <c r="AJ30" s="30">
        <f>AF30/data2018!AK29</f>
        <v>1.117653573003351</v>
      </c>
      <c r="AK30" s="30">
        <f>AF30/data2018!C29</f>
        <v>0.43874471459697229</v>
      </c>
      <c r="AL30" s="30">
        <f>AF30/data2018!H29</f>
        <v>1.1733842736812046</v>
      </c>
      <c r="AM30" s="8">
        <v>45.749073735006682</v>
      </c>
      <c r="AN30" s="30">
        <f>AM30/data2018!BY29</f>
        <v>0.66328960223575428</v>
      </c>
    </row>
    <row r="31" spans="1:40" x14ac:dyDescent="0.25">
      <c r="A31" s="5">
        <v>1988</v>
      </c>
      <c r="B31" s="28">
        <v>15984.53</v>
      </c>
      <c r="C31" s="28">
        <v>0</v>
      </c>
      <c r="D31" s="28">
        <v>1598.3340000000001</v>
      </c>
      <c r="E31" s="28">
        <v>937.01099999999997</v>
      </c>
      <c r="F31" s="28">
        <f t="shared" si="0"/>
        <v>17582.864000000001</v>
      </c>
      <c r="G31" s="28">
        <f t="shared" si="1"/>
        <v>18519.875</v>
      </c>
      <c r="H31" s="30">
        <v>0.72039369671499953</v>
      </c>
      <c r="I31" s="30"/>
      <c r="J31" s="30">
        <v>0.48254022601508795</v>
      </c>
      <c r="K31" s="30">
        <v>0.62493153453947192</v>
      </c>
      <c r="L31" s="28">
        <f t="shared" si="7"/>
        <v>22188.603360758949</v>
      </c>
      <c r="M31" s="28"/>
      <c r="N31" s="28">
        <f t="shared" si="8"/>
        <v>3312.3331772759266</v>
      </c>
      <c r="O31" s="28">
        <f t="shared" si="9"/>
        <v>29635.046363355261</v>
      </c>
      <c r="P31" s="28">
        <f t="shared" si="2"/>
        <v>38182.766625133991</v>
      </c>
      <c r="Q31" s="28">
        <f t="shared" si="3"/>
        <v>25500.936538034875</v>
      </c>
      <c r="R31" s="5">
        <v>25430</v>
      </c>
      <c r="S31" s="18">
        <f t="shared" si="4"/>
        <v>-70.936538034875412</v>
      </c>
      <c r="T31" s="32">
        <v>46.527999999999999</v>
      </c>
      <c r="U31" s="32" t="s">
        <v>693</v>
      </c>
      <c r="V31" s="32">
        <v>41.261000000000003</v>
      </c>
      <c r="W31" s="32">
        <v>58.804000000000002</v>
      </c>
      <c r="X31" s="158">
        <v>47.433</v>
      </c>
      <c r="Y31" s="16">
        <v>70.828999999999994</v>
      </c>
      <c r="Z31" s="30">
        <f t="shared" si="10"/>
        <v>0.65690606954778419</v>
      </c>
      <c r="AA31" s="30"/>
      <c r="AB31" s="30">
        <f t="shared" si="13"/>
        <v>0.58254387327224733</v>
      </c>
      <c r="AC31" s="30">
        <f t="shared" si="11"/>
        <v>0.83022490787671732</v>
      </c>
      <c r="AD31" s="30">
        <f t="shared" si="6"/>
        <v>0.66968332180321621</v>
      </c>
      <c r="AE31" s="28">
        <f t="shared" si="12"/>
        <v>17582.864000000001</v>
      </c>
      <c r="AF31" s="18">
        <f>100*AE31/data2018!BY30</f>
        <v>24824.385491818328</v>
      </c>
      <c r="AG31" s="20">
        <f>AE31/data2018!AN30</f>
        <v>0.79041870083164767</v>
      </c>
      <c r="AH31" s="20">
        <f>AE31/data2018!E30</f>
        <v>0.31331963932555229</v>
      </c>
      <c r="AI31" s="20">
        <f>AE31/data2018!H30</f>
        <v>0.83103331814019321</v>
      </c>
      <c r="AJ31" s="30">
        <f>AF31/data2018!AK30</f>
        <v>1.1023261763684871</v>
      </c>
      <c r="AK31" s="30">
        <f>AF31/data2018!C30</f>
        <v>0.44116703951583147</v>
      </c>
      <c r="AL31" s="30">
        <f>AF31/data2018!H30</f>
        <v>1.1732952860271828</v>
      </c>
      <c r="AM31" s="8">
        <v>46.049214224372093</v>
      </c>
      <c r="AN31" s="30">
        <f>AM31/data2018!BY30</f>
        <v>0.65014632741351841</v>
      </c>
    </row>
    <row r="32" spans="1:40" x14ac:dyDescent="0.25">
      <c r="A32" s="27">
        <v>1989</v>
      </c>
      <c r="B32" s="28">
        <v>17058.25</v>
      </c>
      <c r="C32" s="28">
        <v>4.5069999999999997</v>
      </c>
      <c r="D32" s="28">
        <v>2026.2159999999999</v>
      </c>
      <c r="E32" s="28">
        <v>1006.871</v>
      </c>
      <c r="F32" s="28">
        <f t="shared" si="0"/>
        <v>19088.972999999998</v>
      </c>
      <c r="G32" s="28">
        <f t="shared" si="1"/>
        <v>20095.844000000001</v>
      </c>
      <c r="H32" s="30">
        <v>0.75767161566992947</v>
      </c>
      <c r="I32" s="30">
        <v>0.749</v>
      </c>
      <c r="J32" s="30">
        <v>0.50460624705582835</v>
      </c>
      <c r="K32" s="30">
        <v>0.64845992600974733</v>
      </c>
      <c r="L32" s="28">
        <f t="shared" si="7"/>
        <v>22514.041237927569</v>
      </c>
      <c r="M32" s="28">
        <f t="shared" ref="M32:M48" si="14">C32/I32</f>
        <v>6.0173564753004003</v>
      </c>
      <c r="N32" s="28">
        <f t="shared" si="8"/>
        <v>4015.4397846283987</v>
      </c>
      <c r="O32" s="28">
        <f t="shared" si="9"/>
        <v>30990.109325118003</v>
      </c>
      <c r="P32" s="28">
        <f t="shared" si="2"/>
        <v>38924.420071053748</v>
      </c>
      <c r="Q32" s="28">
        <f t="shared" si="3"/>
        <v>26535.498379031269</v>
      </c>
      <c r="R32" s="5">
        <v>27280</v>
      </c>
      <c r="S32" s="18">
        <f t="shared" si="4"/>
        <v>744.501620968731</v>
      </c>
      <c r="T32" s="32">
        <v>49.698</v>
      </c>
      <c r="U32" s="32">
        <v>54.9</v>
      </c>
      <c r="V32" s="32">
        <v>43.497999999999998</v>
      </c>
      <c r="W32" s="32">
        <v>60.822000000000003</v>
      </c>
      <c r="X32" s="158">
        <v>50.515000000000001</v>
      </c>
      <c r="Y32" s="16">
        <v>73.545000000000002</v>
      </c>
      <c r="Z32" s="30">
        <f t="shared" si="10"/>
        <v>0.67574954109728735</v>
      </c>
      <c r="AA32" s="30">
        <f t="shared" ref="AA32:AA48" si="15">U32/$Y32</f>
        <v>0.74648174586987559</v>
      </c>
      <c r="AB32" s="30">
        <f t="shared" si="13"/>
        <v>0.59144741314841254</v>
      </c>
      <c r="AC32" s="30">
        <f t="shared" si="11"/>
        <v>0.82700387517846219</v>
      </c>
      <c r="AD32" s="30">
        <f t="shared" si="6"/>
        <v>0.68685838602216331</v>
      </c>
      <c r="AE32" s="28">
        <f t="shared" si="12"/>
        <v>19088.972999999998</v>
      </c>
      <c r="AF32" s="18">
        <f>100*AE32/data2018!BY31</f>
        <v>25955.500713848662</v>
      </c>
      <c r="AG32" s="20">
        <f>AE32/data2018!AN31</f>
        <v>0.8385228640456841</v>
      </c>
      <c r="AH32" s="20">
        <f>AE32/data2018!E31</f>
        <v>0.33831657270595417</v>
      </c>
      <c r="AI32" s="20">
        <f>AE32/data2018!H31</f>
        <v>0.89271381201962263</v>
      </c>
      <c r="AJ32" s="30">
        <f>AF32/data2018!AK31</f>
        <v>1.1280095920838185</v>
      </c>
      <c r="AK32" s="30">
        <f>AF32/data2018!C31</f>
        <v>0.45876417473264158</v>
      </c>
      <c r="AL32" s="30">
        <f>AF32/data2018!H31</f>
        <v>1.2138334516549361</v>
      </c>
      <c r="AM32" s="8">
        <v>49.041123708855373</v>
      </c>
      <c r="AN32" s="30">
        <f>AM32/data2018!BY31</f>
        <v>0.6668179170420202</v>
      </c>
    </row>
    <row r="33" spans="1:40" x14ac:dyDescent="0.25">
      <c r="A33" s="5">
        <v>1990</v>
      </c>
      <c r="B33" s="28">
        <v>14882.21</v>
      </c>
      <c r="C33" s="28">
        <v>2378.9110000000001</v>
      </c>
      <c r="D33" s="28">
        <v>2549.2460000000001</v>
      </c>
      <c r="E33" s="28">
        <v>1106.5709999999999</v>
      </c>
      <c r="F33" s="28">
        <f t="shared" si="0"/>
        <v>19810.366999999998</v>
      </c>
      <c r="G33" s="28">
        <f t="shared" si="1"/>
        <v>20916.937999999998</v>
      </c>
      <c r="H33" s="30">
        <v>0.77964532439224177</v>
      </c>
      <c r="I33" s="30">
        <v>0.74852467463568495</v>
      </c>
      <c r="J33" s="30">
        <v>0.51631921116826063</v>
      </c>
      <c r="K33" s="30">
        <v>0.5995204314002287</v>
      </c>
      <c r="L33" s="28">
        <f t="shared" si="7"/>
        <v>19088.436157301596</v>
      </c>
      <c r="M33" s="28">
        <f t="shared" si="14"/>
        <v>3178.1330403808556</v>
      </c>
      <c r="N33" s="28">
        <f t="shared" si="8"/>
        <v>4937.3448534519848</v>
      </c>
      <c r="O33" s="28">
        <f t="shared" si="9"/>
        <v>34889.449807651741</v>
      </c>
      <c r="P33" s="28">
        <f t="shared" si="2"/>
        <v>38626.669767972067</v>
      </c>
      <c r="Q33" s="28">
        <f t="shared" si="3"/>
        <v>27203.914051134438</v>
      </c>
      <c r="R33" s="5">
        <v>26223</v>
      </c>
      <c r="S33" s="18">
        <f t="shared" si="4"/>
        <v>-980.91405113443761</v>
      </c>
      <c r="T33" s="32">
        <v>51.326000000000001</v>
      </c>
      <c r="U33" s="32">
        <v>56.698</v>
      </c>
      <c r="V33" s="32">
        <v>46.008000000000003</v>
      </c>
      <c r="W33" s="32">
        <v>64.938000000000002</v>
      </c>
      <c r="X33" s="158">
        <v>52.411000000000001</v>
      </c>
      <c r="Y33" s="16">
        <v>75.656999999999996</v>
      </c>
      <c r="Z33" s="30">
        <f t="shared" si="10"/>
        <v>0.67840384894986583</v>
      </c>
      <c r="AA33" s="30">
        <f t="shared" si="15"/>
        <v>0.74940851474417436</v>
      </c>
      <c r="AB33" s="30">
        <f t="shared" si="13"/>
        <v>0.60811293072683303</v>
      </c>
      <c r="AC33" s="30">
        <f t="shared" si="11"/>
        <v>0.85832110710178844</v>
      </c>
      <c r="AD33" s="30">
        <f t="shared" si="6"/>
        <v>0.69274488811345947</v>
      </c>
      <c r="AE33" s="28">
        <f t="shared" si="12"/>
        <v>19810.366999999998</v>
      </c>
      <c r="AF33" s="18">
        <f>100*AE33/data2018!BY32</f>
        <v>26184.446911719999</v>
      </c>
      <c r="AG33" s="20">
        <f>AE33/data2018!AN32</f>
        <v>0.85096078178694146</v>
      </c>
      <c r="AH33" s="20">
        <f>AE33/data2018!E32</f>
        <v>0.34933478305464261</v>
      </c>
      <c r="AI33" s="20">
        <f>AE33/data2018!H32</f>
        <v>0.91579738061047888</v>
      </c>
      <c r="AJ33" s="30">
        <f>AF33/data2018!AK32</f>
        <v>1.1118661109010615</v>
      </c>
      <c r="AK33" s="30">
        <f>AF33/data2018!C32</f>
        <v>0.46066401148501773</v>
      </c>
      <c r="AL33" s="30">
        <f>AF33/data2018!H32</f>
        <v>1.2104595485024241</v>
      </c>
      <c r="AM33" s="8">
        <v>51.286758912946944</v>
      </c>
      <c r="AN33" s="30">
        <f>AM33/data2018!BY32</f>
        <v>0.67788517801323001</v>
      </c>
    </row>
    <row r="34" spans="1:40" x14ac:dyDescent="0.25">
      <c r="A34" s="5">
        <v>1991</v>
      </c>
      <c r="B34" s="28">
        <v>12948.3</v>
      </c>
      <c r="C34" s="28">
        <v>4165.8270000000002</v>
      </c>
      <c r="D34" s="28">
        <v>2972.3760000000002</v>
      </c>
      <c r="E34" s="28">
        <v>1125.741</v>
      </c>
      <c r="F34" s="28">
        <f t="shared" si="0"/>
        <v>20086.503000000001</v>
      </c>
      <c r="G34" s="28">
        <f t="shared" si="1"/>
        <v>21212.243999999999</v>
      </c>
      <c r="H34" s="30">
        <v>0.80194999433971548</v>
      </c>
      <c r="I34" s="30">
        <v>0.78644636767349074</v>
      </c>
      <c r="J34" s="30">
        <v>0.5373009300794116</v>
      </c>
      <c r="K34" s="30">
        <v>0.56876035701187133</v>
      </c>
      <c r="L34" s="28">
        <f t="shared" si="7"/>
        <v>16146.019192457214</v>
      </c>
      <c r="M34" s="28">
        <f t="shared" si="14"/>
        <v>5297.0261816118255</v>
      </c>
      <c r="N34" s="28">
        <f t="shared" si="8"/>
        <v>5532.0507253927353</v>
      </c>
      <c r="O34" s="28">
        <f t="shared" si="9"/>
        <v>37295.574029533236</v>
      </c>
      <c r="P34" s="28">
        <f t="shared" si="2"/>
        <v>38814.280308277455</v>
      </c>
      <c r="Q34" s="28">
        <f t="shared" si="3"/>
        <v>26975.096099461774</v>
      </c>
      <c r="R34" s="5">
        <v>26408</v>
      </c>
      <c r="S34" s="18">
        <f t="shared" si="4"/>
        <v>-567.09609946177443</v>
      </c>
      <c r="T34" s="32">
        <v>51.654000000000003</v>
      </c>
      <c r="U34" s="32">
        <v>55.688000000000002</v>
      </c>
      <c r="V34" s="32">
        <v>46.651000000000003</v>
      </c>
      <c r="W34" s="32">
        <v>70.671000000000006</v>
      </c>
      <c r="X34" s="158">
        <v>52.756999999999998</v>
      </c>
      <c r="Y34" s="16">
        <v>77.724000000000004</v>
      </c>
      <c r="Z34" s="30">
        <f t="shared" si="10"/>
        <v>0.66458236838042306</v>
      </c>
      <c r="AA34" s="30">
        <f t="shared" si="15"/>
        <v>0.71648396891565025</v>
      </c>
      <c r="AB34" s="30">
        <f t="shared" si="13"/>
        <v>0.60021357624414595</v>
      </c>
      <c r="AC34" s="30">
        <f t="shared" si="11"/>
        <v>0.90925582831557827</v>
      </c>
      <c r="AD34" s="30">
        <f t="shared" si="6"/>
        <v>0.67877360918120522</v>
      </c>
      <c r="AE34" s="28">
        <f t="shared" si="12"/>
        <v>20086.503000000001</v>
      </c>
      <c r="AF34" s="18">
        <f>100*AE34/data2018!BY33</f>
        <v>25843.372703412071</v>
      </c>
      <c r="AG34" s="20">
        <f>AE34/data2018!AN33</f>
        <v>0.8580308842375054</v>
      </c>
      <c r="AH34" s="20">
        <f>AE34/data2018!E33</f>
        <v>0.35254572233793358</v>
      </c>
      <c r="AI34" s="20">
        <f>AE34/data2018!H33</f>
        <v>0.91733761345220122</v>
      </c>
      <c r="AJ34" s="30">
        <f>AF34/data2018!AK33</f>
        <v>1.1105875678303425</v>
      </c>
      <c r="AK34" s="30">
        <f>AF34/data2018!C33</f>
        <v>0.45251499759969094</v>
      </c>
      <c r="AL34" s="30">
        <f>AF34/data2018!H33</f>
        <v>1.1802501331020034</v>
      </c>
      <c r="AM34" s="8">
        <v>51.75029097658264</v>
      </c>
      <c r="AN34" s="30">
        <f>AM34/data2018!BY33</f>
        <v>0.66582125182160767</v>
      </c>
    </row>
    <row r="35" spans="1:40" x14ac:dyDescent="0.25">
      <c r="A35" s="5">
        <v>1992</v>
      </c>
      <c r="B35" s="28">
        <v>11173.75</v>
      </c>
      <c r="C35" s="28">
        <v>5316.8230000000003</v>
      </c>
      <c r="D35" s="28">
        <v>3290.9279999999999</v>
      </c>
      <c r="E35" s="28">
        <v>1181.0509999999999</v>
      </c>
      <c r="F35" s="28">
        <f t="shared" si="0"/>
        <v>19781.501</v>
      </c>
      <c r="G35" s="28">
        <f t="shared" si="1"/>
        <v>20962.552</v>
      </c>
      <c r="H35" s="30">
        <v>0.8000069684384874</v>
      </c>
      <c r="I35" s="30">
        <v>0.77307636018824399</v>
      </c>
      <c r="J35" s="30">
        <v>0.52693470042168222</v>
      </c>
      <c r="K35" s="30">
        <v>0.65821254308805754</v>
      </c>
      <c r="L35" s="28">
        <f t="shared" si="7"/>
        <v>13967.065839201063</v>
      </c>
      <c r="M35" s="28">
        <f t="shared" si="14"/>
        <v>6877.4874951619977</v>
      </c>
      <c r="N35" s="28">
        <f t="shared" si="8"/>
        <v>6245.4190194087005</v>
      </c>
      <c r="O35" s="28">
        <f t="shared" si="9"/>
        <v>31847.694517719894</v>
      </c>
      <c r="P35" s="28">
        <f t="shared" si="2"/>
        <v>38970.85881455084</v>
      </c>
      <c r="Q35" s="28">
        <f t="shared" si="3"/>
        <v>27089.972353771762</v>
      </c>
      <c r="R35" s="5">
        <v>26945</v>
      </c>
      <c r="S35" s="18">
        <f t="shared" si="4"/>
        <v>-144.97235377176185</v>
      </c>
      <c r="T35" s="32">
        <v>50.704000000000001</v>
      </c>
      <c r="U35" s="32">
        <v>54.457999999999998</v>
      </c>
      <c r="V35" s="32">
        <v>44.973999999999997</v>
      </c>
      <c r="W35" s="32">
        <v>74.069999999999993</v>
      </c>
      <c r="X35" s="158">
        <v>51.774000000000001</v>
      </c>
      <c r="Y35" s="16">
        <v>79.724000000000004</v>
      </c>
      <c r="Z35" s="30">
        <f t="shared" si="10"/>
        <v>0.63599417992072649</v>
      </c>
      <c r="AA35" s="30">
        <f t="shared" si="15"/>
        <v>0.68308163162912039</v>
      </c>
      <c r="AB35" s="30">
        <f t="shared" si="13"/>
        <v>0.56412121820279959</v>
      </c>
      <c r="AC35" s="30">
        <f t="shared" si="11"/>
        <v>0.92908032712859356</v>
      </c>
      <c r="AD35" s="30">
        <f t="shared" si="6"/>
        <v>0.64941548341779132</v>
      </c>
      <c r="AE35" s="28">
        <f t="shared" si="12"/>
        <v>19781.501</v>
      </c>
      <c r="AF35" s="18">
        <f>100*AE35/data2018!BY34</f>
        <v>24812.479303597411</v>
      </c>
      <c r="AG35" s="20">
        <f>AE35/data2018!AN34</f>
        <v>0.83660397547050114</v>
      </c>
      <c r="AH35" s="20">
        <f>AE35/data2018!E34</f>
        <v>0.34558969034281312</v>
      </c>
      <c r="AI35" s="20">
        <f>AE35/data2018!H34</f>
        <v>0.89314560590627479</v>
      </c>
      <c r="AJ35" s="30">
        <f>AF35/data2018!AK34</f>
        <v>1.0329924772521819</v>
      </c>
      <c r="AK35" s="30">
        <f>AF35/data2018!C34</f>
        <v>0.43250552859919655</v>
      </c>
      <c r="AL35" s="30">
        <f>AF35/data2018!H34</f>
        <v>1.1202970321437393</v>
      </c>
      <c r="AM35" s="8">
        <v>50.759725604543348</v>
      </c>
      <c r="AN35" s="30">
        <f>AM35/data2018!BY34</f>
        <v>0.63669316146384203</v>
      </c>
    </row>
    <row r="36" spans="1:40" x14ac:dyDescent="0.25">
      <c r="A36" s="5">
        <v>1993</v>
      </c>
      <c r="B36" s="28">
        <v>10119.959999999999</v>
      </c>
      <c r="C36" s="28">
        <v>6331.2759999999998</v>
      </c>
      <c r="D36" s="28">
        <v>3884.3319999999999</v>
      </c>
      <c r="E36" s="28">
        <v>1258.721</v>
      </c>
      <c r="F36" s="28">
        <f t="shared" si="0"/>
        <v>20335.567999999999</v>
      </c>
      <c r="G36" s="28">
        <f t="shared" si="1"/>
        <v>21594.288999999997</v>
      </c>
      <c r="H36" s="30">
        <v>0.82885325953501432</v>
      </c>
      <c r="I36" s="30">
        <v>0.79507772613143868</v>
      </c>
      <c r="J36" s="30">
        <v>0.55955033213529537</v>
      </c>
      <c r="K36" s="30">
        <v>0.68243259944589418</v>
      </c>
      <c r="L36" s="28">
        <f t="shared" si="7"/>
        <v>12209.591847026439</v>
      </c>
      <c r="M36" s="28">
        <f t="shared" si="14"/>
        <v>7963.0906412203294</v>
      </c>
      <c r="N36" s="28">
        <f t="shared" si="8"/>
        <v>6941.8813231278637</v>
      </c>
      <c r="O36" s="28">
        <f t="shared" si="9"/>
        <v>31643.108810355232</v>
      </c>
      <c r="P36" s="28">
        <f t="shared" si="2"/>
        <v>38591.682080593651</v>
      </c>
      <c r="Q36" s="28">
        <f t="shared" si="3"/>
        <v>27114.563811374632</v>
      </c>
      <c r="R36" s="5">
        <v>27178</v>
      </c>
      <c r="S36" s="18">
        <f t="shared" si="4"/>
        <v>63.436188625368231</v>
      </c>
      <c r="T36" s="32">
        <v>52.530999999999999</v>
      </c>
      <c r="U36" s="32">
        <v>56.091999999999999</v>
      </c>
      <c r="V36" s="32">
        <v>47.581000000000003</v>
      </c>
      <c r="W36" s="32">
        <v>76.807000000000002</v>
      </c>
      <c r="X36" s="158">
        <v>53.75</v>
      </c>
      <c r="Y36" s="16">
        <v>80.921000000000006</v>
      </c>
      <c r="Z36" s="30">
        <f t="shared" si="10"/>
        <v>0.64916399945625969</v>
      </c>
      <c r="AA36" s="30">
        <f t="shared" si="15"/>
        <v>0.6931698817365084</v>
      </c>
      <c r="AB36" s="30">
        <f t="shared" si="13"/>
        <v>0.58799322796307507</v>
      </c>
      <c r="AC36" s="30">
        <f t="shared" si="11"/>
        <v>0.94916029213677533</v>
      </c>
      <c r="AD36" s="30">
        <f t="shared" si="6"/>
        <v>0.66422807429468245</v>
      </c>
      <c r="AE36" s="28">
        <f t="shared" si="12"/>
        <v>20335.567999999999</v>
      </c>
      <c r="AF36" s="18">
        <f>100*AE36/data2018!BY35</f>
        <v>25130.149157820586</v>
      </c>
      <c r="AG36" s="20">
        <f>AE36/data2018!AN35</f>
        <v>0.8402259270736494</v>
      </c>
      <c r="AH36" s="20">
        <f>AE36/data2018!E35</f>
        <v>0.35386461966762905</v>
      </c>
      <c r="AI36" s="20">
        <f>AE36/data2018!H35</f>
        <v>0.90799110392863758</v>
      </c>
      <c r="AJ36" s="30">
        <f>AF36/data2018!AK35</f>
        <v>1.0305576853729992</v>
      </c>
      <c r="AK36" s="30">
        <f>AF36/data2018!C35</f>
        <v>0.43655251742205237</v>
      </c>
      <c r="AL36" s="30">
        <f>AF36/data2018!H35</f>
        <v>1.1220710370962264</v>
      </c>
      <c r="AM36" s="8">
        <v>52.694173727726714</v>
      </c>
      <c r="AN36" s="30">
        <f>AM36/data2018!BY35</f>
        <v>0.6511804565900905</v>
      </c>
    </row>
    <row r="37" spans="1:40" x14ac:dyDescent="0.25">
      <c r="A37" s="5">
        <v>1994</v>
      </c>
      <c r="B37" s="28">
        <v>9252.69</v>
      </c>
      <c r="C37" s="28">
        <v>7242.0110000000004</v>
      </c>
      <c r="D37" s="28">
        <v>4501.558</v>
      </c>
      <c r="E37" s="28">
        <v>1306.6510000000001</v>
      </c>
      <c r="F37" s="28">
        <f t="shared" si="0"/>
        <v>20996.258999999998</v>
      </c>
      <c r="G37" s="28">
        <f t="shared" si="1"/>
        <v>22302.910000000003</v>
      </c>
      <c r="H37" s="30">
        <v>0.85542529828941993</v>
      </c>
      <c r="I37" s="30">
        <v>0.81630731892486885</v>
      </c>
      <c r="J37" s="30">
        <v>0.58799599983060225</v>
      </c>
      <c r="K37" s="30">
        <v>0.70234814399518863</v>
      </c>
      <c r="L37" s="28">
        <f t="shared" si="7"/>
        <v>10816.479263008066</v>
      </c>
      <c r="M37" s="28">
        <f t="shared" si="14"/>
        <v>8871.6722637476923</v>
      </c>
      <c r="N37" s="28">
        <f t="shared" si="8"/>
        <v>7655.7629665794821</v>
      </c>
      <c r="O37" s="28">
        <f t="shared" si="9"/>
        <v>31754.778866693763</v>
      </c>
      <c r="P37" s="28">
        <f t="shared" si="2"/>
        <v>38269.965056243353</v>
      </c>
      <c r="Q37" s="28">
        <f t="shared" si="3"/>
        <v>27343.91449333524</v>
      </c>
      <c r="R37" s="5">
        <v>27556</v>
      </c>
      <c r="S37" s="18">
        <f t="shared" si="4"/>
        <v>212.08550666476003</v>
      </c>
      <c r="T37" s="32">
        <v>54.368000000000002</v>
      </c>
      <c r="U37" s="32">
        <v>58.277999999999999</v>
      </c>
      <c r="V37" s="32">
        <v>50.389000000000003</v>
      </c>
      <c r="W37" s="32">
        <v>78.724999999999994</v>
      </c>
      <c r="X37" s="158">
        <v>55.924999999999997</v>
      </c>
      <c r="Y37" s="16">
        <v>81.671999999999997</v>
      </c>
      <c r="Z37" s="30">
        <f t="shared" si="10"/>
        <v>0.66568713879909891</v>
      </c>
      <c r="AA37" s="30">
        <f t="shared" si="15"/>
        <v>0.71356156332647669</v>
      </c>
      <c r="AB37" s="30">
        <f t="shared" si="13"/>
        <v>0.61696787148594379</v>
      </c>
      <c r="AC37" s="30">
        <f t="shared" si="11"/>
        <v>0.96391664217846995</v>
      </c>
      <c r="AD37" s="30">
        <f t="shared" si="6"/>
        <v>0.6847511999216378</v>
      </c>
      <c r="AE37" s="28">
        <f t="shared" si="12"/>
        <v>20996.258999999998</v>
      </c>
      <c r="AF37" s="18">
        <f>100*AE37/data2018!BY36</f>
        <v>25708.026006464883</v>
      </c>
      <c r="AG37" s="20">
        <f>AE37/data2018!AN36</f>
        <v>0.85203445267322708</v>
      </c>
      <c r="AH37" s="20">
        <f>AE37/data2018!E36</f>
        <v>0.36414683236877493</v>
      </c>
      <c r="AI37" s="20">
        <f>AE37/data2018!H36</f>
        <v>0.9270193383872255</v>
      </c>
      <c r="AJ37" s="30">
        <f>AF37/data2018!AK36</f>
        <v>1.0324508436331279</v>
      </c>
      <c r="AK37" s="30">
        <f>AF37/data2018!C36</f>
        <v>0.44514108352931836</v>
      </c>
      <c r="AL37" s="30">
        <f>AF37/data2018!H36</f>
        <v>1.1350515946557271</v>
      </c>
      <c r="AM37" s="8">
        <v>54.86354369318839</v>
      </c>
      <c r="AN37" s="30">
        <f>AM37/data2018!BY36</f>
        <v>0.67175462451254275</v>
      </c>
    </row>
    <row r="38" spans="1:40" x14ac:dyDescent="0.25">
      <c r="A38" s="15">
        <v>1995</v>
      </c>
      <c r="B38" s="28">
        <v>8440.66</v>
      </c>
      <c r="C38" s="28">
        <v>8070.6440000000002</v>
      </c>
      <c r="D38" s="28">
        <v>4997.1440000000002</v>
      </c>
      <c r="E38" s="28">
        <v>1348.681</v>
      </c>
      <c r="F38" s="28">
        <f t="shared" si="0"/>
        <v>21508.448</v>
      </c>
      <c r="G38" s="28">
        <f t="shared" si="1"/>
        <v>22857.129000000001</v>
      </c>
      <c r="H38" s="30">
        <v>0.89062566305154589</v>
      </c>
      <c r="I38" s="30">
        <v>0.86119339123347016</v>
      </c>
      <c r="J38" s="30">
        <v>0.58631575878552633</v>
      </c>
      <c r="K38" s="30">
        <v>0.71199185563665157</v>
      </c>
      <c r="L38" s="28">
        <f t="shared" si="7"/>
        <v>9477.2252251072714</v>
      </c>
      <c r="M38" s="28">
        <f t="shared" si="14"/>
        <v>9371.4653202814025</v>
      </c>
      <c r="N38" s="28">
        <f t="shared" si="8"/>
        <v>8522.9569990595282</v>
      </c>
      <c r="O38" s="28">
        <f t="shared" si="9"/>
        <v>32103.076487527411</v>
      </c>
      <c r="P38" s="28">
        <f t="shared" si="2"/>
        <v>37637.173049788245</v>
      </c>
      <c r="Q38" s="28">
        <f t="shared" si="3"/>
        <v>27371.647544448202</v>
      </c>
      <c r="R38" s="5">
        <v>27675</v>
      </c>
      <c r="S38" s="18">
        <f t="shared" si="4"/>
        <v>303.3524555517979</v>
      </c>
      <c r="T38" s="32">
        <v>56.69</v>
      </c>
      <c r="U38" s="32">
        <v>61.780999999999999</v>
      </c>
      <c r="V38" s="32">
        <v>50.433999999999997</v>
      </c>
      <c r="W38" s="32">
        <v>80.349999999999994</v>
      </c>
      <c r="X38" s="158">
        <v>58.045000000000002</v>
      </c>
      <c r="Y38" s="16">
        <v>82.421999999999997</v>
      </c>
      <c r="Z38" s="30">
        <f t="shared" si="10"/>
        <v>0.68780180049016038</v>
      </c>
      <c r="AA38" s="30">
        <f t="shared" si="15"/>
        <v>0.74956928975273596</v>
      </c>
      <c r="AB38" s="30">
        <f t="shared" si="13"/>
        <v>0.61189973550751009</v>
      </c>
      <c r="AC38" s="30">
        <f t="shared" si="11"/>
        <v>0.97486108077940348</v>
      </c>
      <c r="AD38" s="30">
        <f t="shared" si="6"/>
        <v>0.70424158598432463</v>
      </c>
      <c r="AE38" s="28">
        <f t="shared" si="12"/>
        <v>21508.448</v>
      </c>
      <c r="AF38" s="18">
        <f>100*AE38/data2018!BY37</f>
        <v>26095.518186891848</v>
      </c>
      <c r="AG38" s="20">
        <f>AE38/data2018!AN37</f>
        <v>0.86033791999999998</v>
      </c>
      <c r="AH38" s="20">
        <f>AE38/data2018!E37</f>
        <v>0.37183383163411221</v>
      </c>
      <c r="AI38" s="20">
        <f>AE38/data2018!H37</f>
        <v>0.93891778593487862</v>
      </c>
      <c r="AJ38" s="30">
        <f>AF38/data2018!AK37</f>
        <v>1.0396620791590379</v>
      </c>
      <c r="AK38" s="30">
        <f>AF38/data2018!C37</f>
        <v>0.45042006100031667</v>
      </c>
      <c r="AL38" s="30">
        <f>AF38/data2018!H37</f>
        <v>1.1391591880018423</v>
      </c>
      <c r="AM38" s="8">
        <v>57.146821233219612</v>
      </c>
      <c r="AN38" s="30">
        <f>AM38/data2018!BY37</f>
        <v>0.69334426771031532</v>
      </c>
    </row>
    <row r="39" spans="1:40" x14ac:dyDescent="0.25">
      <c r="A39" s="15">
        <v>1996</v>
      </c>
      <c r="B39" s="28">
        <v>7630.44</v>
      </c>
      <c r="C39" s="28">
        <v>9192.9570000000003</v>
      </c>
      <c r="D39" s="28">
        <v>5960.4030000000002</v>
      </c>
      <c r="E39" s="28">
        <v>1332.3409999999999</v>
      </c>
      <c r="F39" s="28">
        <f t="shared" si="0"/>
        <v>22783.8</v>
      </c>
      <c r="G39" s="28">
        <f t="shared" si="1"/>
        <v>24116.141</v>
      </c>
      <c r="H39" s="30">
        <v>0.94595590479716452</v>
      </c>
      <c r="I39" s="30">
        <v>0.9141914891778985</v>
      </c>
      <c r="J39" s="30">
        <v>0.65287771178025245</v>
      </c>
      <c r="K39" s="30">
        <v>0.7677811532425064</v>
      </c>
      <c r="L39" s="28">
        <f t="shared" si="7"/>
        <v>8066.3802205834827</v>
      </c>
      <c r="M39" s="28">
        <f t="shared" si="14"/>
        <v>10055.833059949962</v>
      </c>
      <c r="N39" s="28">
        <f t="shared" si="8"/>
        <v>9129.4324993072678</v>
      </c>
      <c r="O39" s="28">
        <f t="shared" si="9"/>
        <v>31410.175800945755</v>
      </c>
      <c r="P39" s="28">
        <f t="shared" si="2"/>
        <v>37180.578657686783</v>
      </c>
      <c r="Q39" s="28">
        <f t="shared" si="3"/>
        <v>27251.645779840714</v>
      </c>
      <c r="R39" s="5">
        <v>27669</v>
      </c>
      <c r="S39" s="18">
        <f t="shared" si="4"/>
        <v>417.35422015928634</v>
      </c>
      <c r="T39" s="32">
        <v>60.161000000000001</v>
      </c>
      <c r="U39" s="32">
        <v>65.597999999999999</v>
      </c>
      <c r="V39" s="32">
        <v>56.048000000000002</v>
      </c>
      <c r="W39" s="32">
        <v>81.915000000000006</v>
      </c>
      <c r="X39" s="158">
        <v>62.162999999999997</v>
      </c>
      <c r="Y39" s="16">
        <v>83.700999999999993</v>
      </c>
      <c r="Z39" s="30">
        <f t="shared" si="10"/>
        <v>0.71876082723026014</v>
      </c>
      <c r="AA39" s="30">
        <f t="shared" si="15"/>
        <v>0.78371823514653349</v>
      </c>
      <c r="AB39" s="30">
        <f t="shared" si="13"/>
        <v>0.66962162937121428</v>
      </c>
      <c r="AC39" s="30">
        <f t="shared" si="11"/>
        <v>0.97866214262673101</v>
      </c>
      <c r="AD39" s="30">
        <f t="shared" si="6"/>
        <v>0.74267929893310713</v>
      </c>
      <c r="AE39" s="28">
        <f t="shared" si="12"/>
        <v>22783.8</v>
      </c>
      <c r="AF39" s="18">
        <f>100*AE39/data2018!BY38</f>
        <v>27220.463315850469</v>
      </c>
      <c r="AG39" s="20">
        <f>AE39/data2018!AN38</f>
        <v>0.90054545454545454</v>
      </c>
      <c r="AH39" s="20">
        <f>AE39/data2018!E38</f>
        <v>0.39264820107286924</v>
      </c>
      <c r="AI39" s="20">
        <f>AE39/data2018!H38</f>
        <v>0.98376029685942945</v>
      </c>
      <c r="AJ39" s="30">
        <f>AF39/data2018!AK38</f>
        <v>1.0674691496411948</v>
      </c>
      <c r="AK39" s="30">
        <f>AF39/data2018!C38</f>
        <v>0.46838142482250711</v>
      </c>
      <c r="AL39" s="30">
        <f>AF39/data2018!H38</f>
        <v>1.175326814326507</v>
      </c>
      <c r="AM39" s="8">
        <v>61.278766556500685</v>
      </c>
      <c r="AN39" s="30">
        <f>AM39/data2018!BY38</f>
        <v>0.7321151068266889</v>
      </c>
    </row>
    <row r="40" spans="1:40" x14ac:dyDescent="0.25">
      <c r="A40" s="15">
        <v>1997</v>
      </c>
      <c r="B40" s="28">
        <v>6896.65</v>
      </c>
      <c r="C40" s="28">
        <v>10126.337</v>
      </c>
      <c r="D40" s="28">
        <v>6666.567</v>
      </c>
      <c r="E40" s="28">
        <v>1339.711</v>
      </c>
      <c r="F40" s="28">
        <f t="shared" si="0"/>
        <v>23689.553999999996</v>
      </c>
      <c r="G40" s="28">
        <f t="shared" si="1"/>
        <v>25029.264999999999</v>
      </c>
      <c r="H40" s="30">
        <v>0.97990944885354936</v>
      </c>
      <c r="I40" s="30">
        <v>0.94736321638969223</v>
      </c>
      <c r="J40" s="30">
        <v>0.67608890169916525</v>
      </c>
      <c r="K40" s="30">
        <v>0.78966197406527883</v>
      </c>
      <c r="L40" s="28">
        <f t="shared" si="7"/>
        <v>7038.0482687137819</v>
      </c>
      <c r="M40" s="28">
        <f t="shared" si="14"/>
        <v>10688.97000095747</v>
      </c>
      <c r="N40" s="28">
        <f t="shared" si="8"/>
        <v>9860.4887363857033</v>
      </c>
      <c r="O40" s="28">
        <f t="shared" si="9"/>
        <v>31696.176113364312</v>
      </c>
      <c r="P40" s="28">
        <f t="shared" si="2"/>
        <v>37215.677792046132</v>
      </c>
      <c r="Q40" s="28">
        <f t="shared" si="3"/>
        <v>27587.507006056952</v>
      </c>
      <c r="R40" s="5">
        <v>27873</v>
      </c>
      <c r="S40" s="18">
        <f t="shared" si="4"/>
        <v>285.49299394304762</v>
      </c>
      <c r="T40" s="32">
        <v>62.429000000000002</v>
      </c>
      <c r="U40" s="32">
        <v>68.081999999999994</v>
      </c>
      <c r="V40" s="32">
        <v>58.198</v>
      </c>
      <c r="W40" s="32">
        <v>81.668000000000006</v>
      </c>
      <c r="X40" s="158">
        <v>64.381</v>
      </c>
      <c r="Y40" s="16">
        <v>84.346999999999994</v>
      </c>
      <c r="Z40" s="30">
        <f t="shared" si="10"/>
        <v>0.74014487770756521</v>
      </c>
      <c r="AA40" s="30">
        <f t="shared" si="15"/>
        <v>0.80716563718923018</v>
      </c>
      <c r="AB40" s="30">
        <f t="shared" si="13"/>
        <v>0.68998304622571049</v>
      </c>
      <c r="AC40" s="30">
        <f t="shared" si="11"/>
        <v>0.96823834872609593</v>
      </c>
      <c r="AD40" s="30">
        <f t="shared" si="6"/>
        <v>0.76328737240210087</v>
      </c>
      <c r="AE40" s="28">
        <f t="shared" si="12"/>
        <v>23689.553999999996</v>
      </c>
      <c r="AF40" s="18">
        <f>100*AE40/data2018!BY39</f>
        <v>28085.828778735457</v>
      </c>
      <c r="AG40" s="20">
        <f>AE40/data2018!AN39</f>
        <v>0.91837774762550872</v>
      </c>
      <c r="AH40" s="20">
        <f>AE40/data2018!E39</f>
        <v>0.40698463376448629</v>
      </c>
      <c r="AI40" s="20">
        <f>AE40/data2018!H39</f>
        <v>1.0120439540636419</v>
      </c>
      <c r="AJ40" s="30">
        <f>AF40/data2018!AK39</f>
        <v>1.0764978451029306</v>
      </c>
      <c r="AK40" s="30">
        <f>AF40/data2018!C39</f>
        <v>0.48175521167487434</v>
      </c>
      <c r="AL40" s="30">
        <f>AF40/data2018!H39</f>
        <v>1.1998576761042381</v>
      </c>
      <c r="AM40" s="8">
        <v>63.654769724664291</v>
      </c>
      <c r="AN40" s="30">
        <f>AM40/data2018!BY39</f>
        <v>0.75467734151379773</v>
      </c>
    </row>
    <row r="41" spans="1:40" x14ac:dyDescent="0.25">
      <c r="A41" s="15">
        <v>1998</v>
      </c>
      <c r="B41" s="28">
        <v>5921.45</v>
      </c>
      <c r="C41" s="28">
        <v>10564.504999999999</v>
      </c>
      <c r="D41" s="28">
        <v>6802.8710000000001</v>
      </c>
      <c r="E41" s="28">
        <v>1361.711</v>
      </c>
      <c r="F41" s="28">
        <f t="shared" si="0"/>
        <v>23288.826000000001</v>
      </c>
      <c r="G41" s="28">
        <f t="shared" si="1"/>
        <v>24650.537</v>
      </c>
      <c r="H41" s="30">
        <v>0.95830954939681823</v>
      </c>
      <c r="I41" s="30">
        <v>0.92477149162724592</v>
      </c>
      <c r="J41" s="30">
        <v>0.64231175554015829</v>
      </c>
      <c r="K41" s="30">
        <v>0.75623456642109599</v>
      </c>
      <c r="L41" s="28">
        <f t="shared" si="7"/>
        <v>6179.0576998080578</v>
      </c>
      <c r="M41" s="28">
        <f t="shared" si="14"/>
        <v>11423.908604070926</v>
      </c>
      <c r="N41" s="28">
        <f t="shared" si="8"/>
        <v>10591.22916764782</v>
      </c>
      <c r="O41" s="28">
        <f t="shared" si="9"/>
        <v>32596.416633875182</v>
      </c>
      <c r="P41" s="28">
        <f t="shared" si="2"/>
        <v>37672.554438081293</v>
      </c>
      <c r="Q41" s="28">
        <f t="shared" si="3"/>
        <v>28194.195471526804</v>
      </c>
      <c r="R41" s="5">
        <v>28492</v>
      </c>
      <c r="S41" s="18">
        <f t="shared" si="4"/>
        <v>297.80452847319611</v>
      </c>
      <c r="T41" s="32">
        <v>61.118000000000002</v>
      </c>
      <c r="U41" s="32">
        <v>66.379000000000005</v>
      </c>
      <c r="V41" s="32">
        <v>55.347999999999999</v>
      </c>
      <c r="W41" s="32">
        <v>80.930000000000007</v>
      </c>
      <c r="X41" s="158">
        <v>62.453000000000003</v>
      </c>
      <c r="Y41" s="16">
        <v>84.512</v>
      </c>
      <c r="Z41" s="30">
        <f t="shared" si="10"/>
        <v>0.72318723968193865</v>
      </c>
      <c r="AA41" s="30">
        <f t="shared" si="15"/>
        <v>0.78543875425975018</v>
      </c>
      <c r="AB41" s="30">
        <f t="shared" si="13"/>
        <v>0.65491291177584243</v>
      </c>
      <c r="AC41" s="30">
        <f t="shared" si="11"/>
        <v>0.95761548655812201</v>
      </c>
      <c r="AD41" s="30">
        <f t="shared" si="6"/>
        <v>0.73898381294964033</v>
      </c>
      <c r="AE41" s="28">
        <f t="shared" si="12"/>
        <v>23288.826000000001</v>
      </c>
      <c r="AF41" s="18">
        <f>100*AE41/data2018!BY40</f>
        <v>27556.827432790611</v>
      </c>
      <c r="AG41" s="20">
        <f>AE41/data2018!AN40</f>
        <v>0.88048491493383751</v>
      </c>
      <c r="AH41" s="20">
        <f>AE41/data2018!E40</f>
        <v>0.39879637563323783</v>
      </c>
      <c r="AI41" s="20">
        <f>AE41/data2018!H40</f>
        <v>0.98463764055369574</v>
      </c>
      <c r="AJ41" s="30">
        <f>AF41/data2018!AK40</f>
        <v>1.0278563011111754</v>
      </c>
      <c r="AK41" s="30">
        <f>AF41/data2018!C40</f>
        <v>0.47108415375759638</v>
      </c>
      <c r="AL41" s="30">
        <f>AF41/data2018!H40</f>
        <v>1.1650861895987503</v>
      </c>
      <c r="AM41" s="8">
        <v>61.819078497258729</v>
      </c>
      <c r="AN41" s="30">
        <f>AM41/data2018!BY40</f>
        <v>0.73148284855711299</v>
      </c>
    </row>
    <row r="42" spans="1:40" x14ac:dyDescent="0.25">
      <c r="A42" s="15">
        <v>1999</v>
      </c>
      <c r="B42" s="28">
        <v>5206.57</v>
      </c>
      <c r="C42" s="28">
        <v>11695.617</v>
      </c>
      <c r="D42" s="28">
        <v>7680.857</v>
      </c>
      <c r="E42" s="28">
        <v>1361.231</v>
      </c>
      <c r="F42" s="28">
        <f t="shared" si="0"/>
        <v>24583.044000000002</v>
      </c>
      <c r="G42" s="28">
        <f t="shared" si="1"/>
        <v>25944.275000000001</v>
      </c>
      <c r="H42" s="30">
        <v>0.99988171352295518</v>
      </c>
      <c r="I42" s="30">
        <v>0.95933142975327135</v>
      </c>
      <c r="J42" s="30">
        <v>0.69085056837903513</v>
      </c>
      <c r="K42" s="30">
        <v>0.79733248519816213</v>
      </c>
      <c r="L42" s="28">
        <f t="shared" si="7"/>
        <v>5207.1859396801219</v>
      </c>
      <c r="M42" s="28">
        <f t="shared" si="14"/>
        <v>12191.42481655998</v>
      </c>
      <c r="N42" s="28">
        <f t="shared" si="8"/>
        <v>11117.97160132884</v>
      </c>
      <c r="O42" s="28">
        <f t="shared" si="9"/>
        <v>32538.841050169973</v>
      </c>
      <c r="P42" s="28">
        <f t="shared" si="2"/>
        <v>38142.474362395806</v>
      </c>
      <c r="Q42" s="28">
        <f t="shared" si="3"/>
        <v>28516.582357568943</v>
      </c>
      <c r="R42" s="5">
        <v>28773</v>
      </c>
      <c r="S42" s="18">
        <f t="shared" si="4"/>
        <v>256.41764243105717</v>
      </c>
      <c r="T42" s="32">
        <v>63.597000000000001</v>
      </c>
      <c r="U42" s="32">
        <v>68.55</v>
      </c>
      <c r="V42" s="32">
        <v>58.786999999999999</v>
      </c>
      <c r="W42" s="32">
        <v>80.66</v>
      </c>
      <c r="X42" s="158">
        <v>65.004999999999995</v>
      </c>
      <c r="Y42" s="16">
        <v>84.08</v>
      </c>
      <c r="Z42" s="30">
        <f t="shared" si="10"/>
        <v>0.75638677450047576</v>
      </c>
      <c r="AA42" s="30">
        <f t="shared" si="15"/>
        <v>0.81529495718363465</v>
      </c>
      <c r="AB42" s="30">
        <f t="shared" si="13"/>
        <v>0.69917935299714562</v>
      </c>
      <c r="AC42" s="30">
        <f t="shared" si="11"/>
        <v>0.95932445290199808</v>
      </c>
      <c r="AD42" s="30">
        <f t="shared" si="6"/>
        <v>0.77313273073263555</v>
      </c>
      <c r="AE42" s="28">
        <f t="shared" si="12"/>
        <v>24583.044000000002</v>
      </c>
      <c r="AF42" s="18">
        <f>100*AE42/data2018!BY41</f>
        <v>29237.683158896296</v>
      </c>
      <c r="AG42" s="20">
        <f>AE42/data2018!AN41</f>
        <v>0.90560291761065381</v>
      </c>
      <c r="AH42" s="20">
        <f>AE42/data2018!E41</f>
        <v>0.4189524705552975</v>
      </c>
      <c r="AI42" s="20">
        <f>AE42/data2018!H41</f>
        <v>1.0271987949798376</v>
      </c>
      <c r="AJ42" s="30">
        <f>AF42/data2018!AK41</f>
        <v>1.0639235529600923</v>
      </c>
      <c r="AK42" s="30">
        <f>AF42/data2018!C41</f>
        <v>0.49674784740940076</v>
      </c>
      <c r="AL42" s="30">
        <f>AF42/data2018!H41</f>
        <v>1.2216921919360582</v>
      </c>
      <c r="AM42" s="8">
        <v>64.450574879945705</v>
      </c>
      <c r="AN42" s="30">
        <f>AM42/data2018!BY41</f>
        <v>0.7665387117024941</v>
      </c>
    </row>
    <row r="43" spans="1:40" x14ac:dyDescent="0.25">
      <c r="A43" s="15">
        <v>2000</v>
      </c>
      <c r="B43" s="28">
        <v>4255.88</v>
      </c>
      <c r="C43" s="28">
        <v>14302.936</v>
      </c>
      <c r="D43" s="28">
        <v>9851.1419999999998</v>
      </c>
      <c r="E43" s="28">
        <v>1370.681</v>
      </c>
      <c r="F43" s="28">
        <f t="shared" si="0"/>
        <v>28409.958000000002</v>
      </c>
      <c r="G43" s="28">
        <f t="shared" si="1"/>
        <v>29780.638999999999</v>
      </c>
      <c r="H43" s="30">
        <v>1.167422327033899</v>
      </c>
      <c r="I43" s="30">
        <v>1.0993169106514891</v>
      </c>
      <c r="J43" s="30">
        <v>0.84585391755183814</v>
      </c>
      <c r="K43" s="30">
        <v>0.94300485534447964</v>
      </c>
      <c r="L43" s="28">
        <f t="shared" si="7"/>
        <v>3645.5358968617875</v>
      </c>
      <c r="M43" s="28">
        <f t="shared" si="14"/>
        <v>13010.748639829109</v>
      </c>
      <c r="N43" s="28">
        <f t="shared" si="8"/>
        <v>11646.386918100752</v>
      </c>
      <c r="O43" s="28">
        <f t="shared" si="9"/>
        <v>31580.578648368817</v>
      </c>
      <c r="P43" s="28">
        <f t="shared" si="2"/>
        <v>37268.739704708176</v>
      </c>
      <c r="Q43" s="28">
        <f t="shared" si="3"/>
        <v>28302.671454791649</v>
      </c>
      <c r="R43" s="5">
        <v>28354</v>
      </c>
      <c r="S43" s="18">
        <f t="shared" si="4"/>
        <v>51.328545208350988</v>
      </c>
      <c r="T43" s="32">
        <v>74.37</v>
      </c>
      <c r="U43" s="32">
        <v>79.161000000000001</v>
      </c>
      <c r="V43" s="32">
        <v>72.778000000000006</v>
      </c>
      <c r="W43" s="32">
        <v>81.245000000000005</v>
      </c>
      <c r="X43" s="158">
        <v>76.385999999999996</v>
      </c>
      <c r="Y43" s="16">
        <v>85.995999999999995</v>
      </c>
      <c r="Z43" s="30">
        <f t="shared" si="10"/>
        <v>0.86480766547281274</v>
      </c>
      <c r="AA43" s="30">
        <f t="shared" si="15"/>
        <v>0.9205195590492582</v>
      </c>
      <c r="AB43" s="30">
        <f t="shared" si="13"/>
        <v>0.84629517651983821</v>
      </c>
      <c r="AC43" s="30">
        <f t="shared" si="11"/>
        <v>0.94475324433694596</v>
      </c>
      <c r="AD43" s="30">
        <f t="shared" si="6"/>
        <v>0.88825061630773527</v>
      </c>
      <c r="AE43" s="28">
        <f t="shared" si="12"/>
        <v>28409.958000000002</v>
      </c>
      <c r="AF43" s="18">
        <f>100*AE43/data2018!BY42</f>
        <v>33036.371459137641</v>
      </c>
      <c r="AG43" s="20">
        <f>AE43/data2018!AN42</f>
        <v>1.0230265209484886</v>
      </c>
      <c r="AH43" s="20">
        <f>AE43/data2018!E42</f>
        <v>0.48101609848637167</v>
      </c>
      <c r="AI43" s="20">
        <f>AE43/data2018!H42</f>
        <v>1.1712401948097679</v>
      </c>
      <c r="AJ43" s="30">
        <f>AF43/data2018!AK42</f>
        <v>1.1773475217083977</v>
      </c>
      <c r="AK43" s="30">
        <f>AF43/data2018!C42</f>
        <v>0.55741998135369875</v>
      </c>
      <c r="AL43" s="30">
        <f>AF43/data2018!H42</f>
        <v>1.361970550734648</v>
      </c>
      <c r="AM43" s="8">
        <v>76.22999389059288</v>
      </c>
      <c r="AN43" s="30">
        <f>AM43/data2018!BY42</f>
        <v>0.88643650740258717</v>
      </c>
    </row>
    <row r="44" spans="1:40" x14ac:dyDescent="0.25">
      <c r="A44" s="15">
        <v>2001</v>
      </c>
      <c r="B44" s="28">
        <v>2983.91</v>
      </c>
      <c r="C44" s="28">
        <v>14358.428</v>
      </c>
      <c r="D44" s="28">
        <v>10021.108</v>
      </c>
      <c r="E44" s="28">
        <v>1355.3710000000001</v>
      </c>
      <c r="F44" s="28">
        <f t="shared" si="0"/>
        <v>27363.446</v>
      </c>
      <c r="G44" s="28">
        <f t="shared" si="1"/>
        <v>28718.816999999999</v>
      </c>
      <c r="H44" s="30">
        <v>1.1224348926774805</v>
      </c>
      <c r="I44" s="30">
        <v>1.0434835036882253</v>
      </c>
      <c r="J44" s="30">
        <v>0.79615866266010504</v>
      </c>
      <c r="K44" s="30">
        <v>0.88630689249327799</v>
      </c>
      <c r="L44" s="28">
        <f t="shared" si="7"/>
        <v>2658.4259091252197</v>
      </c>
      <c r="M44" s="28">
        <f t="shared" si="14"/>
        <v>13760.09103090723</v>
      </c>
      <c r="N44" s="28">
        <f t="shared" si="8"/>
        <v>12586.82279046959</v>
      </c>
      <c r="O44" s="28">
        <f t="shared" si="9"/>
        <v>32402.791000768182</v>
      </c>
      <c r="P44" s="28">
        <f t="shared" si="2"/>
        <v>37746.537482699372</v>
      </c>
      <c r="Q44" s="28">
        <f t="shared" si="3"/>
        <v>29005.339730502041</v>
      </c>
      <c r="R44" s="5">
        <v>29115</v>
      </c>
      <c r="S44" s="18">
        <f t="shared" si="4"/>
        <v>109.66026949795923</v>
      </c>
      <c r="T44" s="32">
        <v>71.331000000000003</v>
      </c>
      <c r="U44" s="32">
        <v>75.397000000000006</v>
      </c>
      <c r="V44" s="32">
        <v>68.677000000000007</v>
      </c>
      <c r="W44" s="32">
        <v>82.397000000000006</v>
      </c>
      <c r="X44" s="158">
        <v>72.778999999999996</v>
      </c>
      <c r="Y44" s="16">
        <v>87.646000000000001</v>
      </c>
      <c r="Z44" s="30">
        <f t="shared" si="10"/>
        <v>0.81385345594779002</v>
      </c>
      <c r="AA44" s="30">
        <f t="shared" si="15"/>
        <v>0.86024462040481031</v>
      </c>
      <c r="AB44" s="30">
        <f t="shared" si="13"/>
        <v>0.78357255322547525</v>
      </c>
      <c r="AC44" s="30">
        <f t="shared" si="11"/>
        <v>0.94011135704995097</v>
      </c>
      <c r="AD44" s="30">
        <f t="shared" si="6"/>
        <v>0.8303744608995276</v>
      </c>
      <c r="AE44" s="28">
        <f t="shared" si="12"/>
        <v>27363.446</v>
      </c>
      <c r="AF44" s="18">
        <f>100*AE44/data2018!BY43</f>
        <v>31220.41621979326</v>
      </c>
      <c r="AG44" s="20">
        <f>AE44/data2018!AN43</f>
        <v>0.9641806201550388</v>
      </c>
      <c r="AH44" s="20">
        <f>AE44/data2018!E43</f>
        <v>0.46007360368327277</v>
      </c>
      <c r="AI44" s="20">
        <f>AE44/data2018!H43</f>
        <v>1.1127532259899504</v>
      </c>
      <c r="AJ44" s="30">
        <f>AF44/data2018!AK43</f>
        <v>1.0878193804806013</v>
      </c>
      <c r="AK44" s="30">
        <f>AF44/data2018!C43</f>
        <v>0.52307859549528213</v>
      </c>
      <c r="AL44" s="30">
        <f>AF44/data2018!H43</f>
        <v>1.2695995550167154</v>
      </c>
      <c r="AM44" s="8">
        <v>72.492598857687739</v>
      </c>
      <c r="AN44" s="30">
        <f>AM44/data2018!BY43</f>
        <v>0.82710675738411032</v>
      </c>
    </row>
    <row r="45" spans="1:40" x14ac:dyDescent="0.25">
      <c r="A45" s="15">
        <v>2002</v>
      </c>
      <c r="B45" s="28">
        <v>2133.11</v>
      </c>
      <c r="C45" s="28">
        <v>14162.661</v>
      </c>
      <c r="D45" s="28">
        <v>10217.313</v>
      </c>
      <c r="E45" s="28">
        <v>1371.3009999999999</v>
      </c>
      <c r="F45" s="28">
        <f t="shared" si="0"/>
        <v>26513.084000000003</v>
      </c>
      <c r="G45" s="28">
        <f t="shared" si="1"/>
        <v>27884.385000000002</v>
      </c>
      <c r="H45" s="30">
        <v>1.0946141977157808</v>
      </c>
      <c r="I45" s="30">
        <v>1.0229007899098432</v>
      </c>
      <c r="J45" s="30">
        <v>0.77267199519744911</v>
      </c>
      <c r="K45" s="30">
        <v>0.85865655868060065</v>
      </c>
      <c r="L45" s="28">
        <f t="shared" si="7"/>
        <v>1948.7322606004304</v>
      </c>
      <c r="M45" s="28">
        <f t="shared" si="14"/>
        <v>13845.586140615136</v>
      </c>
      <c r="N45" s="28">
        <f t="shared" si="8"/>
        <v>13223.350999526081</v>
      </c>
      <c r="O45" s="28">
        <f t="shared" si="9"/>
        <v>32474.433134065555</v>
      </c>
      <c r="P45" s="28">
        <f t="shared" si="2"/>
        <v>37612.179668666176</v>
      </c>
      <c r="Q45" s="28">
        <f t="shared" si="3"/>
        <v>29017.669400741648</v>
      </c>
      <c r="R45" s="5">
        <v>29026</v>
      </c>
      <c r="S45" s="18">
        <f t="shared" si="4"/>
        <v>8.3305992583518673</v>
      </c>
      <c r="T45" s="32">
        <v>69.662000000000006</v>
      </c>
      <c r="U45" s="32">
        <v>73.632999999999996</v>
      </c>
      <c r="V45" s="32">
        <v>66.308000000000007</v>
      </c>
      <c r="W45" s="32">
        <v>82.869</v>
      </c>
      <c r="X45" s="158">
        <v>70.879000000000005</v>
      </c>
      <c r="Y45" s="16">
        <v>88.563000000000002</v>
      </c>
      <c r="Z45" s="30">
        <f t="shared" si="10"/>
        <v>0.78658130370470747</v>
      </c>
      <c r="AA45" s="30">
        <f t="shared" si="15"/>
        <v>0.83141944152750014</v>
      </c>
      <c r="AB45" s="30">
        <f t="shared" si="13"/>
        <v>0.74870995788308892</v>
      </c>
      <c r="AC45" s="30">
        <f t="shared" si="11"/>
        <v>0.93570678500050808</v>
      </c>
      <c r="AD45" s="30">
        <f t="shared" si="6"/>
        <v>0.80032293395661847</v>
      </c>
      <c r="AE45" s="28">
        <f t="shared" si="12"/>
        <v>26513.084000000003</v>
      </c>
      <c r="AF45" s="18">
        <f>100*AE45/data2018!BY44</f>
        <v>29936.975938032818</v>
      </c>
      <c r="AG45" s="20">
        <f>AE45/data2018!AN44</f>
        <v>0.91645641202903572</v>
      </c>
      <c r="AH45" s="20">
        <f>AE45/data2018!E44</f>
        <v>0.44266773878528809</v>
      </c>
      <c r="AI45" s="20">
        <f>AE45/data2018!H44</f>
        <v>1.063584702272325</v>
      </c>
      <c r="AJ45" s="30">
        <f>AF45/data2018!AK44</f>
        <v>1.0266452653646372</v>
      </c>
      <c r="AK45" s="30">
        <f>AF45/data2018!C44</f>
        <v>0.49810414190195634</v>
      </c>
      <c r="AL45" s="30">
        <f>AF45/data2018!H44</f>
        <v>1.20093572064217</v>
      </c>
      <c r="AM45" s="8">
        <v>70.490687414447905</v>
      </c>
      <c r="AN45" s="30">
        <f>AM45/data2018!BY44</f>
        <v>0.7959383423602171</v>
      </c>
    </row>
    <row r="46" spans="1:40" x14ac:dyDescent="0.25">
      <c r="A46" s="15">
        <v>2003</v>
      </c>
      <c r="B46" s="28">
        <v>1536.87</v>
      </c>
      <c r="C46" s="28">
        <v>14034.129000000001</v>
      </c>
      <c r="D46" s="28">
        <v>11444.118</v>
      </c>
      <c r="E46" s="28">
        <v>1360.481</v>
      </c>
      <c r="F46" s="28">
        <f t="shared" si="0"/>
        <v>27015.117000000002</v>
      </c>
      <c r="G46" s="28">
        <f t="shared" si="1"/>
        <v>28375.598000000002</v>
      </c>
      <c r="H46" s="30">
        <v>1.0970332058464338</v>
      </c>
      <c r="I46" s="30">
        <v>1.0240169260160477</v>
      </c>
      <c r="J46" s="30">
        <v>0.79335990507055032</v>
      </c>
      <c r="K46" s="30">
        <v>0.8673643608890228</v>
      </c>
      <c r="L46" s="28">
        <f t="shared" si="7"/>
        <v>1400.9329816176373</v>
      </c>
      <c r="M46" s="28">
        <f t="shared" si="14"/>
        <v>13704.97756770484</v>
      </c>
      <c r="N46" s="28">
        <f t="shared" si="8"/>
        <v>14424.87567982443</v>
      </c>
      <c r="O46" s="28">
        <f t="shared" si="9"/>
        <v>32714.738210958832</v>
      </c>
      <c r="P46" s="28">
        <f t="shared" si="2"/>
        <v>37523.177073903062</v>
      </c>
      <c r="Q46" s="28">
        <f t="shared" si="3"/>
        <v>29530.786229146906</v>
      </c>
      <c r="R46" s="5">
        <v>28762</v>
      </c>
      <c r="S46" s="18">
        <f t="shared" si="4"/>
        <v>-768.78622914690641</v>
      </c>
      <c r="T46" s="32">
        <v>70.638000000000005</v>
      </c>
      <c r="U46" s="32">
        <v>74.828000000000003</v>
      </c>
      <c r="V46" s="32">
        <v>68.704999999999998</v>
      </c>
      <c r="W46" s="32">
        <v>82.545000000000002</v>
      </c>
      <c r="X46" s="158">
        <v>72.512</v>
      </c>
      <c r="Y46" s="16">
        <v>90.028000000000006</v>
      </c>
      <c r="Z46" s="30">
        <f t="shared" si="10"/>
        <v>0.78462256186964052</v>
      </c>
      <c r="AA46" s="30">
        <f t="shared" si="15"/>
        <v>0.83116363797929527</v>
      </c>
      <c r="AB46" s="30">
        <f t="shared" si="13"/>
        <v>0.76315146398898115</v>
      </c>
      <c r="AC46" s="30">
        <f t="shared" si="11"/>
        <v>0.91688141467099116</v>
      </c>
      <c r="AD46" s="30">
        <f t="shared" si="6"/>
        <v>0.80543830808193007</v>
      </c>
      <c r="AE46" s="28">
        <f t="shared" si="12"/>
        <v>27015.117000000002</v>
      </c>
      <c r="AF46" s="18">
        <f>100*AE46/data2018!BY45</f>
        <v>30007.461012129559</v>
      </c>
      <c r="AG46" s="20">
        <f>AE46/data2018!AN45</f>
        <v>0.9201334128065396</v>
      </c>
      <c r="AH46" s="20">
        <f>AE46/data2018!E45</f>
        <v>0.44798491487187564</v>
      </c>
      <c r="AI46" s="20">
        <f>AE46/data2018!H45</f>
        <v>1.0695620564744104</v>
      </c>
      <c r="AJ46" s="30">
        <f>AF46/data2018!AK45</f>
        <v>1.0151373820070893</v>
      </c>
      <c r="AK46" s="30">
        <f>AF46/data2018!C45</f>
        <v>0.49594665265000898</v>
      </c>
      <c r="AL46" s="30">
        <f>AF46/data2018!H45</f>
        <v>1.1880326748060719</v>
      </c>
      <c r="AM46" s="8">
        <v>71.995814604911757</v>
      </c>
      <c r="AN46" s="30">
        <f>AM46/data2018!BY45</f>
        <v>0.79970469859279059</v>
      </c>
    </row>
    <row r="47" spans="1:40" x14ac:dyDescent="0.25">
      <c r="A47" s="15">
        <v>2004</v>
      </c>
      <c r="B47" s="28">
        <v>1157.58</v>
      </c>
      <c r="C47" s="28">
        <v>14386.07</v>
      </c>
      <c r="D47" s="28">
        <v>13053.413</v>
      </c>
      <c r="E47" s="28">
        <v>1362.741</v>
      </c>
      <c r="F47" s="28">
        <f t="shared" si="0"/>
        <v>28597.063000000002</v>
      </c>
      <c r="G47" s="28">
        <f t="shared" si="1"/>
        <v>29959.804000000004</v>
      </c>
      <c r="H47" s="30">
        <v>1.1351913505682725</v>
      </c>
      <c r="I47" s="30">
        <v>1.0680388368580704</v>
      </c>
      <c r="J47" s="30">
        <v>0.88594072010108171</v>
      </c>
      <c r="K47" s="30">
        <v>0.93918287158244529</v>
      </c>
      <c r="L47" s="28">
        <f t="shared" si="7"/>
        <v>1019.7223573105273</v>
      </c>
      <c r="M47" s="28">
        <f t="shared" si="14"/>
        <v>13469.613185903028</v>
      </c>
      <c r="N47" s="28">
        <f t="shared" si="8"/>
        <v>14733.957593134071</v>
      </c>
      <c r="O47" s="28">
        <f t="shared" si="9"/>
        <v>31899.862003999515</v>
      </c>
      <c r="P47" s="28">
        <f t="shared" si="2"/>
        <v>36867.748365282801</v>
      </c>
      <c r="Q47" s="28">
        <f t="shared" si="3"/>
        <v>29223.293136347627</v>
      </c>
      <c r="R47" s="5">
        <v>28247</v>
      </c>
      <c r="S47" s="18">
        <f t="shared" si="4"/>
        <v>-976.2931363476273</v>
      </c>
      <c r="T47" s="32">
        <v>74.06</v>
      </c>
      <c r="U47" s="32">
        <v>78.881</v>
      </c>
      <c r="V47" s="32">
        <v>76.429000000000002</v>
      </c>
      <c r="W47" s="32">
        <v>82.435000000000002</v>
      </c>
      <c r="X47" s="158">
        <v>78.007000000000005</v>
      </c>
      <c r="Y47" s="21">
        <v>91.915999999999997</v>
      </c>
      <c r="Z47" s="30">
        <f t="shared" si="10"/>
        <v>0.80573567170024807</v>
      </c>
      <c r="AA47" s="30">
        <f t="shared" si="15"/>
        <v>0.85818573480134042</v>
      </c>
      <c r="AB47" s="30">
        <f t="shared" si="13"/>
        <v>0.83150920405587714</v>
      </c>
      <c r="AC47" s="30">
        <f t="shared" si="11"/>
        <v>0.89685147308412039</v>
      </c>
      <c r="AD47" s="30">
        <f t="shared" si="6"/>
        <v>0.84867705296139961</v>
      </c>
      <c r="AE47" s="28">
        <f t="shared" si="12"/>
        <v>28597.063000000002</v>
      </c>
      <c r="AF47" s="18">
        <f>100*AE47/data2018!BY46</f>
        <v>31112.170895165156</v>
      </c>
      <c r="AG47" s="20">
        <f>AE47/data2018!AN46</f>
        <v>0.96189246552304075</v>
      </c>
      <c r="AH47" s="20">
        <f>AE47/data2018!E46</f>
        <v>0.47085490387913564</v>
      </c>
      <c r="AI47" s="20">
        <f>AE47/data2018!H46</f>
        <v>1.1178660170037193</v>
      </c>
      <c r="AJ47" s="30">
        <f>AF47/data2018!AK46</f>
        <v>1.0405408326142194</v>
      </c>
      <c r="AK47" s="30">
        <f>AF47/data2018!C46</f>
        <v>0.51034293201829151</v>
      </c>
      <c r="AL47" s="30">
        <f>AF47/data2018!H46</f>
        <v>1.2161821848249701</v>
      </c>
      <c r="AM47" s="8">
        <v>77.566611111322871</v>
      </c>
      <c r="AN47" s="30">
        <f>AM47/data2018!BY46</f>
        <v>0.84388584263156441</v>
      </c>
    </row>
    <row r="48" spans="1:40" x14ac:dyDescent="0.25">
      <c r="A48" s="15">
        <v>2005</v>
      </c>
      <c r="B48" s="28">
        <v>513.14</v>
      </c>
      <c r="C48" s="28">
        <v>15506.782999999999</v>
      </c>
      <c r="D48" s="28">
        <v>15357.459000000001</v>
      </c>
      <c r="E48" s="28">
        <v>1334.3610000000001</v>
      </c>
      <c r="F48" s="28">
        <f t="shared" ref="F48:F57" si="16">D48+C48+B48</f>
        <v>31377.381999999998</v>
      </c>
      <c r="G48" s="28">
        <f t="shared" si="1"/>
        <v>32711.742999999999</v>
      </c>
      <c r="H48" s="30">
        <v>1.232377894792781</v>
      </c>
      <c r="I48" s="30">
        <v>1.1735592736809548</v>
      </c>
      <c r="J48" s="30">
        <v>1.0267950625066951</v>
      </c>
      <c r="K48" s="30">
        <v>1.0696461681829992</v>
      </c>
      <c r="L48" s="28">
        <f t="shared" si="7"/>
        <v>416.38202224187268</v>
      </c>
      <c r="M48" s="28">
        <f t="shared" si="14"/>
        <v>13213.463817095353</v>
      </c>
      <c r="N48" s="28">
        <f t="shared" si="8"/>
        <v>14956.693463745463</v>
      </c>
      <c r="O48" s="28">
        <f t="shared" si="9"/>
        <v>30581.83535174741</v>
      </c>
      <c r="P48" s="28">
        <f t="shared" ref="P48:P54" si="17">100*F48/AM48</f>
        <v>35758.710268553659</v>
      </c>
      <c r="Q48" s="28">
        <f t="shared" ref="Q48:Q54" si="18">N48+M48+L48</f>
        <v>28586.539303082689</v>
      </c>
      <c r="R48" s="5">
        <v>27606</v>
      </c>
      <c r="S48" s="18">
        <f t="shared" ref="S48:S54" si="19">R48-Q48</f>
        <v>-980.539303082689</v>
      </c>
      <c r="T48" s="32">
        <v>81.302000000000007</v>
      </c>
      <c r="U48" s="32">
        <v>86.760999999999996</v>
      </c>
      <c r="V48" s="32">
        <v>88.959000000000003</v>
      </c>
      <c r="W48" s="32">
        <v>83.994</v>
      </c>
      <c r="X48" s="158">
        <v>87.78</v>
      </c>
      <c r="Y48" s="16">
        <v>93.584000000000003</v>
      </c>
      <c r="Z48" s="30">
        <f t="shared" si="10"/>
        <v>0.86875961702855198</v>
      </c>
      <c r="AA48" s="30">
        <f t="shared" si="15"/>
        <v>0.92709223798939977</v>
      </c>
      <c r="AB48" s="30">
        <f t="shared" si="13"/>
        <v>0.95057915883056932</v>
      </c>
      <c r="AC48" s="30">
        <f t="shared" si="11"/>
        <v>0.89752521798598051</v>
      </c>
      <c r="AD48" s="30">
        <f t="shared" ref="AD48:AD54" si="20">X48/Y48</f>
        <v>0.93798085142759446</v>
      </c>
      <c r="AE48" s="28">
        <f t="shared" si="12"/>
        <v>31377.381999999998</v>
      </c>
      <c r="AF48" s="18">
        <f>100*AE48/data2018!BY47</f>
        <v>33528.575397503846</v>
      </c>
      <c r="AG48" s="20">
        <f>AE48/data2018!AN47</f>
        <v>1.0459127333333333</v>
      </c>
      <c r="AH48" s="20">
        <f>AE48/data2018!E47</f>
        <v>0.5128573632435629</v>
      </c>
      <c r="AI48" s="20">
        <f>AE48/data2018!H47</f>
        <v>1.2117153256252506</v>
      </c>
      <c r="AJ48" s="30">
        <f>AF48/data2018!AK47</f>
        <v>1.1139061593855097</v>
      </c>
      <c r="AK48" s="30">
        <f>AF48/data2018!C47</f>
        <v>0.54607037782238965</v>
      </c>
      <c r="AL48" s="30">
        <f>AF48/data2018!H47</f>
        <v>1.2947889870333076</v>
      </c>
      <c r="AM48" s="8">
        <v>87.747521553072858</v>
      </c>
      <c r="AN48" s="30">
        <f>AM48/data2018!BY47</f>
        <v>0.9376338001482396</v>
      </c>
    </row>
    <row r="49" spans="1:40" x14ac:dyDescent="0.25">
      <c r="A49" s="15">
        <v>2006</v>
      </c>
      <c r="B49" s="28">
        <v>145.9</v>
      </c>
      <c r="C49" s="28">
        <v>15860.275</v>
      </c>
      <c r="D49" s="28">
        <v>16643.704000000002</v>
      </c>
      <c r="E49" s="28">
        <v>1337.8710000000001</v>
      </c>
      <c r="F49" s="28">
        <f t="shared" si="16"/>
        <v>32649.879000000001</v>
      </c>
      <c r="G49" s="28">
        <f t="shared" si="1"/>
        <v>33987.75</v>
      </c>
      <c r="H49" s="30">
        <v>1.238725793958172</v>
      </c>
      <c r="I49" s="30">
        <v>1.2378024016401445</v>
      </c>
      <c r="J49" s="30">
        <v>1.07</v>
      </c>
      <c r="K49" s="30">
        <v>1.1112752552168454</v>
      </c>
      <c r="L49" s="28">
        <f t="shared" si="7"/>
        <v>117.78232173062072</v>
      </c>
      <c r="M49" s="28">
        <f t="shared" ref="M49:M54" si="21">C49/H49</f>
        <v>12803.701252817824</v>
      </c>
      <c r="N49" s="28">
        <f t="shared" ref="N49:N54" si="22">D49/J49</f>
        <v>15554.86355140187</v>
      </c>
      <c r="O49" s="28">
        <f t="shared" ref="O49:O54" si="23">G49/K49</f>
        <v>30584.456767525073</v>
      </c>
      <c r="P49" s="28">
        <f t="shared" si="17"/>
        <v>35125.591688726156</v>
      </c>
      <c r="Q49" s="28">
        <f t="shared" si="18"/>
        <v>28476.347125950313</v>
      </c>
      <c r="R49" s="31">
        <f>15585+11533</f>
        <v>27118</v>
      </c>
      <c r="S49" s="18">
        <f t="shared" si="19"/>
        <v>-1358.3471259503131</v>
      </c>
      <c r="T49" s="32">
        <v>89.254999999999995</v>
      </c>
      <c r="U49" s="32">
        <v>92.206999999999994</v>
      </c>
      <c r="V49" s="32">
        <v>93.694000000000003</v>
      </c>
      <c r="W49" s="32">
        <v>87.088999999999999</v>
      </c>
      <c r="X49" s="158">
        <v>92.799000000000007</v>
      </c>
      <c r="Y49" s="32">
        <v>95.564999999999998</v>
      </c>
      <c r="Z49" s="30">
        <f t="shared" ref="Z49:AB50" si="24">T49/$Y49</f>
        <v>0.93397164233767593</v>
      </c>
      <c r="AA49" s="30">
        <f t="shared" si="24"/>
        <v>0.9648616125150421</v>
      </c>
      <c r="AB49" s="30">
        <f t="shared" si="24"/>
        <v>0.98042170250614769</v>
      </c>
      <c r="AC49" s="30">
        <f t="shared" ref="AC49:AC54" si="25">W49/Y49</f>
        <v>0.91130644064249466</v>
      </c>
      <c r="AD49" s="30">
        <f t="shared" si="20"/>
        <v>0.97105634908177685</v>
      </c>
      <c r="AE49" s="28">
        <f t="shared" si="12"/>
        <v>32649.879000000001</v>
      </c>
      <c r="AF49" s="18">
        <f>100*AE49/data2018!BY48</f>
        <v>34165.101239993724</v>
      </c>
      <c r="AG49" s="20">
        <f>AE49/data2018!AN48</f>
        <v>1.0793348429752065</v>
      </c>
      <c r="AH49" s="20">
        <f>AE49/data2018!E48</f>
        <v>0.53005213987184585</v>
      </c>
      <c r="AI49" s="20">
        <f>AE49/data2018!H48</f>
        <v>1.2461887864276562</v>
      </c>
      <c r="AJ49" s="30">
        <f>AF49/data2018!AK48</f>
        <v>1.1238520144734778</v>
      </c>
      <c r="AK49" s="30">
        <f>AF49/data2018!C48</f>
        <v>0.55287595526363575</v>
      </c>
      <c r="AL49" s="30">
        <f>AF49/data2018!H48</f>
        <v>1.3040221696517096</v>
      </c>
      <c r="AM49" s="8">
        <v>92.951826375864982</v>
      </c>
      <c r="AN49" s="30">
        <f>AM49/data2018!BY48</f>
        <v>0.97265553681645989</v>
      </c>
    </row>
    <row r="50" spans="1:40" x14ac:dyDescent="0.25">
      <c r="A50" s="15">
        <v>2007</v>
      </c>
      <c r="B50" s="28">
        <v>36.1</v>
      </c>
      <c r="C50" s="28">
        <v>15660.285</v>
      </c>
      <c r="D50" s="28">
        <v>17825.206999999999</v>
      </c>
      <c r="E50" s="28">
        <v>1371.761</v>
      </c>
      <c r="F50" s="28">
        <f t="shared" si="16"/>
        <v>33521.591999999997</v>
      </c>
      <c r="G50" s="28">
        <f t="shared" si="1"/>
        <v>34893.352999999996</v>
      </c>
      <c r="H50" s="30">
        <v>1.3772774003852783</v>
      </c>
      <c r="I50" s="30">
        <v>1.3771654983236818</v>
      </c>
      <c r="J50" s="30">
        <v>1.22</v>
      </c>
      <c r="K50" s="30">
        <v>1.2562258471310805</v>
      </c>
      <c r="L50" s="28">
        <f t="shared" si="7"/>
        <v>26.211132187242324</v>
      </c>
      <c r="M50" s="28">
        <f t="shared" si="21"/>
        <v>11370.465380190806</v>
      </c>
      <c r="N50" s="28">
        <f t="shared" si="22"/>
        <v>14610.825409836065</v>
      </c>
      <c r="O50" s="28">
        <f t="shared" si="23"/>
        <v>27776.337415511764</v>
      </c>
      <c r="P50" s="28">
        <f t="shared" si="17"/>
        <v>35389.079417025219</v>
      </c>
      <c r="Q50" s="28">
        <f t="shared" si="18"/>
        <v>26007.501922214113</v>
      </c>
      <c r="R50" s="27">
        <v>27145</v>
      </c>
      <c r="S50" s="18">
        <f t="shared" si="19"/>
        <v>1137.4980777858873</v>
      </c>
      <c r="T50" s="32">
        <v>94.74</v>
      </c>
      <c r="U50" s="32">
        <v>94.74</v>
      </c>
      <c r="V50" s="32">
        <v>94.707999999999998</v>
      </c>
      <c r="W50" s="32">
        <v>90.197999999999993</v>
      </c>
      <c r="X50" s="158">
        <v>94.584999999999994</v>
      </c>
      <c r="Y50" s="32">
        <v>97.594999999999999</v>
      </c>
      <c r="Z50" s="30">
        <f t="shared" si="24"/>
        <v>0.97074645217480404</v>
      </c>
      <c r="AA50" s="30">
        <f t="shared" si="24"/>
        <v>0.97074645217480404</v>
      </c>
      <c r="AB50" s="30">
        <f t="shared" si="24"/>
        <v>0.97041856652492442</v>
      </c>
      <c r="AC50" s="30">
        <f t="shared" si="25"/>
        <v>0.92420718274501756</v>
      </c>
      <c r="AD50" s="30">
        <f t="shared" si="20"/>
        <v>0.96915825605819961</v>
      </c>
      <c r="AE50" s="28">
        <f t="shared" si="12"/>
        <v>33521.591999999997</v>
      </c>
      <c r="AF50" s="18">
        <f>100*AE50/data2018!BY49</f>
        <v>34347.653055996721</v>
      </c>
      <c r="AG50" s="20">
        <f>AE50/data2018!AN49</f>
        <v>1.0972697872340424</v>
      </c>
      <c r="AH50" s="20">
        <f>AE50/data2018!E49</f>
        <v>0.54097577453820256</v>
      </c>
      <c r="AI50" s="20">
        <f>AE50/data2018!H49</f>
        <v>1.2657221658047739</v>
      </c>
      <c r="AJ50" s="30">
        <f>AF50/data2018!AK49</f>
        <v>1.1188160604559192</v>
      </c>
      <c r="AK50" s="30">
        <f>AF50/data2018!C49</f>
        <v>0.55279193900565782</v>
      </c>
      <c r="AL50" s="30">
        <f>AF50/data2018!H49</f>
        <v>1.2969129215684962</v>
      </c>
      <c r="AM50" s="8">
        <v>94.722983904105746</v>
      </c>
      <c r="AN50" s="30">
        <f>AM50/data2018!BY49</f>
        <v>0.97057209799790711</v>
      </c>
    </row>
    <row r="51" spans="1:40" x14ac:dyDescent="0.25">
      <c r="A51" s="15">
        <v>2008</v>
      </c>
      <c r="B51" s="49">
        <v>0</v>
      </c>
      <c r="C51" s="28">
        <v>15527.236999999999</v>
      </c>
      <c r="D51" s="28">
        <v>21251.388999999999</v>
      </c>
      <c r="E51" s="28">
        <v>1320.491</v>
      </c>
      <c r="F51" s="28">
        <f t="shared" si="16"/>
        <v>36778.625999999997</v>
      </c>
      <c r="G51" s="28">
        <f t="shared" ref="G51:G57" si="26">E51+D51+C51+B51</f>
        <v>38099.116999999998</v>
      </c>
      <c r="H51" s="30">
        <f>'calcul quantités_prix_2005_2009'!L12</f>
        <v>1.3616801538461536</v>
      </c>
      <c r="I51" s="30">
        <f>'calcul quantités_prix_2005_2009'!K12</f>
        <v>1.3616801538461536</v>
      </c>
      <c r="J51" s="31">
        <f>'calcul quantités_prix_2005_2009'!M12</f>
        <v>1.2670999999999999</v>
      </c>
      <c r="K51" s="30">
        <f>'calcul quantités_prix_2005_2009'!N12</f>
        <v>1.2876280463663032</v>
      </c>
      <c r="L51" s="28">
        <f t="shared" si="7"/>
        <v>0</v>
      </c>
      <c r="M51" s="28">
        <f t="shared" si="21"/>
        <v>11402.998682284026</v>
      </c>
      <c r="N51" s="28">
        <f t="shared" si="22"/>
        <v>16771.674690237553</v>
      </c>
      <c r="O51" s="28">
        <f t="shared" si="23"/>
        <v>29588.604494532421</v>
      </c>
      <c r="P51" s="28">
        <f t="shared" si="17"/>
        <v>34380.250124136641</v>
      </c>
      <c r="Q51" s="28">
        <f t="shared" si="18"/>
        <v>28174.673372521578</v>
      </c>
      <c r="R51" s="31">
        <f>data2018!O50</f>
        <v>26865</v>
      </c>
      <c r="S51" s="18">
        <f t="shared" si="19"/>
        <v>-1309.6733725215781</v>
      </c>
      <c r="T51" s="43"/>
      <c r="U51" s="32">
        <v>101.6</v>
      </c>
      <c r="V51" s="32">
        <v>110.904</v>
      </c>
      <c r="W51" s="32">
        <v>93.968000000000004</v>
      </c>
      <c r="X51" s="158">
        <v>106.319</v>
      </c>
      <c r="Y51" s="32">
        <v>100.32599999999999</v>
      </c>
      <c r="Z51" s="30">
        <f t="shared" ref="Z51:AB52" si="27">T51/$Y51</f>
        <v>0</v>
      </c>
      <c r="AA51" s="30">
        <f t="shared" si="27"/>
        <v>1.0126986025556686</v>
      </c>
      <c r="AB51" s="30">
        <f t="shared" si="27"/>
        <v>1.1054362777345852</v>
      </c>
      <c r="AC51" s="30">
        <f t="shared" si="25"/>
        <v>0.93662659729282549</v>
      </c>
      <c r="AD51" s="30">
        <f t="shared" si="20"/>
        <v>1.0597352630424817</v>
      </c>
      <c r="AE51" s="28">
        <f t="shared" si="12"/>
        <v>36778.625999999997</v>
      </c>
      <c r="AF51" s="18">
        <f>100*AE51/data2018!BY50</f>
        <v>36659.117277674777</v>
      </c>
      <c r="AG51" s="20">
        <f>AE51/data2018!AN50</f>
        <v>1.1950812672623883</v>
      </c>
      <c r="AH51" s="20">
        <f>AE51/data2018!E50</f>
        <v>0.59034440250376052</v>
      </c>
      <c r="AI51" s="20">
        <f>AE51/data2018!H50</f>
        <v>1.3753700616876947</v>
      </c>
      <c r="AJ51" s="30">
        <f>AF51/data2018!AK50</f>
        <v>1.1883020187252764</v>
      </c>
      <c r="AK51" s="30">
        <f>AF51/data2018!C50</f>
        <v>0.58686786501814581</v>
      </c>
      <c r="AL51" s="30">
        <f>AF51/data2018!H50</f>
        <v>1.37090092467326</v>
      </c>
      <c r="AM51" s="8">
        <v>106.97602800213363</v>
      </c>
      <c r="AN51" s="30">
        <f>AM51/data2018!BY50</f>
        <v>1.0662841935503622</v>
      </c>
    </row>
    <row r="52" spans="1:40" x14ac:dyDescent="0.25">
      <c r="A52" s="15">
        <v>2009</v>
      </c>
      <c r="B52" s="49">
        <v>0</v>
      </c>
      <c r="C52" s="28">
        <v>13229.526</v>
      </c>
      <c r="D52" s="28">
        <v>16748.609</v>
      </c>
      <c r="E52" s="28">
        <v>1298.5509999999999</v>
      </c>
      <c r="F52" s="28">
        <f t="shared" si="16"/>
        <v>29978.135000000002</v>
      </c>
      <c r="G52" s="28">
        <f t="shared" si="26"/>
        <v>31276.686000000002</v>
      </c>
      <c r="H52" s="30">
        <f>'calcul quantités_prix_2005_2009'!L13</f>
        <v>1.2082059574674109</v>
      </c>
      <c r="I52" s="30">
        <f>'calcul quantités_prix_2005_2009'!K13</f>
        <v>1.2162881442670892</v>
      </c>
      <c r="J52" s="30">
        <f>'calcul quantités_prix_2005_2009'!M13</f>
        <v>1.0024</v>
      </c>
      <c r="K52" s="30">
        <f>'calcul quantités_prix_2005_2009'!N13</f>
        <v>1.0437278655612512</v>
      </c>
      <c r="L52" s="28">
        <f t="shared" si="7"/>
        <v>0</v>
      </c>
      <c r="M52" s="28">
        <f t="shared" si="21"/>
        <v>10949.72750153555</v>
      </c>
      <c r="N52" s="28">
        <f t="shared" si="22"/>
        <v>16708.508579409419</v>
      </c>
      <c r="O52" s="28">
        <f t="shared" si="23"/>
        <v>29966.322670882575</v>
      </c>
      <c r="P52" s="28">
        <f t="shared" si="17"/>
        <v>33885.977245444978</v>
      </c>
      <c r="Q52" s="28">
        <f t="shared" si="18"/>
        <v>27658.236080944967</v>
      </c>
      <c r="R52" s="31">
        <f>data2018!O51</f>
        <v>26866</v>
      </c>
      <c r="S52" s="18">
        <f t="shared" si="19"/>
        <v>-792.2360809449674</v>
      </c>
      <c r="T52" s="43"/>
      <c r="U52" s="32">
        <v>89.97</v>
      </c>
      <c r="V52" s="32">
        <v>87.281000000000006</v>
      </c>
      <c r="W52" s="32">
        <v>98.093000000000004</v>
      </c>
      <c r="X52" s="158">
        <v>88.757000000000005</v>
      </c>
      <c r="Y52" s="32">
        <v>98.83</v>
      </c>
      <c r="Z52" s="30">
        <f t="shared" si="27"/>
        <v>0</v>
      </c>
      <c r="AA52" s="30">
        <f t="shared" si="27"/>
        <v>0.91035110796316909</v>
      </c>
      <c r="AB52" s="30">
        <f t="shared" si="27"/>
        <v>0.88314277041384204</v>
      </c>
      <c r="AC52" s="30">
        <f t="shared" si="25"/>
        <v>0.99254275017707183</v>
      </c>
      <c r="AD52" s="30">
        <f t="shared" si="20"/>
        <v>0.89807750682991005</v>
      </c>
      <c r="AE52" s="28">
        <f t="shared" si="12"/>
        <v>29978.135000000002</v>
      </c>
      <c r="AF52" s="18">
        <f>100*AE52/data2018!BY51</f>
        <v>30333.03146817768</v>
      </c>
      <c r="AG52" s="20">
        <f>AE52/data2018!AN51</f>
        <v>0.96859886914378035</v>
      </c>
      <c r="AH52" s="20">
        <f>AE52/data2018!E51</f>
        <v>0.47876561562931286</v>
      </c>
      <c r="AI52" s="20">
        <f>AE52/data2018!H51</f>
        <v>1.1108510379607992</v>
      </c>
      <c r="AJ52" s="30">
        <f>AF52/data2018!AK51</f>
        <v>0.97690922602826669</v>
      </c>
      <c r="AK52" s="30">
        <f>AF52/data2018!C51</f>
        <v>0.48327758938810123</v>
      </c>
      <c r="AL52" s="30">
        <f>AF52/data2018!H51</f>
        <v>1.1240018597195176</v>
      </c>
      <c r="AM52" s="8">
        <v>88.467671399471655</v>
      </c>
      <c r="AN52" s="30">
        <f>AM52/data2018!BY51</f>
        <v>0.89514996862766016</v>
      </c>
    </row>
    <row r="53" spans="1:40" x14ac:dyDescent="0.25">
      <c r="A53" s="15">
        <v>2010</v>
      </c>
      <c r="B53" s="49">
        <v>0</v>
      </c>
      <c r="C53" s="31">
        <v>13810.368</v>
      </c>
      <c r="D53" s="31">
        <v>19556.565999999999</v>
      </c>
      <c r="E53" s="31">
        <v>1297.2750000000001</v>
      </c>
      <c r="F53" s="28">
        <f t="shared" si="16"/>
        <v>33366.934000000001</v>
      </c>
      <c r="G53" s="28">
        <f t="shared" si="26"/>
        <v>34664.209000000003</v>
      </c>
      <c r="H53" s="30">
        <f>'calcul quantités_prix_2005_2009'!L14</f>
        <v>1.1873238603467349</v>
      </c>
      <c r="I53" s="30">
        <f>'calcul quantités_prix_2005_2009'!K14</f>
        <v>1.3596372771348222</v>
      </c>
      <c r="J53" s="30">
        <f>'calcul quantités_prix_2005_2009'!M14</f>
        <v>1.1662037036999999</v>
      </c>
      <c r="K53" s="30">
        <f>'calcul quantités_prix_2005_2009'!N14</f>
        <v>1.1703537674935094</v>
      </c>
      <c r="L53" s="28">
        <f>B53/H53</f>
        <v>0</v>
      </c>
      <c r="M53" s="28">
        <f t="shared" si="21"/>
        <v>11631.508858894616</v>
      </c>
      <c r="N53" s="28">
        <f t="shared" si="22"/>
        <v>16769.425391081444</v>
      </c>
      <c r="O53" s="28">
        <f t="shared" si="23"/>
        <v>29618.573428646861</v>
      </c>
      <c r="P53" s="28">
        <f t="shared" si="17"/>
        <v>33366.933999999994</v>
      </c>
      <c r="Q53" s="28">
        <f t="shared" si="18"/>
        <v>28400.934249976061</v>
      </c>
      <c r="R53" s="31">
        <f>data2018!O52</f>
        <v>27575</v>
      </c>
      <c r="S53" s="18">
        <f t="shared" si="19"/>
        <v>-825.93424997606053</v>
      </c>
      <c r="U53" s="31">
        <v>100</v>
      </c>
      <c r="V53" s="31">
        <v>100</v>
      </c>
      <c r="W53" s="31">
        <v>100</v>
      </c>
      <c r="X53" s="158">
        <v>100</v>
      </c>
      <c r="Y53" s="31">
        <v>100</v>
      </c>
      <c r="Z53" s="30">
        <f t="shared" ref="Z53:AB54" si="28">T53/$Y53</f>
        <v>0</v>
      </c>
      <c r="AA53" s="30">
        <f t="shared" si="28"/>
        <v>1</v>
      </c>
      <c r="AB53" s="30">
        <f t="shared" si="28"/>
        <v>1</v>
      </c>
      <c r="AC53" s="30">
        <f t="shared" si="25"/>
        <v>1</v>
      </c>
      <c r="AD53" s="30">
        <f t="shared" si="20"/>
        <v>1</v>
      </c>
      <c r="AE53" s="28">
        <f t="shared" si="12"/>
        <v>33366.934000000001</v>
      </c>
      <c r="AF53" s="18">
        <f>100*AE53/data2018!BY52</f>
        <v>33366.934000000001</v>
      </c>
      <c r="AG53" s="20">
        <f>AE53/data2018!AN52</f>
        <v>1.068169155662265</v>
      </c>
      <c r="AH53" s="20">
        <f>AE53/data2018!E52</f>
        <v>0.53032591044858624</v>
      </c>
      <c r="AI53" s="20">
        <f>AE53/data2018!H52</f>
        <v>1.2254950242125224</v>
      </c>
      <c r="AJ53" s="30">
        <f>AF53/data2018!AK52</f>
        <v>1.0617958313444711</v>
      </c>
      <c r="AK53" s="30">
        <f>AF53/data2018!C52</f>
        <v>0.52904315854056549</v>
      </c>
      <c r="AL53" s="30">
        <f>AF53/data2018!H52</f>
        <v>1.2254950242125224</v>
      </c>
      <c r="AM53" s="32">
        <v>100.00000000000001</v>
      </c>
      <c r="AN53" s="30">
        <f>AM53/data2018!BY52</f>
        <v>1.0000000000000002</v>
      </c>
    </row>
    <row r="54" spans="1:40" x14ac:dyDescent="0.25">
      <c r="A54" s="15">
        <v>2011</v>
      </c>
      <c r="B54" s="49">
        <v>0</v>
      </c>
      <c r="C54" s="31">
        <v>14558.566999999999</v>
      </c>
      <c r="D54" s="31">
        <v>22993.829000000002</v>
      </c>
      <c r="E54" s="31">
        <v>1386.952</v>
      </c>
      <c r="F54" s="28">
        <f t="shared" si="16"/>
        <v>37552.396000000001</v>
      </c>
      <c r="G54" s="28">
        <f t="shared" si="26"/>
        <v>38939.347999999998</v>
      </c>
      <c r="H54" s="30">
        <f>'calcul quantités_prix_2005_2009'!L15</f>
        <v>1.5</v>
      </c>
      <c r="I54" s="30">
        <f>'calcul quantités_prix_2005_2009'!K15</f>
        <v>0</v>
      </c>
      <c r="J54" s="30">
        <f>'calcul quantités_prix_2005_2009'!M15</f>
        <v>1.34</v>
      </c>
      <c r="K54" s="30">
        <f>'calcul quantités_prix_2005_2009'!N15</f>
        <v>1.369814307647125</v>
      </c>
      <c r="L54" s="28">
        <f>B54/H54</f>
        <v>0</v>
      </c>
      <c r="M54" s="28">
        <f t="shared" si="21"/>
        <v>9705.7113333333327</v>
      </c>
      <c r="N54" s="28">
        <f t="shared" si="22"/>
        <v>17159.573880597014</v>
      </c>
      <c r="O54" s="28">
        <f t="shared" si="23"/>
        <v>28426.734764425517</v>
      </c>
      <c r="P54" s="28">
        <f t="shared" si="17"/>
        <v>32817.957134721815</v>
      </c>
      <c r="Q54" s="28">
        <f t="shared" si="18"/>
        <v>26865.285213930347</v>
      </c>
      <c r="R54" s="31">
        <f>data2018!O53</f>
        <v>27063</v>
      </c>
      <c r="S54" s="18">
        <f t="shared" si="19"/>
        <v>197.7147860696532</v>
      </c>
      <c r="U54" s="31">
        <v>110.95699999999999</v>
      </c>
      <c r="V54" s="31">
        <v>116.623</v>
      </c>
      <c r="W54" s="31">
        <v>104.158</v>
      </c>
      <c r="X54" s="158">
        <v>113.961</v>
      </c>
      <c r="Y54" s="31">
        <v>101.81699999999999</v>
      </c>
      <c r="Z54" s="30">
        <f t="shared" si="28"/>
        <v>0</v>
      </c>
      <c r="AA54" s="30">
        <f t="shared" si="28"/>
        <v>1.0897688991032932</v>
      </c>
      <c r="AB54" s="30">
        <f t="shared" si="28"/>
        <v>1.1454177593132779</v>
      </c>
      <c r="AC54" s="30">
        <f t="shared" si="25"/>
        <v>1.0229922311598261</v>
      </c>
      <c r="AD54" s="30">
        <f t="shared" si="20"/>
        <v>1.1192728129880078</v>
      </c>
      <c r="AE54" s="28">
        <f t="shared" si="12"/>
        <v>37552.396000000001</v>
      </c>
      <c r="AF54" s="18">
        <f>100*AE54/data2018!BY53</f>
        <v>36882.245597493544</v>
      </c>
      <c r="AG54" s="20">
        <f>AE54/data2018!AN53</f>
        <v>1.1921395555555556</v>
      </c>
      <c r="AH54" s="20">
        <f>AE54/data2018!E53</f>
        <v>0.59396584234186656</v>
      </c>
      <c r="AI54" s="20">
        <f>AE54/data2018!H53</f>
        <v>1.3676572440277901</v>
      </c>
      <c r="AJ54" s="30">
        <f>AF54/data2018!AK53</f>
        <v>1.1680837877274282</v>
      </c>
      <c r="AK54" s="30">
        <f>AF54/data2018!C53</f>
        <v>0.58195945585580922</v>
      </c>
      <c r="AL54" s="30">
        <f>AF54/data2018!H53</f>
        <v>1.343250384540686</v>
      </c>
      <c r="AM54" s="32">
        <v>114.42636677792808</v>
      </c>
      <c r="AN54" s="30">
        <f>AM54/data2018!BY53</f>
        <v>1.1238434326087794</v>
      </c>
    </row>
    <row r="55" spans="1:40" x14ac:dyDescent="0.25">
      <c r="A55" s="15">
        <v>2012</v>
      </c>
      <c r="B55" s="49">
        <v>0</v>
      </c>
      <c r="C55" s="31">
        <v>14347.063</v>
      </c>
      <c r="D55" s="31">
        <v>24541.564999999999</v>
      </c>
      <c r="E55" s="31">
        <v>1324.451</v>
      </c>
      <c r="F55" s="49">
        <f t="shared" si="16"/>
        <v>38888.627999999997</v>
      </c>
      <c r="G55" s="49">
        <f t="shared" si="26"/>
        <v>40213.078999999998</v>
      </c>
      <c r="H55" s="30">
        <f>'calcul quantités_prix_2005_2009'!L16</f>
        <v>1.57</v>
      </c>
      <c r="I55" s="30">
        <f>'calcul quantités_prix_2005_2009'!K16</f>
        <v>0</v>
      </c>
      <c r="J55" s="30">
        <f>'calcul quantités_prix_2005_2009'!M16</f>
        <v>1.4</v>
      </c>
      <c r="K55" s="30">
        <f>'calcul quantités_prix_2005_2009'!N16</f>
        <v>1.1816566866267464</v>
      </c>
      <c r="L55" s="28">
        <f t="shared" ref="L55:L57" si="29">B55/H55</f>
        <v>0</v>
      </c>
      <c r="M55" s="28">
        <f t="shared" ref="M55:M57" si="30">C55/H55</f>
        <v>9138.2566878980888</v>
      </c>
      <c r="N55" s="28">
        <f t="shared" ref="N55:N57" si="31">D55/J55</f>
        <v>17529.689285714285</v>
      </c>
      <c r="O55" s="28">
        <f t="shared" ref="O55:O57" si="32">G55/K55</f>
        <v>34031.101804023579</v>
      </c>
      <c r="P55" s="28">
        <f t="shared" ref="P55:P57" si="33">100*F55/AM55</f>
        <v>32346.023262591701</v>
      </c>
      <c r="Q55" s="28">
        <f t="shared" ref="Q55:Q57" si="34">N55+M55+L55</f>
        <v>26667.945973612375</v>
      </c>
      <c r="R55" s="31">
        <f>data2018!O54</f>
        <v>26771.489490306682</v>
      </c>
      <c r="S55" s="18">
        <f t="shared" ref="S55:S57" si="35">R55-Q55</f>
        <v>103.54351669430616</v>
      </c>
      <c r="U55" s="31">
        <v>116.715</v>
      </c>
      <c r="V55" s="31">
        <v>122.28</v>
      </c>
      <c r="W55" s="31">
        <v>107.956</v>
      </c>
      <c r="X55" s="158">
        <v>119.581</v>
      </c>
      <c r="Y55" s="31">
        <v>103.25</v>
      </c>
      <c r="Z55" s="30">
        <f t="shared" ref="Z55:Z57" si="36">T55/$Y55</f>
        <v>0</v>
      </c>
      <c r="AA55" s="30">
        <f t="shared" ref="AA55:AA57" si="37">U55/$Y55</f>
        <v>1.130411622276029</v>
      </c>
      <c r="AB55" s="30">
        <f t="shared" ref="AB55:AB57" si="38">V55/$Y55</f>
        <v>1.1843099273607749</v>
      </c>
      <c r="AC55" s="30">
        <f t="shared" ref="AC55:AC57" si="39">W55/Y55</f>
        <v>1.0455786924939467</v>
      </c>
      <c r="AD55" s="30">
        <f t="shared" ref="AD55:AD57" si="40">X55/Y55</f>
        <v>1.1581694915254237</v>
      </c>
      <c r="AE55" s="49">
        <f t="shared" si="12"/>
        <v>38888.627999999997</v>
      </c>
      <c r="AF55" s="18">
        <f>100*AE55/data2018!BY54</f>
        <v>37664.530750605329</v>
      </c>
      <c r="AG55" s="20">
        <f>AE55/data2018!AN54</f>
        <v>1.2306527848101265</v>
      </c>
      <c r="AH55" s="20">
        <f>AE55/data2018!E54</f>
        <v>0.61206349354244727</v>
      </c>
      <c r="AI55" s="20">
        <f>AE55/data2018!H54</f>
        <v>1.4046133021847087</v>
      </c>
      <c r="AJ55" s="30">
        <f>AF55/data2018!AK54</f>
        <v>1.190973304366967</v>
      </c>
      <c r="AK55" s="30">
        <f>AF55/data2018!C54</f>
        <v>0.59129973587977136</v>
      </c>
      <c r="AL55" s="30">
        <f>AF55/data2018!H54</f>
        <v>1.3604002926728416</v>
      </c>
      <c r="AM55" s="31">
        <v>120.22692151147632</v>
      </c>
      <c r="AN55" s="30">
        <f>AM55/data2018!BY54</f>
        <v>1.1644253899416592</v>
      </c>
    </row>
    <row r="56" spans="1:40" x14ac:dyDescent="0.25">
      <c r="A56" s="15">
        <v>2013</v>
      </c>
      <c r="B56" s="49">
        <v>0</v>
      </c>
      <c r="C56" s="31">
        <v>13553.416999999999</v>
      </c>
      <c r="D56" s="31">
        <v>23532.192999999999</v>
      </c>
      <c r="E56" s="31">
        <v>1300.2739999999999</v>
      </c>
      <c r="F56" s="49">
        <f t="shared" si="16"/>
        <v>37085.61</v>
      </c>
      <c r="G56" s="49">
        <f t="shared" si="26"/>
        <v>38385.883999999998</v>
      </c>
      <c r="H56" s="30">
        <f>'calcul quantités_prix_2005_2009'!L17</f>
        <v>1.54</v>
      </c>
      <c r="I56" s="30">
        <f>'calcul quantités_prix_2005_2009'!K17</f>
        <v>0</v>
      </c>
      <c r="J56" s="30">
        <f>'calcul quantités_prix_2005_2009'!M17</f>
        <v>1.35</v>
      </c>
      <c r="K56" s="30">
        <f>'calcul quantités_prix_2005_2009'!N17</f>
        <v>1.1375298804780878</v>
      </c>
      <c r="L56" s="28">
        <f t="shared" si="29"/>
        <v>0</v>
      </c>
      <c r="M56" s="28">
        <f t="shared" si="30"/>
        <v>8800.92012987013</v>
      </c>
      <c r="N56" s="28">
        <f t="shared" si="31"/>
        <v>17431.254074074073</v>
      </c>
      <c r="O56" s="28">
        <f t="shared" si="32"/>
        <v>33744.945657046788</v>
      </c>
      <c r="P56" s="28">
        <f t="shared" si="33"/>
        <v>31647.213124249251</v>
      </c>
      <c r="Q56" s="28">
        <f t="shared" si="34"/>
        <v>26232.174203944203</v>
      </c>
      <c r="R56" s="31">
        <f>data2018!O55</f>
        <v>26226.293521562344</v>
      </c>
      <c r="S56" s="18">
        <f t="shared" si="35"/>
        <v>-5.8806823818595149</v>
      </c>
      <c r="U56" s="31">
        <v>114.843</v>
      </c>
      <c r="V56" s="31">
        <v>118.533</v>
      </c>
      <c r="W56" s="31">
        <v>109.717</v>
      </c>
      <c r="X56" s="158">
        <v>116.711</v>
      </c>
      <c r="Y56" s="31">
        <v>104.062</v>
      </c>
      <c r="Z56" s="30">
        <f t="shared" si="36"/>
        <v>0</v>
      </c>
      <c r="AA56" s="30">
        <f t="shared" si="37"/>
        <v>1.1036016989871424</v>
      </c>
      <c r="AB56" s="30">
        <f t="shared" si="38"/>
        <v>1.1390613288232017</v>
      </c>
      <c r="AC56" s="30">
        <f t="shared" si="39"/>
        <v>1.0543426034479446</v>
      </c>
      <c r="AD56" s="30">
        <f t="shared" si="40"/>
        <v>1.1215525359881608</v>
      </c>
      <c r="AE56" s="49">
        <f t="shared" si="12"/>
        <v>37085.61</v>
      </c>
      <c r="AF56" s="18">
        <f>100*AE56/data2018!BY55</f>
        <v>35687.035094641018</v>
      </c>
      <c r="AG56" s="20">
        <f>AE56/data2018!AN55</f>
        <v>1.1708164167324389</v>
      </c>
      <c r="AH56" s="20">
        <f>AE56/data2018!E55</f>
        <v>0.58070732527653857</v>
      </c>
      <c r="AI56" s="20">
        <f>AE56/data2018!H55</f>
        <v>1.3280421970547698</v>
      </c>
      <c r="AJ56" s="30">
        <f>AF56/data2018!AK55</f>
        <v>1.1248868430146892</v>
      </c>
      <c r="AK56" s="30">
        <f>AF56/data2018!C55</f>
        <v>0.55736644130742108</v>
      </c>
      <c r="AL56" s="30">
        <f>AF56/data2018!H55</f>
        <v>1.2779589844540169</v>
      </c>
      <c r="AM56" s="31">
        <v>117.18444165809865</v>
      </c>
      <c r="AN56" s="30">
        <f>AM56/data2018!BY55</f>
        <v>1.12765174470596</v>
      </c>
    </row>
    <row r="57" spans="1:40" x14ac:dyDescent="0.25">
      <c r="A57" s="15">
        <v>2014</v>
      </c>
      <c r="B57" s="49">
        <v>0</v>
      </c>
      <c r="C57" s="31">
        <v>13141.416999999999</v>
      </c>
      <c r="D57" s="31">
        <v>22643.51</v>
      </c>
      <c r="E57" s="31">
        <v>1174.921</v>
      </c>
      <c r="F57" s="49">
        <f t="shared" si="16"/>
        <v>35784.926999999996</v>
      </c>
      <c r="G57" s="49">
        <f t="shared" si="26"/>
        <v>36959.847999999998</v>
      </c>
      <c r="H57" s="30">
        <f>'calcul quantités_prix_2005_2009'!L18</f>
        <v>1.48</v>
      </c>
      <c r="I57" s="30">
        <f>'calcul quantités_prix_2005_2009'!K18</f>
        <v>0</v>
      </c>
      <c r="J57" s="30">
        <f>'calcul quantités_prix_2005_2009'!M18</f>
        <v>1.29</v>
      </c>
      <c r="K57" s="30">
        <f>'calcul quantités_prix_2005_2009'!N18</f>
        <v>1.0889682539682539</v>
      </c>
      <c r="L57" s="28">
        <f t="shared" si="29"/>
        <v>0</v>
      </c>
      <c r="M57" s="28">
        <f t="shared" si="30"/>
        <v>8879.3358108108114</v>
      </c>
      <c r="N57" s="28">
        <f t="shared" si="31"/>
        <v>17553.108527131782</v>
      </c>
      <c r="O57" s="28">
        <f t="shared" si="32"/>
        <v>33940.243772319802</v>
      </c>
      <c r="P57" s="28">
        <f t="shared" si="33"/>
        <v>31817.849714402622</v>
      </c>
      <c r="Q57" s="28">
        <f t="shared" si="34"/>
        <v>26432.444337942594</v>
      </c>
      <c r="R57" s="31">
        <f>data2018!O56</f>
        <v>26277.782579501007</v>
      </c>
      <c r="S57" s="18">
        <f t="shared" si="35"/>
        <v>-154.66175844158715</v>
      </c>
      <c r="U57" s="31">
        <v>111.3</v>
      </c>
      <c r="V57" s="31">
        <v>113.146</v>
      </c>
      <c r="W57" s="31">
        <v>110.426</v>
      </c>
      <c r="X57" s="158">
        <v>112.19199999999999</v>
      </c>
      <c r="Y57" s="31">
        <v>104.029</v>
      </c>
      <c r="Z57" s="30">
        <f t="shared" si="36"/>
        <v>0</v>
      </c>
      <c r="AA57" s="30">
        <f t="shared" si="37"/>
        <v>1.0698939718732277</v>
      </c>
      <c r="AB57" s="30">
        <f t="shared" si="38"/>
        <v>1.0876390237337665</v>
      </c>
      <c r="AC57" s="30">
        <f t="shared" si="39"/>
        <v>1.0614924684462987</v>
      </c>
      <c r="AD57" s="30">
        <f t="shared" si="40"/>
        <v>1.0784685039748532</v>
      </c>
      <c r="AE57" s="49">
        <f t="shared" si="12"/>
        <v>35784.926999999996</v>
      </c>
      <c r="AF57" s="18">
        <f>100*AE57/data2018!BY56</f>
        <v>34396.015878813509</v>
      </c>
      <c r="AG57" s="20">
        <f>AE57/data2018!AN56</f>
        <v>1.1248700039292729</v>
      </c>
      <c r="AH57" s="20">
        <f>AE57/data2018!E56</f>
        <v>0.55752035814239842</v>
      </c>
      <c r="AI57" s="20">
        <f>AE57/data2018!H56</f>
        <v>1.2711135957144222</v>
      </c>
      <c r="AJ57" s="30">
        <f>AF57/data2018!AK56</f>
        <v>1.0782450118750315</v>
      </c>
      <c r="AK57" s="30">
        <f>AF57/data2018!C56</f>
        <v>0.53492343245218454</v>
      </c>
      <c r="AL57" s="30">
        <f>AF57/data2018!H56</f>
        <v>1.2217781923089854</v>
      </c>
      <c r="AM57" s="31">
        <v>112.46808731955775</v>
      </c>
      <c r="AN57" s="30">
        <f>AM57/data2018!BY56</f>
        <v>1.0810289251961567</v>
      </c>
    </row>
  </sheetData>
  <mergeCells count="5">
    <mergeCell ref="Z1:AD1"/>
    <mergeCell ref="H1:K1"/>
    <mergeCell ref="T1:Y1"/>
    <mergeCell ref="B1:G1"/>
    <mergeCell ref="L1:Q1"/>
  </mergeCells>
  <phoneticPr fontId="10" type="noConversion"/>
  <pageMargins left="0.78740157499999996" right="0.78740157499999996" top="0.984251969" bottom="0.984251969" header="0.4921259845" footer="0.4921259845"/>
  <pageSetup paperSize="9" orientation="portrait" r:id="rId1"/>
  <headerFooter alignWithMargins="0"/>
  <ignoredErrors>
    <ignoredError sqref="M49:M50" formula="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6"/>
  <dimension ref="A1:I53"/>
  <sheetViews>
    <sheetView workbookViewId="0">
      <pane xSplit="1" ySplit="1" topLeftCell="D29" activePane="bottomRight" state="frozen"/>
      <selection pane="topRight" activeCell="B1" sqref="B1"/>
      <selection pane="bottomLeft" activeCell="A2" sqref="A2"/>
      <selection pane="bottomRight" activeCell="G1" sqref="G1"/>
    </sheetView>
  </sheetViews>
  <sheetFormatPr baseColWidth="10" defaultRowHeight="13.5" x14ac:dyDescent="0.25"/>
  <cols>
    <col min="1" max="1" width="5" customWidth="1"/>
    <col min="2" max="2" width="5.875" bestFit="1" customWidth="1"/>
    <col min="3" max="4" width="7.875" bestFit="1" customWidth="1"/>
    <col min="5" max="5" width="5.875" customWidth="1"/>
    <col min="6" max="6" width="8" customWidth="1"/>
    <col min="7" max="7" width="9.875" bestFit="1" customWidth="1"/>
    <col min="8" max="8" width="6.625" customWidth="1"/>
    <col min="9" max="9" width="8.875" bestFit="1" customWidth="1"/>
  </cols>
  <sheetData>
    <row r="1" spans="1:9" x14ac:dyDescent="0.25">
      <c r="B1" t="s">
        <v>62</v>
      </c>
      <c r="C1" t="s">
        <v>377</v>
      </c>
      <c r="D1" t="s">
        <v>21</v>
      </c>
      <c r="E1" t="s">
        <v>63</v>
      </c>
      <c r="F1" t="s">
        <v>378</v>
      </c>
      <c r="G1" t="s">
        <v>339</v>
      </c>
      <c r="H1" t="s">
        <v>350</v>
      </c>
      <c r="I1" t="s">
        <v>340</v>
      </c>
    </row>
    <row r="2" spans="1:9" x14ac:dyDescent="0.25">
      <c r="A2">
        <v>1960</v>
      </c>
      <c r="B2" s="7">
        <v>526.79100000000005</v>
      </c>
      <c r="C2" s="7">
        <v>2964.462</v>
      </c>
      <c r="D2" s="29">
        <v>639000</v>
      </c>
      <c r="E2" s="7">
        <f t="shared" ref="E2:E46" si="0">B2*1000000/D2</f>
        <v>824.39906103286398</v>
      </c>
      <c r="F2" s="7">
        <f t="shared" ref="F2:F46" si="1">C2*1000000/D2</f>
        <v>4639.2206572769956</v>
      </c>
      <c r="G2" s="8">
        <v>17.77</v>
      </c>
      <c r="H2" s="8">
        <v>11.465999999999999</v>
      </c>
      <c r="I2" s="8">
        <f>100*G2/H2</f>
        <v>154.97994069422643</v>
      </c>
    </row>
    <row r="3" spans="1:9" x14ac:dyDescent="0.25">
      <c r="A3">
        <v>1961</v>
      </c>
      <c r="B3" s="7">
        <v>625.58699999999999</v>
      </c>
      <c r="C3" s="7">
        <v>3528.337</v>
      </c>
      <c r="D3" s="29">
        <v>719000</v>
      </c>
      <c r="E3" s="7">
        <f t="shared" si="0"/>
        <v>870.07927677329621</v>
      </c>
      <c r="F3" s="7">
        <f t="shared" si="1"/>
        <v>4907.2837273991654</v>
      </c>
      <c r="G3" s="8">
        <v>17.73</v>
      </c>
      <c r="H3" s="8">
        <v>11.8</v>
      </c>
      <c r="I3" s="8">
        <f t="shared" ref="I3:I53" si="2">100*G3/H3</f>
        <v>150.25423728813558</v>
      </c>
    </row>
    <row r="4" spans="1:9" x14ac:dyDescent="0.25">
      <c r="A4">
        <v>1962</v>
      </c>
      <c r="B4" s="7">
        <v>799.46</v>
      </c>
      <c r="C4" s="7">
        <v>4471.415</v>
      </c>
      <c r="D4" s="29">
        <v>917000</v>
      </c>
      <c r="E4" s="7">
        <f t="shared" si="0"/>
        <v>871.82115594329332</v>
      </c>
      <c r="F4" s="7">
        <f t="shared" si="1"/>
        <v>4876.1341330425303</v>
      </c>
      <c r="G4" s="8">
        <v>17.879000000000001</v>
      </c>
      <c r="H4" s="8">
        <v>12.298999999999999</v>
      </c>
      <c r="I4" s="8">
        <f t="shared" si="2"/>
        <v>145.36954223920645</v>
      </c>
    </row>
    <row r="5" spans="1:9" x14ac:dyDescent="0.25">
      <c r="A5">
        <v>1963</v>
      </c>
      <c r="B5" s="7">
        <v>985.81700000000001</v>
      </c>
      <c r="C5" s="7">
        <v>5455.68</v>
      </c>
      <c r="D5" s="29">
        <v>1047000</v>
      </c>
      <c r="E5" s="7">
        <f t="shared" si="0"/>
        <v>941.56351480420244</v>
      </c>
      <c r="F5" s="7">
        <f t="shared" si="1"/>
        <v>5210.7736389684815</v>
      </c>
      <c r="G5" s="8">
        <v>18.07</v>
      </c>
      <c r="H5" s="8">
        <v>12.909000000000001</v>
      </c>
      <c r="I5" s="8">
        <f t="shared" si="2"/>
        <v>139.97985901309164</v>
      </c>
    </row>
    <row r="6" spans="1:9" x14ac:dyDescent="0.25">
      <c r="A6">
        <v>1964</v>
      </c>
      <c r="B6" s="7">
        <v>1059.646</v>
      </c>
      <c r="C6" s="7">
        <v>5825.0780000000004</v>
      </c>
      <c r="D6" s="29">
        <v>1053000</v>
      </c>
      <c r="E6" s="7">
        <f t="shared" si="0"/>
        <v>1006.3114909781576</v>
      </c>
      <c r="F6" s="7">
        <f t="shared" si="1"/>
        <v>5531.887939221273</v>
      </c>
      <c r="G6" s="8">
        <v>18.190999999999999</v>
      </c>
      <c r="H6" s="8">
        <v>13.349</v>
      </c>
      <c r="I6" s="8">
        <f t="shared" si="2"/>
        <v>136.27237995355458</v>
      </c>
    </row>
    <row r="7" spans="1:9" x14ac:dyDescent="0.25">
      <c r="A7">
        <v>1965</v>
      </c>
      <c r="B7" s="7">
        <v>1113.681</v>
      </c>
      <c r="C7" s="7">
        <v>6131.8410000000003</v>
      </c>
      <c r="D7" s="31">
        <v>1057642</v>
      </c>
      <c r="E7" s="7">
        <f t="shared" si="0"/>
        <v>1052.9848474247431</v>
      </c>
      <c r="F7" s="7">
        <f t="shared" si="1"/>
        <v>5797.6527028994687</v>
      </c>
      <c r="G7" s="8">
        <v>18.161999999999999</v>
      </c>
      <c r="H7" s="8">
        <v>13.714</v>
      </c>
      <c r="I7" s="8">
        <f t="shared" si="2"/>
        <v>132.43400904185503</v>
      </c>
    </row>
    <row r="8" spans="1:9" x14ac:dyDescent="0.25">
      <c r="A8">
        <v>1966</v>
      </c>
      <c r="B8" s="7">
        <v>1251.8879999999999</v>
      </c>
      <c r="C8" s="7">
        <v>6909.2280000000001</v>
      </c>
      <c r="D8" s="31">
        <v>1209891</v>
      </c>
      <c r="E8" s="7">
        <f t="shared" si="0"/>
        <v>1034.7113913567421</v>
      </c>
      <c r="F8" s="7">
        <f t="shared" si="1"/>
        <v>5710.6202128952109</v>
      </c>
      <c r="G8" s="8">
        <v>18.119</v>
      </c>
      <c r="H8" s="8">
        <v>14.134</v>
      </c>
      <c r="I8" s="8">
        <f t="shared" si="2"/>
        <v>128.19442479128344</v>
      </c>
    </row>
    <row r="9" spans="1:9" x14ac:dyDescent="0.25">
      <c r="A9">
        <v>1967</v>
      </c>
      <c r="B9" s="7">
        <v>1300.037</v>
      </c>
      <c r="C9" s="7">
        <v>7182.2430000000004</v>
      </c>
      <c r="D9" s="31">
        <v>1230793</v>
      </c>
      <c r="E9" s="7">
        <f t="shared" si="0"/>
        <v>1056.2596634852489</v>
      </c>
      <c r="F9" s="7">
        <f t="shared" si="1"/>
        <v>5835.4597401837673</v>
      </c>
      <c r="G9" s="8">
        <v>18.100999999999999</v>
      </c>
      <c r="H9" s="8">
        <v>14.586</v>
      </c>
      <c r="I9" s="8">
        <f t="shared" si="2"/>
        <v>124.09845056903879</v>
      </c>
    </row>
    <row r="10" spans="1:9" x14ac:dyDescent="0.25">
      <c r="A10">
        <v>1968</v>
      </c>
      <c r="B10" s="7">
        <v>1396.5150000000001</v>
      </c>
      <c r="C10" s="7">
        <v>7581.33</v>
      </c>
      <c r="D10" s="31">
        <v>1239467</v>
      </c>
      <c r="E10" s="7">
        <f t="shared" si="0"/>
        <v>1126.7060760794761</v>
      </c>
      <c r="F10" s="7">
        <f t="shared" si="1"/>
        <v>6116.6049600352408</v>
      </c>
      <c r="G10" s="8">
        <v>18.420000000000002</v>
      </c>
      <c r="H10" s="8">
        <v>15.317</v>
      </c>
      <c r="I10" s="8">
        <f t="shared" si="2"/>
        <v>120.258536266893</v>
      </c>
    </row>
    <row r="11" spans="1:9" x14ac:dyDescent="0.25">
      <c r="A11">
        <v>1969</v>
      </c>
      <c r="B11" s="7">
        <v>1709.13</v>
      </c>
      <c r="C11" s="7">
        <v>8589.4770000000008</v>
      </c>
      <c r="D11" s="31">
        <v>1365278</v>
      </c>
      <c r="E11" s="7">
        <f t="shared" si="0"/>
        <v>1251.8549335739681</v>
      </c>
      <c r="F11" s="7">
        <f t="shared" si="1"/>
        <v>6291.3758223599889</v>
      </c>
      <c r="G11" s="8">
        <v>19.898</v>
      </c>
      <c r="H11" s="8">
        <v>16.402000000000001</v>
      </c>
      <c r="I11" s="8">
        <f t="shared" si="2"/>
        <v>121.31447384465308</v>
      </c>
    </row>
    <row r="12" spans="1:9" x14ac:dyDescent="0.25">
      <c r="A12">
        <v>1970</v>
      </c>
      <c r="B12" s="7">
        <v>1821.479</v>
      </c>
      <c r="C12" s="7">
        <v>8747.8799999999992</v>
      </c>
      <c r="D12" s="31">
        <v>1293519</v>
      </c>
      <c r="E12" s="7">
        <f t="shared" si="0"/>
        <v>1408.1579010435873</v>
      </c>
      <c r="F12" s="7">
        <f t="shared" si="1"/>
        <v>6762.8538892741426</v>
      </c>
      <c r="G12" s="8">
        <v>20.821999999999999</v>
      </c>
      <c r="H12" s="8">
        <v>17.239999999999998</v>
      </c>
      <c r="I12" s="8">
        <f t="shared" si="2"/>
        <v>120.77726218097447</v>
      </c>
    </row>
    <row r="13" spans="1:9" x14ac:dyDescent="0.25">
      <c r="A13">
        <v>1971</v>
      </c>
      <c r="B13" s="7">
        <v>2233.7809999999999</v>
      </c>
      <c r="C13" s="7">
        <v>9876.1209999999992</v>
      </c>
      <c r="D13" s="31">
        <v>1468781</v>
      </c>
      <c r="E13" s="7">
        <f t="shared" si="0"/>
        <v>1520.8400707797828</v>
      </c>
      <c r="F13" s="7">
        <f t="shared" si="1"/>
        <v>6724.0255695028736</v>
      </c>
      <c r="G13" s="8">
        <v>22.617999999999999</v>
      </c>
      <c r="H13" s="8">
        <v>18.210999999999999</v>
      </c>
      <c r="I13" s="8">
        <f t="shared" si="2"/>
        <v>124.19965954642798</v>
      </c>
    </row>
    <row r="14" spans="1:9" x14ac:dyDescent="0.25">
      <c r="A14">
        <v>1972</v>
      </c>
      <c r="B14" s="7">
        <v>2735.7849999999999</v>
      </c>
      <c r="C14" s="7">
        <v>11396.502</v>
      </c>
      <c r="D14" s="31">
        <v>1639399</v>
      </c>
      <c r="E14" s="7">
        <f t="shared" si="0"/>
        <v>1668.7731296652005</v>
      </c>
      <c r="F14" s="7">
        <f t="shared" si="1"/>
        <v>6951.6341049372359</v>
      </c>
      <c r="G14" s="8">
        <v>24.004999999999999</v>
      </c>
      <c r="H14" s="8">
        <v>19.318000000000001</v>
      </c>
      <c r="I14" s="8">
        <f t="shared" si="2"/>
        <v>124.26234599855057</v>
      </c>
    </row>
    <row r="15" spans="1:9" x14ac:dyDescent="0.25">
      <c r="A15">
        <v>1973</v>
      </c>
      <c r="B15" s="7">
        <v>3125.5770000000002</v>
      </c>
      <c r="C15" s="7">
        <v>12325.312</v>
      </c>
      <c r="D15" s="31">
        <v>1745830</v>
      </c>
      <c r="E15" s="7">
        <f t="shared" si="0"/>
        <v>1790.3100530979534</v>
      </c>
      <c r="F15" s="7">
        <f t="shared" si="1"/>
        <v>7059.8580617815023</v>
      </c>
      <c r="G15" s="8">
        <v>25.359000000000002</v>
      </c>
      <c r="H15" s="8">
        <v>20.710999999999999</v>
      </c>
      <c r="I15" s="8">
        <f t="shared" si="2"/>
        <v>122.4421804838009</v>
      </c>
    </row>
    <row r="16" spans="1:9" x14ac:dyDescent="0.25">
      <c r="A16">
        <v>1974</v>
      </c>
      <c r="B16" s="7">
        <v>2937.6509999999998</v>
      </c>
      <c r="C16" s="7">
        <v>10415.911</v>
      </c>
      <c r="D16" s="31">
        <v>1524838</v>
      </c>
      <c r="E16" s="7">
        <f t="shared" si="0"/>
        <v>1926.5331792623217</v>
      </c>
      <c r="F16" s="7">
        <f t="shared" si="1"/>
        <v>6830.8312096104637</v>
      </c>
      <c r="G16" s="8">
        <v>28.202999999999999</v>
      </c>
      <c r="H16" s="8">
        <v>23.565999999999999</v>
      </c>
      <c r="I16" s="8">
        <f t="shared" si="2"/>
        <v>119.67665280488839</v>
      </c>
    </row>
    <row r="17" spans="1:9" x14ac:dyDescent="0.25">
      <c r="A17">
        <v>1975</v>
      </c>
      <c r="B17" s="7">
        <v>3642.5410000000002</v>
      </c>
      <c r="C17" s="7">
        <v>10666.421</v>
      </c>
      <c r="D17" s="31">
        <v>1482343</v>
      </c>
      <c r="E17" s="7">
        <f t="shared" si="0"/>
        <v>2457.2862016415902</v>
      </c>
      <c r="F17" s="7">
        <f t="shared" si="1"/>
        <v>7195.6497247937896</v>
      </c>
      <c r="G17" s="8">
        <v>34.15</v>
      </c>
      <c r="H17" s="8">
        <v>26.254000000000001</v>
      </c>
      <c r="I17" s="8">
        <f t="shared" si="2"/>
        <v>130.07541707930218</v>
      </c>
    </row>
    <row r="18" spans="1:9" x14ac:dyDescent="0.25">
      <c r="A18">
        <v>1976</v>
      </c>
      <c r="B18" s="7">
        <v>5593.1589999999997</v>
      </c>
      <c r="C18" s="7">
        <v>14518.394</v>
      </c>
      <c r="D18" s="31">
        <v>1858234</v>
      </c>
      <c r="E18" s="7">
        <f t="shared" si="0"/>
        <v>3009.9325488609079</v>
      </c>
      <c r="F18" s="7">
        <f t="shared" si="1"/>
        <v>7813.0063275131115</v>
      </c>
      <c r="G18" s="8">
        <v>38.524999999999999</v>
      </c>
      <c r="H18" s="8">
        <v>28.818999999999999</v>
      </c>
      <c r="I18" s="8">
        <f t="shared" si="2"/>
        <v>133.67916999201915</v>
      </c>
    </row>
    <row r="19" spans="1:9" x14ac:dyDescent="0.25">
      <c r="A19">
        <v>1977</v>
      </c>
      <c r="B19" s="7">
        <v>6158.9859999999999</v>
      </c>
      <c r="C19" s="7">
        <v>15006.745999999999</v>
      </c>
      <c r="D19" s="31">
        <v>1906989</v>
      </c>
      <c r="E19" s="7">
        <f t="shared" si="0"/>
        <v>3229.6914140563999</v>
      </c>
      <c r="F19" s="7">
        <f t="shared" si="1"/>
        <v>7869.340620213331</v>
      </c>
      <c r="G19" s="8">
        <v>41.040999999999997</v>
      </c>
      <c r="H19" s="8">
        <v>31.536000000000001</v>
      </c>
      <c r="I19" s="8">
        <f t="shared" si="2"/>
        <v>130.14015728056822</v>
      </c>
    </row>
    <row r="20" spans="1:9" x14ac:dyDescent="0.25">
      <c r="A20">
        <v>1978</v>
      </c>
      <c r="B20" s="7">
        <v>7183.6350000000002</v>
      </c>
      <c r="C20" s="7">
        <v>16292.822</v>
      </c>
      <c r="D20" s="31">
        <v>1944986</v>
      </c>
      <c r="E20" s="7">
        <f t="shared" si="0"/>
        <v>3693.4121890851657</v>
      </c>
      <c r="F20" s="7">
        <f t="shared" si="1"/>
        <v>8376.8325324706711</v>
      </c>
      <c r="G20" s="8">
        <v>44.091000000000001</v>
      </c>
      <c r="H20" s="8">
        <v>34.267000000000003</v>
      </c>
      <c r="I20" s="8">
        <f t="shared" si="2"/>
        <v>128.66898181924302</v>
      </c>
    </row>
    <row r="21" spans="1:9" x14ac:dyDescent="0.25">
      <c r="A21">
        <v>1979</v>
      </c>
      <c r="B21" s="7">
        <v>8430.9050000000007</v>
      </c>
      <c r="C21" s="7">
        <v>17301.025000000001</v>
      </c>
      <c r="D21" s="31">
        <v>1976391</v>
      </c>
      <c r="E21" s="7">
        <f t="shared" si="0"/>
        <v>4265.8082332898712</v>
      </c>
      <c r="F21" s="7">
        <f t="shared" si="1"/>
        <v>8753.8472903388047</v>
      </c>
      <c r="G21" s="8">
        <v>48.731000000000002</v>
      </c>
      <c r="H21" s="8">
        <v>37.96</v>
      </c>
      <c r="I21" s="8">
        <f t="shared" si="2"/>
        <v>128.37460484720759</v>
      </c>
    </row>
    <row r="22" spans="1:9" x14ac:dyDescent="0.25">
      <c r="A22">
        <v>1980</v>
      </c>
      <c r="B22" s="7">
        <v>9006.4660000000003</v>
      </c>
      <c r="C22" s="7">
        <v>16432.53</v>
      </c>
      <c r="D22" s="31">
        <v>1873202</v>
      </c>
      <c r="E22" s="7">
        <f t="shared" si="0"/>
        <v>4808.0591415127683</v>
      </c>
      <c r="F22" s="7">
        <f t="shared" si="1"/>
        <v>8772.4281737901183</v>
      </c>
      <c r="G22" s="8">
        <v>54.808999999999997</v>
      </c>
      <c r="H22" s="8">
        <v>42.835000000000001</v>
      </c>
      <c r="I22" s="8">
        <f t="shared" si="2"/>
        <v>127.95377611766078</v>
      </c>
    </row>
    <row r="23" spans="1:9" x14ac:dyDescent="0.25">
      <c r="A23">
        <v>1981</v>
      </c>
      <c r="B23" s="7">
        <v>10290.494000000001</v>
      </c>
      <c r="C23" s="7">
        <v>17044.236000000001</v>
      </c>
      <c r="D23" s="31">
        <v>1834826</v>
      </c>
      <c r="E23" s="7">
        <f t="shared" si="0"/>
        <v>5608.430445175728</v>
      </c>
      <c r="F23" s="7">
        <f t="shared" si="1"/>
        <v>9289.2928266767522</v>
      </c>
      <c r="G23" s="8">
        <v>60.375</v>
      </c>
      <c r="H23" s="8">
        <v>48.621000000000002</v>
      </c>
      <c r="I23" s="8">
        <f t="shared" si="2"/>
        <v>124.17473931017462</v>
      </c>
    </row>
    <row r="24" spans="1:9" x14ac:dyDescent="0.25">
      <c r="A24">
        <v>1982</v>
      </c>
      <c r="B24" s="7">
        <v>13327.487999999999</v>
      </c>
      <c r="C24" s="7">
        <v>20273.008000000002</v>
      </c>
      <c r="D24" s="31">
        <v>2056490</v>
      </c>
      <c r="E24" s="7">
        <f t="shared" si="0"/>
        <v>6480.6967211121864</v>
      </c>
      <c r="F24" s="7">
        <f t="shared" si="1"/>
        <v>9858.0630102747891</v>
      </c>
      <c r="G24" s="8">
        <v>65.739999999999995</v>
      </c>
      <c r="H24" s="8">
        <v>54.338000000000001</v>
      </c>
      <c r="I24" s="8">
        <f t="shared" si="2"/>
        <v>120.9834738120652</v>
      </c>
    </row>
    <row r="25" spans="1:9" x14ac:dyDescent="0.25">
      <c r="A25">
        <v>1983</v>
      </c>
      <c r="B25" s="7">
        <v>14328.233</v>
      </c>
      <c r="C25" s="7">
        <v>20295.667000000001</v>
      </c>
      <c r="D25" s="31">
        <v>2017617</v>
      </c>
      <c r="E25" s="7">
        <f t="shared" si="0"/>
        <v>7101.5623877078751</v>
      </c>
      <c r="F25" s="7">
        <f t="shared" si="1"/>
        <v>10059.226800725806</v>
      </c>
      <c r="G25" s="8">
        <v>70.596999999999994</v>
      </c>
      <c r="H25" s="8">
        <v>59.606999999999999</v>
      </c>
      <c r="I25" s="8">
        <f t="shared" si="2"/>
        <v>118.43743184525307</v>
      </c>
    </row>
    <row r="26" spans="1:9" x14ac:dyDescent="0.25">
      <c r="A26">
        <v>1984</v>
      </c>
      <c r="B26" s="7">
        <v>13480.35</v>
      </c>
      <c r="C26" s="7">
        <v>17778.192999999999</v>
      </c>
      <c r="D26" s="31">
        <v>1757491</v>
      </c>
      <c r="E26" s="7">
        <f t="shared" si="0"/>
        <v>7670.224200294625</v>
      </c>
      <c r="F26" s="7">
        <f t="shared" si="1"/>
        <v>10115.666595163219</v>
      </c>
      <c r="G26" s="8">
        <v>75.825000000000003</v>
      </c>
      <c r="H26" s="8">
        <v>64.381</v>
      </c>
      <c r="I26" s="8">
        <f t="shared" si="2"/>
        <v>117.77543063947438</v>
      </c>
    </row>
    <row r="27" spans="1:9" x14ac:dyDescent="0.25">
      <c r="A27">
        <v>1985</v>
      </c>
      <c r="B27" s="7">
        <v>15641.325000000001</v>
      </c>
      <c r="C27" s="7">
        <v>19406.866000000002</v>
      </c>
      <c r="D27" s="31">
        <v>1766328</v>
      </c>
      <c r="E27" s="7">
        <f t="shared" si="0"/>
        <v>8855.2777287117678</v>
      </c>
      <c r="F27" s="7">
        <f t="shared" si="1"/>
        <v>10987.124701640918</v>
      </c>
      <c r="G27" s="8">
        <v>80.596999999999994</v>
      </c>
      <c r="H27" s="8">
        <v>68.3</v>
      </c>
      <c r="I27" s="8">
        <f t="shared" si="2"/>
        <v>118.00439238653001</v>
      </c>
    </row>
    <row r="28" spans="1:9" x14ac:dyDescent="0.25">
      <c r="A28">
        <v>1986</v>
      </c>
      <c r="B28" s="7">
        <v>18622.093000000001</v>
      </c>
      <c r="C28" s="7">
        <v>21634.550999999999</v>
      </c>
      <c r="D28" s="31">
        <v>1911521</v>
      </c>
      <c r="E28" s="7">
        <f t="shared" si="0"/>
        <v>9742.0289915726789</v>
      </c>
      <c r="F28" s="7">
        <f t="shared" si="1"/>
        <v>11317.977150133323</v>
      </c>
      <c r="G28" s="8">
        <v>86.075999999999993</v>
      </c>
      <c r="H28" s="8">
        <v>70.242999999999995</v>
      </c>
      <c r="I28" s="8">
        <f t="shared" si="2"/>
        <v>122.54032430277749</v>
      </c>
    </row>
    <row r="29" spans="1:9" x14ac:dyDescent="0.25">
      <c r="A29">
        <v>1987</v>
      </c>
      <c r="B29" s="7">
        <v>21131.075000000001</v>
      </c>
      <c r="C29" s="7">
        <v>23880.804</v>
      </c>
      <c r="D29" s="31">
        <v>2105180</v>
      </c>
      <c r="E29" s="7">
        <f t="shared" si="0"/>
        <v>10037.657112455941</v>
      </c>
      <c r="F29" s="7">
        <f t="shared" si="1"/>
        <v>11343.829981284262</v>
      </c>
      <c r="G29" s="8">
        <v>88.486000000000004</v>
      </c>
      <c r="H29" s="8">
        <v>72.361999999999995</v>
      </c>
      <c r="I29" s="8">
        <f t="shared" si="2"/>
        <v>122.28241342140905</v>
      </c>
    </row>
    <row r="30" spans="1:9" x14ac:dyDescent="0.25">
      <c r="A30">
        <v>1988</v>
      </c>
      <c r="B30" s="7">
        <v>22602.078000000001</v>
      </c>
      <c r="C30" s="7">
        <v>25243.428</v>
      </c>
      <c r="D30" s="31">
        <v>2217149</v>
      </c>
      <c r="E30" s="7">
        <f t="shared" si="0"/>
        <v>10194.207967078442</v>
      </c>
      <c r="F30" s="7">
        <f t="shared" si="1"/>
        <v>11385.535207602195</v>
      </c>
      <c r="G30" s="8">
        <v>89.536000000000001</v>
      </c>
      <c r="H30" s="8">
        <v>74.375</v>
      </c>
      <c r="I30" s="8">
        <f t="shared" si="2"/>
        <v>120.38453781512605</v>
      </c>
    </row>
    <row r="31" spans="1:9" x14ac:dyDescent="0.25">
      <c r="A31">
        <v>1989</v>
      </c>
      <c r="B31" s="7">
        <v>24696.427</v>
      </c>
      <c r="C31" s="7">
        <v>26760.735000000001</v>
      </c>
      <c r="D31" s="31">
        <v>2270307</v>
      </c>
      <c r="E31" s="7">
        <f t="shared" si="0"/>
        <v>10878.012092637691</v>
      </c>
      <c r="F31" s="7">
        <f t="shared" si="1"/>
        <v>11787.275905857667</v>
      </c>
      <c r="G31" s="8">
        <v>92.286000000000001</v>
      </c>
      <c r="H31" s="8">
        <v>77.363</v>
      </c>
      <c r="I31" s="8">
        <f t="shared" si="2"/>
        <v>119.28958287553482</v>
      </c>
    </row>
    <row r="32" spans="1:9" x14ac:dyDescent="0.25">
      <c r="A32">
        <v>1990</v>
      </c>
      <c r="B32" s="7">
        <v>24745.947</v>
      </c>
      <c r="C32" s="7">
        <v>26638.210999999999</v>
      </c>
      <c r="D32" s="31">
        <v>2309130</v>
      </c>
      <c r="E32" s="7">
        <f t="shared" si="0"/>
        <v>10716.56727858544</v>
      </c>
      <c r="F32" s="7">
        <f t="shared" si="1"/>
        <v>11536.037815107855</v>
      </c>
      <c r="G32" s="8">
        <v>92.896000000000001</v>
      </c>
      <c r="H32" s="8">
        <v>79.543000000000006</v>
      </c>
      <c r="I32" s="8">
        <f t="shared" si="2"/>
        <v>116.78714657480859</v>
      </c>
    </row>
    <row r="33" spans="1:9" x14ac:dyDescent="0.25">
      <c r="A33">
        <v>1991</v>
      </c>
      <c r="B33" s="7">
        <v>22052.937000000002</v>
      </c>
      <c r="C33" s="7">
        <v>23096.887999999999</v>
      </c>
      <c r="D33" s="31">
        <v>2032443</v>
      </c>
      <c r="E33" s="7">
        <f t="shared" si="0"/>
        <v>10850.457798816498</v>
      </c>
      <c r="F33" s="7">
        <f t="shared" si="1"/>
        <v>11364.101231867266</v>
      </c>
      <c r="G33" s="8">
        <v>95.48</v>
      </c>
      <c r="H33" s="8">
        <v>81.915000000000006</v>
      </c>
      <c r="I33" s="8">
        <f t="shared" si="2"/>
        <v>116.5598486235732</v>
      </c>
    </row>
    <row r="34" spans="1:9" x14ac:dyDescent="0.25">
      <c r="A34">
        <v>1992</v>
      </c>
      <c r="B34" s="7">
        <v>22906.963</v>
      </c>
      <c r="C34" s="7">
        <v>23666.562999999998</v>
      </c>
      <c r="D34" s="31">
        <v>2105700</v>
      </c>
      <c r="E34" s="7">
        <f t="shared" si="0"/>
        <v>10878.550125848886</v>
      </c>
      <c r="F34" s="7">
        <f t="shared" si="1"/>
        <v>11239.28527330579</v>
      </c>
      <c r="G34" s="8">
        <v>96.79</v>
      </c>
      <c r="H34" s="8">
        <v>83.924999999999997</v>
      </c>
      <c r="I34" s="8">
        <f t="shared" si="2"/>
        <v>115.32916294310397</v>
      </c>
    </row>
    <row r="35" spans="1:9" x14ac:dyDescent="0.25">
      <c r="A35">
        <v>1993</v>
      </c>
      <c r="B35" s="7">
        <v>19579.688999999998</v>
      </c>
      <c r="C35" s="7">
        <v>19755.945</v>
      </c>
      <c r="D35" s="31">
        <v>1721216</v>
      </c>
      <c r="E35" s="7">
        <f t="shared" si="0"/>
        <v>11375.49790380754</v>
      </c>
      <c r="F35" s="7">
        <f t="shared" si="1"/>
        <v>11477.899926563547</v>
      </c>
      <c r="G35" s="8">
        <v>99.108000000000004</v>
      </c>
      <c r="H35" s="8">
        <v>85.32</v>
      </c>
      <c r="I35" s="8">
        <f t="shared" si="2"/>
        <v>116.16033755274263</v>
      </c>
    </row>
    <row r="36" spans="1:9" x14ac:dyDescent="0.25">
      <c r="A36">
        <v>1994</v>
      </c>
      <c r="B36" s="7">
        <v>23066.106</v>
      </c>
      <c r="C36" s="7">
        <v>23502.744999999999</v>
      </c>
      <c r="D36" s="31">
        <v>1972919</v>
      </c>
      <c r="E36" s="7">
        <f t="shared" si="0"/>
        <v>11691.359858159407</v>
      </c>
      <c r="F36" s="7">
        <f t="shared" si="1"/>
        <v>11912.676090604835</v>
      </c>
      <c r="G36" s="8">
        <v>98.141999999999996</v>
      </c>
      <c r="H36" s="8">
        <v>86.396000000000001</v>
      </c>
      <c r="I36" s="8">
        <f t="shared" si="2"/>
        <v>113.5955368304088</v>
      </c>
    </row>
    <row r="37" spans="1:9" x14ac:dyDescent="0.25">
      <c r="A37">
        <v>1995</v>
      </c>
      <c r="B37" s="7">
        <v>21786.899000000001</v>
      </c>
      <c r="C37" s="7">
        <v>21972.983</v>
      </c>
      <c r="D37" s="31">
        <v>1930504</v>
      </c>
      <c r="E37" s="7">
        <f t="shared" si="0"/>
        <v>11285.601583835101</v>
      </c>
      <c r="F37" s="7">
        <f t="shared" si="1"/>
        <v>11381.992992503512</v>
      </c>
      <c r="G37" s="8">
        <v>99.153000000000006</v>
      </c>
      <c r="H37" s="8">
        <v>87.254000000000005</v>
      </c>
      <c r="I37" s="8">
        <f t="shared" si="2"/>
        <v>113.6371971485548</v>
      </c>
    </row>
    <row r="38" spans="1:9" x14ac:dyDescent="0.25">
      <c r="A38">
        <v>1996</v>
      </c>
      <c r="B38" s="7">
        <v>24341.152999999998</v>
      </c>
      <c r="C38" s="7">
        <v>24995.826000000001</v>
      </c>
      <c r="D38" s="31">
        <v>2132091</v>
      </c>
      <c r="E38" s="7">
        <f t="shared" si="0"/>
        <v>11416.563833344824</v>
      </c>
      <c r="F38" s="7">
        <f t="shared" si="1"/>
        <v>11723.620614692338</v>
      </c>
      <c r="G38" s="8">
        <v>97.381</v>
      </c>
      <c r="H38" s="8">
        <v>88.736000000000004</v>
      </c>
      <c r="I38" s="8">
        <f t="shared" si="2"/>
        <v>109.7423818968626</v>
      </c>
    </row>
    <row r="39" spans="1:9" x14ac:dyDescent="0.25">
      <c r="A39">
        <v>1997</v>
      </c>
      <c r="B39" s="7">
        <v>18692.184000000001</v>
      </c>
      <c r="C39" s="7">
        <v>19711.195</v>
      </c>
      <c r="D39" s="31">
        <v>1713030</v>
      </c>
      <c r="E39" s="7">
        <f t="shared" si="0"/>
        <v>10911.766869231713</v>
      </c>
      <c r="F39" s="7">
        <f t="shared" si="1"/>
        <v>11506.625686648804</v>
      </c>
      <c r="G39" s="8">
        <v>94.83</v>
      </c>
      <c r="H39" s="8">
        <v>89.504000000000005</v>
      </c>
      <c r="I39" s="8">
        <f t="shared" si="2"/>
        <v>105.950572041473</v>
      </c>
    </row>
    <row r="40" spans="1:9" x14ac:dyDescent="0.25">
      <c r="A40">
        <v>1998</v>
      </c>
      <c r="B40" s="7">
        <v>21766.267</v>
      </c>
      <c r="C40" s="7">
        <v>22726.192999999999</v>
      </c>
      <c r="D40" s="31">
        <v>1943553</v>
      </c>
      <c r="E40" s="7">
        <f t="shared" si="0"/>
        <v>11199.214531324847</v>
      </c>
      <c r="F40" s="7">
        <f t="shared" si="1"/>
        <v>11693.117193099442</v>
      </c>
      <c r="G40" s="8">
        <v>95.775999999999996</v>
      </c>
      <c r="H40" s="8">
        <v>89.822000000000003</v>
      </c>
      <c r="I40" s="8">
        <f t="shared" si="2"/>
        <v>106.62866558304202</v>
      </c>
    </row>
    <row r="41" spans="1:9" x14ac:dyDescent="0.25">
      <c r="A41">
        <v>1999</v>
      </c>
      <c r="B41" s="7">
        <v>24239.115000000002</v>
      </c>
      <c r="C41" s="7">
        <v>25714.91</v>
      </c>
      <c r="D41" s="31">
        <v>2148423</v>
      </c>
      <c r="E41" s="7">
        <f t="shared" si="0"/>
        <v>11282.282399695032</v>
      </c>
      <c r="F41" s="7">
        <f t="shared" si="1"/>
        <v>11969.202526690508</v>
      </c>
      <c r="G41" s="8">
        <v>94.260999999999996</v>
      </c>
      <c r="H41" s="8">
        <v>89.36</v>
      </c>
      <c r="I41" s="8">
        <f t="shared" si="2"/>
        <v>105.48455684870189</v>
      </c>
    </row>
    <row r="42" spans="1:9" x14ac:dyDescent="0.25">
      <c r="A42">
        <v>2000</v>
      </c>
      <c r="B42" s="7">
        <v>23550.118999999999</v>
      </c>
      <c r="C42" s="7">
        <v>25000.974999999999</v>
      </c>
      <c r="D42" s="31">
        <v>2133884</v>
      </c>
      <c r="E42" s="7">
        <f t="shared" si="0"/>
        <v>11036.269544173911</v>
      </c>
      <c r="F42" s="7">
        <f t="shared" si="1"/>
        <v>11716.182791566927</v>
      </c>
      <c r="G42" s="8">
        <v>94.197000000000003</v>
      </c>
      <c r="H42" s="8">
        <v>91.543000000000006</v>
      </c>
      <c r="I42" s="8">
        <f t="shared" si="2"/>
        <v>102.89918399003747</v>
      </c>
    </row>
    <row r="43" spans="1:9" x14ac:dyDescent="0.25">
      <c r="A43">
        <v>2001</v>
      </c>
      <c r="B43" s="7">
        <v>24601.061000000002</v>
      </c>
      <c r="C43" s="7">
        <v>25929.714</v>
      </c>
      <c r="D43" s="31">
        <v>2255203</v>
      </c>
      <c r="E43" s="7">
        <f t="shared" si="0"/>
        <v>10908.579405046907</v>
      </c>
      <c r="F43" s="7">
        <f t="shared" si="1"/>
        <v>11497.729472690486</v>
      </c>
      <c r="G43" s="8">
        <v>94.876000000000005</v>
      </c>
      <c r="H43" s="8">
        <v>93.369</v>
      </c>
      <c r="I43" s="8">
        <f t="shared" si="2"/>
        <v>101.6140260686095</v>
      </c>
    </row>
    <row r="44" spans="1:9" x14ac:dyDescent="0.25">
      <c r="A44">
        <v>2002</v>
      </c>
      <c r="B44" s="7">
        <v>23660.945</v>
      </c>
      <c r="C44" s="7">
        <v>24700.465</v>
      </c>
      <c r="D44" s="31">
        <v>2145071</v>
      </c>
      <c r="E44" s="7">
        <f t="shared" si="0"/>
        <v>11030.378481644664</v>
      </c>
      <c r="F44" s="7">
        <f t="shared" si="1"/>
        <v>11514.9871496095</v>
      </c>
      <c r="G44" s="8">
        <v>95.790999999999997</v>
      </c>
      <c r="H44" s="8">
        <v>94.486999999999995</v>
      </c>
      <c r="I44" s="8">
        <f t="shared" si="2"/>
        <v>101.38008403272408</v>
      </c>
    </row>
    <row r="45" spans="1:9" x14ac:dyDescent="0.25">
      <c r="A45">
        <v>2003</v>
      </c>
      <c r="B45" s="7">
        <v>22099.226999999999</v>
      </c>
      <c r="C45" s="7">
        <v>22765.151999999998</v>
      </c>
      <c r="D45" s="31">
        <v>2009246</v>
      </c>
      <c r="E45" s="7">
        <f t="shared" si="0"/>
        <v>10998.76620383965</v>
      </c>
      <c r="F45" s="7">
        <f t="shared" si="1"/>
        <v>11330.196501573228</v>
      </c>
      <c r="G45" s="8">
        <v>97.075000000000003</v>
      </c>
      <c r="H45" s="8">
        <v>96.244</v>
      </c>
      <c r="I45" s="8">
        <f t="shared" si="2"/>
        <v>100.86343044761232</v>
      </c>
    </row>
    <row r="46" spans="1:9" x14ac:dyDescent="0.25">
      <c r="A46">
        <v>2004</v>
      </c>
      <c r="B46" s="7">
        <v>23255.726999999999</v>
      </c>
      <c r="C46" s="7">
        <v>23552.75</v>
      </c>
      <c r="D46" s="18">
        <v>2013709</v>
      </c>
      <c r="E46" s="7">
        <f t="shared" si="0"/>
        <v>11548.702915863216</v>
      </c>
      <c r="F46" s="7">
        <f t="shared" si="1"/>
        <v>11696.203373973101</v>
      </c>
      <c r="G46" s="8">
        <v>98.739000000000004</v>
      </c>
      <c r="H46" s="8">
        <v>98.244</v>
      </c>
      <c r="I46" s="8">
        <f t="shared" si="2"/>
        <v>100.50384756320996</v>
      </c>
    </row>
    <row r="47" spans="1:9" x14ac:dyDescent="0.25">
      <c r="A47">
        <v>2005</v>
      </c>
      <c r="B47" s="7">
        <v>24342.219000000001</v>
      </c>
      <c r="C47" s="7">
        <v>24342.219000000001</v>
      </c>
      <c r="D47" s="56">
        <v>2067789</v>
      </c>
      <c r="E47" s="7">
        <f t="shared" ref="E47:E53" si="3">B47*1000000/D47</f>
        <v>11772.100054696102</v>
      </c>
      <c r="F47" s="7">
        <f t="shared" ref="F47:F53" si="4">C47*1000000/D47</f>
        <v>11772.100054696102</v>
      </c>
      <c r="G47" s="8">
        <v>100</v>
      </c>
      <c r="H47" s="8">
        <v>100</v>
      </c>
      <c r="I47" s="8">
        <f t="shared" si="2"/>
        <v>100</v>
      </c>
    </row>
    <row r="48" spans="1:9" x14ac:dyDescent="0.25">
      <c r="A48">
        <v>2006</v>
      </c>
      <c r="B48">
        <v>23564.276999999998</v>
      </c>
      <c r="C48" s="7">
        <v>23314.698</v>
      </c>
      <c r="D48" s="5">
        <v>2000549</v>
      </c>
      <c r="E48" s="7">
        <f t="shared" si="3"/>
        <v>11778.9051905252</v>
      </c>
      <c r="F48" s="7">
        <f t="shared" si="4"/>
        <v>11654.149935842612</v>
      </c>
      <c r="G48" s="8">
        <v>101.07</v>
      </c>
      <c r="H48" s="8">
        <v>102.017</v>
      </c>
      <c r="I48" s="8">
        <f t="shared" si="2"/>
        <v>99.071723340227607</v>
      </c>
    </row>
    <row r="49" spans="1:9" x14ac:dyDescent="0.25">
      <c r="A49">
        <v>2007</v>
      </c>
      <c r="B49">
        <v>24839.672999999999</v>
      </c>
      <c r="C49" s="7">
        <v>24095.674999999999</v>
      </c>
      <c r="D49" s="31">
        <v>2064543</v>
      </c>
      <c r="E49" s="7">
        <f t="shared" si="3"/>
        <v>12031.56001110173</v>
      </c>
      <c r="F49" s="7">
        <f t="shared" si="4"/>
        <v>11671.190670283931</v>
      </c>
      <c r="G49" s="8">
        <v>103.08799999999999</v>
      </c>
      <c r="H49" s="8">
        <v>104.127</v>
      </c>
      <c r="I49" s="8">
        <f t="shared" si="2"/>
        <v>99.002180030155486</v>
      </c>
    </row>
    <row r="50" spans="1:9" x14ac:dyDescent="0.25">
      <c r="A50">
        <v>2008</v>
      </c>
      <c r="B50">
        <v>23564.364000000001</v>
      </c>
      <c r="C50" s="7">
        <v>22727.098999999998</v>
      </c>
      <c r="D50" s="42">
        <v>2050283</v>
      </c>
      <c r="E50" s="7">
        <f t="shared" si="3"/>
        <v>11493.225081610684</v>
      </c>
      <c r="F50" s="7">
        <f t="shared" si="4"/>
        <v>11084.859504761051</v>
      </c>
      <c r="G50" s="8">
        <v>103.684</v>
      </c>
      <c r="H50" s="8">
        <v>107.19799999999999</v>
      </c>
      <c r="I50" s="8">
        <f t="shared" si="2"/>
        <v>96.721953767794176</v>
      </c>
    </row>
    <row r="51" spans="1:9" x14ac:dyDescent="0.25">
      <c r="A51">
        <v>2009</v>
      </c>
      <c r="B51">
        <v>27279.781999999999</v>
      </c>
      <c r="C51" s="7">
        <v>26835.17</v>
      </c>
      <c r="D51" s="42">
        <v>2269011</v>
      </c>
      <c r="E51" s="7">
        <f t="shared" si="3"/>
        <v>12022.763221509284</v>
      </c>
      <c r="F51" s="7">
        <f t="shared" si="4"/>
        <v>11826.813532415665</v>
      </c>
      <c r="G51" s="8">
        <v>101.657</v>
      </c>
      <c r="H51" s="8">
        <v>106.46</v>
      </c>
      <c r="I51" s="8">
        <f t="shared" si="2"/>
        <v>95.488446364831859</v>
      </c>
    </row>
    <row r="52" spans="1:9" x14ac:dyDescent="0.25">
      <c r="A52">
        <v>2010</v>
      </c>
      <c r="B52">
        <v>26594.43</v>
      </c>
      <c r="C52">
        <v>26035.316999999999</v>
      </c>
      <c r="D52" s="27">
        <v>2210186</v>
      </c>
      <c r="E52" s="7">
        <f t="shared" si="3"/>
        <v>12032.666029012942</v>
      </c>
      <c r="F52" s="7">
        <f t="shared" si="4"/>
        <v>11779.695012094006</v>
      </c>
      <c r="G52" s="8">
        <v>102.148</v>
      </c>
      <c r="H52" s="8">
        <v>107.621</v>
      </c>
      <c r="I52" s="8">
        <f t="shared" si="2"/>
        <v>94.91456128450767</v>
      </c>
    </row>
    <row r="53" spans="1:9" x14ac:dyDescent="0.25">
      <c r="A53">
        <v>2011</v>
      </c>
      <c r="B53">
        <v>27216.337</v>
      </c>
      <c r="C53">
        <v>25669.177</v>
      </c>
      <c r="D53" s="27">
        <v>2160928</v>
      </c>
      <c r="E53" s="7">
        <f t="shared" si="3"/>
        <v>12594.744942913416</v>
      </c>
      <c r="F53" s="7">
        <f t="shared" si="4"/>
        <v>11878.774767137082</v>
      </c>
      <c r="G53" s="8">
        <v>106.027</v>
      </c>
      <c r="H53" s="8">
        <v>109.871</v>
      </c>
      <c r="I53" s="8">
        <f t="shared" si="2"/>
        <v>96.501351585040652</v>
      </c>
    </row>
  </sheetData>
  <phoneticPr fontId="10" type="noConversion"/>
  <pageMargins left="0.78740157499999996" right="0.78740157499999996" top="0.984251969" bottom="0.984251969" header="0.4921259845" footer="0.492125984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Graphiques</vt:lpstr>
      </vt:variant>
      <vt:variant>
        <vt:i4>39</vt:i4>
      </vt:variant>
    </vt:vector>
  </HeadingPairs>
  <TitlesOfParts>
    <vt:vector size="59" baseType="lpstr">
      <vt:lpstr>crédits</vt:lpstr>
      <vt:lpstr>data2018</vt:lpstr>
      <vt:lpstr>dicovar</vt:lpstr>
      <vt:lpstr>INSEE_NOTAIRES</vt:lpstr>
      <vt:lpstr>data_menages</vt:lpstr>
      <vt:lpstr>taux croissance</vt:lpstr>
      <vt:lpstr>DEPLOGAUT</vt:lpstr>
      <vt:lpstr>ZIA_quantites_physiques</vt:lpstr>
      <vt:lpstr>Prix_voitures_neuves</vt:lpstr>
      <vt:lpstr>reconstruction parcours moyens</vt:lpstr>
      <vt:lpstr>Occupation_territoire</vt:lpstr>
      <vt:lpstr>TERUTI92-04</vt:lpstr>
      <vt:lpstr>teruti 2006-2014</vt:lpstr>
      <vt:lpstr>calcul prix carbus</vt:lpstr>
      <vt:lpstr>indice carbu</vt:lpstr>
      <vt:lpstr>calcul quantités_prix_2005_2009</vt:lpstr>
      <vt:lpstr>ICC53-10</vt:lpstr>
      <vt:lpstr>INSEE prix carbu</vt:lpstr>
      <vt:lpstr>SMIC brut</vt:lpstr>
      <vt:lpstr>prix_km</vt:lpstr>
      <vt:lpstr>hsmic100km</vt:lpstr>
      <vt:lpstr>nb_hsmicne_km_annuel</vt:lpstr>
      <vt:lpstr>km_par_heure_smic</vt:lpstr>
      <vt:lpstr>minutesmicarbu</vt:lpstr>
      <vt:lpstr>Prix_relatif_navigo_carbu</vt:lpstr>
      <vt:lpstr>prix_carbu</vt:lpstr>
      <vt:lpstr>Prix_carbu_coupon</vt:lpstr>
      <vt:lpstr>temps_SMIC_carburant</vt:lpstr>
      <vt:lpstr>Prix relatif log_carburant</vt:lpstr>
      <vt:lpstr>Prix relatif loyers_carbu</vt:lpstr>
      <vt:lpstr>Prix_relatif_ICC_carbu</vt:lpstr>
      <vt:lpstr>Prix_reels_logcarb</vt:lpstr>
      <vt:lpstr>Prix_relatifs_en_carbu</vt:lpstr>
      <vt:lpstr>prix_carbu_nomi_reel</vt:lpstr>
      <vt:lpstr>Ipcarb_icc_reels</vt:lpstr>
      <vt:lpstr>Evol_CUs</vt:lpstr>
      <vt:lpstr>Pcarb_ICC</vt:lpstr>
      <vt:lpstr>parts_budgetaires</vt:lpstr>
      <vt:lpstr>prix_reels</vt:lpstr>
      <vt:lpstr>volatilité_prix</vt:lpstr>
      <vt:lpstr>volatilité_parts_budgetaires</vt:lpstr>
      <vt:lpstr>Prix comparés</vt:lpstr>
      <vt:lpstr>indices_de_prix_2005</vt:lpstr>
      <vt:lpstr>Prix_reels_05</vt:lpstr>
      <vt:lpstr>TCNOM</vt:lpstr>
      <vt:lpstr>TCREEL</vt:lpstr>
      <vt:lpstr>TCREELPC</vt:lpstr>
      <vt:lpstr>TCREELPM</vt:lpstr>
      <vt:lpstr>ECART</vt:lpstr>
      <vt:lpstr>ECARTpc</vt:lpstr>
      <vt:lpstr>ECARTpm</vt:lpstr>
      <vt:lpstr>TCRDBMEN</vt:lpstr>
      <vt:lpstr>CONSO_CPDP</vt:lpstr>
      <vt:lpstr>Ecart-CPDP_INSEE</vt:lpstr>
      <vt:lpstr>Parts_log_transp</vt:lpstr>
      <vt:lpstr>LOG-TRANS-RATIO</vt:lpstr>
      <vt:lpstr>densité_urbaine_carburant</vt:lpstr>
      <vt:lpstr>I_PRIX_REELS</vt:lpstr>
      <vt:lpstr>Graf_prix_carbu_km_veh</vt:lpstr>
    </vt:vector>
  </TitlesOfParts>
  <Manager>Franck Nadaud - IR</Manager>
  <Company>CIRED - CNRS - UMR 8568</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Base CARBECO édition 2012.1</dc:title>
  <dc:subject>Base de données économiques sur les consommations de carburant en France</dc:subject>
  <dc:creator>Franck Nadaud - IR</dc:creator>
  <cp:keywords>carburant, ménages, France, données annuelles</cp:keywords>
  <dc:description>Edition 2012, Maj du 10 janvier 2013. données annuelles de 1960 à 2011_x000d_
Citation: Base CARBECO, Franck Nadaud, CIRED, CNRS UMR 8568.</dc:description>
  <cp:lastModifiedBy>Zardoz</cp:lastModifiedBy>
  <cp:lastPrinted>2013-01-10T10:18:38Z</cp:lastPrinted>
  <dcterms:created xsi:type="dcterms:W3CDTF">2006-10-31T10:40:56Z</dcterms:created>
  <dcterms:modified xsi:type="dcterms:W3CDTF">2019-01-15T14:55:05Z</dcterms:modified>
  <cp:category>données macroénergétiques France</cp:category>
</cp:coreProperties>
</file>