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showObjects="none" defaultThemeVersion="202300"/>
  <mc:AlternateContent xmlns:mc="http://schemas.openxmlformats.org/markup-compatibility/2006">
    <mc:Choice Requires="x15">
      <x15ac:absPath xmlns:x15ac="http://schemas.microsoft.com/office/spreadsheetml/2010/11/ac" url="C:\Users\ERAY\Desktop\"/>
    </mc:Choice>
  </mc:AlternateContent>
  <xr:revisionPtr revIDLastSave="0" documentId="8_{93786762-2C9C-49DA-82C7-22D54A151B36}" xr6:coauthVersionLast="47" xr6:coauthVersionMax="47" xr10:uidLastSave="{00000000-0000-0000-0000-000000000000}"/>
  <bookViews>
    <workbookView xWindow="9780" yWindow="0" windowWidth="9780" windowHeight="11520" activeTab="1" xr2:uid="{FA8D25A4-C5E5-409F-A125-DF147F471116}"/>
  </bookViews>
  <sheets>
    <sheet name="Main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" l="1"/>
  <c r="G21" i="2"/>
  <c r="F21" i="2"/>
  <c r="H21" i="2"/>
  <c r="I21" i="2"/>
  <c r="J21" i="2"/>
  <c r="E21" i="2"/>
  <c r="D21" i="2"/>
  <c r="C21" i="2"/>
  <c r="M20" i="2"/>
  <c r="O20" i="2"/>
  <c r="P20" i="2"/>
  <c r="J20" i="2"/>
  <c r="I20" i="2"/>
  <c r="H20" i="2"/>
  <c r="G20" i="2"/>
  <c r="P18" i="2"/>
  <c r="P17" i="2" s="1"/>
  <c r="O17" i="2"/>
  <c r="O16" i="2"/>
  <c r="P15" i="2"/>
  <c r="N15" i="2"/>
  <c r="O14" i="2"/>
  <c r="P13" i="2"/>
  <c r="O13" i="2"/>
  <c r="P9" i="2"/>
  <c r="P10" i="2"/>
  <c r="O12" i="2"/>
  <c r="O11" i="2"/>
  <c r="F11" i="2" s="1"/>
  <c r="P8" i="2"/>
  <c r="O7" i="2"/>
  <c r="P7" i="2"/>
  <c r="N7" i="2"/>
  <c r="P6" i="2"/>
  <c r="P5" i="2"/>
  <c r="I17" i="2"/>
  <c r="J17" i="2"/>
  <c r="J18" i="2"/>
  <c r="I18" i="2"/>
  <c r="I16" i="2"/>
  <c r="J16" i="2"/>
  <c r="H16" i="2"/>
  <c r="I15" i="2"/>
  <c r="I23" i="2" s="1"/>
  <c r="J15" i="2"/>
  <c r="J23" i="2" s="1"/>
  <c r="H23" i="2"/>
  <c r="G23" i="2"/>
  <c r="E23" i="2"/>
  <c r="D23" i="2"/>
  <c r="C23" i="2"/>
  <c r="F15" i="2"/>
  <c r="N13" i="2"/>
  <c r="G13" i="2"/>
  <c r="H13" i="2"/>
  <c r="I13" i="2" s="1"/>
  <c r="J13" i="2" s="1"/>
  <c r="H11" i="2"/>
  <c r="I8" i="2"/>
  <c r="I9" i="2"/>
  <c r="J9" i="2" s="1"/>
  <c r="I6" i="2"/>
  <c r="J6" i="2" s="1"/>
  <c r="I5" i="2"/>
  <c r="I7" i="2" s="1"/>
  <c r="F10" i="2"/>
  <c r="I10" i="2" s="1"/>
  <c r="F9" i="2"/>
  <c r="F8" i="2"/>
  <c r="F6" i="2"/>
  <c r="F5" i="2"/>
  <c r="H7" i="2"/>
  <c r="G11" i="2"/>
  <c r="G7" i="2"/>
  <c r="F13" i="2"/>
  <c r="F22" i="2" s="1"/>
  <c r="E13" i="2"/>
  <c r="E22" i="2" s="1"/>
  <c r="E11" i="2"/>
  <c r="E7" i="2"/>
  <c r="D13" i="2"/>
  <c r="D11" i="2"/>
  <c r="D7" i="2"/>
  <c r="D12" i="2" s="1"/>
  <c r="C13" i="2"/>
  <c r="D22" i="2" s="1"/>
  <c r="C11" i="2"/>
  <c r="C7" i="2"/>
  <c r="N11" i="2"/>
  <c r="C10" i="1"/>
  <c r="C9" i="1"/>
  <c r="C7" i="1"/>
  <c r="C8" i="1"/>
  <c r="P11" i="2" l="1"/>
  <c r="P12" i="2" s="1"/>
  <c r="P14" i="2" s="1"/>
  <c r="P16" i="2" s="1"/>
  <c r="N12" i="2"/>
  <c r="H12" i="2"/>
  <c r="H14" i="2" s="1"/>
  <c r="J5" i="2"/>
  <c r="J7" i="2" s="1"/>
  <c r="F7" i="2"/>
  <c r="J10" i="2"/>
  <c r="G22" i="2"/>
  <c r="H22" i="2"/>
  <c r="N14" i="2"/>
  <c r="N16" i="2" s="1"/>
  <c r="N17" i="2" s="1"/>
  <c r="H17" i="2"/>
  <c r="I11" i="2"/>
  <c r="I12" i="2" s="1"/>
  <c r="I14" i="2" s="1"/>
  <c r="J8" i="2"/>
  <c r="J11" i="2" s="1"/>
  <c r="E12" i="2"/>
  <c r="E14" i="2" s="1"/>
  <c r="E16" i="2" s="1"/>
  <c r="E17" i="2" s="1"/>
  <c r="G12" i="2"/>
  <c r="G14" i="2" s="1"/>
  <c r="G16" i="2" s="1"/>
  <c r="G17" i="2" s="1"/>
  <c r="C12" i="2"/>
  <c r="D14" i="2"/>
  <c r="D16" i="2" s="1"/>
  <c r="D17" i="2" s="1"/>
  <c r="F12" i="2" l="1"/>
  <c r="J12" i="2"/>
  <c r="J14" i="2" s="1"/>
  <c r="C14" i="2"/>
  <c r="F14" i="2" l="1"/>
  <c r="F23" i="2" s="1"/>
  <c r="C16" i="2"/>
  <c r="F16" i="2" l="1"/>
  <c r="F17" i="2"/>
  <c r="C17" i="2"/>
</calcChain>
</file>

<file path=xl/sharedStrings.xml><?xml version="1.0" encoding="utf-8"?>
<sst xmlns="http://schemas.openxmlformats.org/spreadsheetml/2006/main" count="63" uniqueCount="54">
  <si>
    <t>FIVN</t>
  </si>
  <si>
    <t>x</t>
  </si>
  <si>
    <t>Capital Structure</t>
  </si>
  <si>
    <t>Price</t>
  </si>
  <si>
    <t>S/O</t>
  </si>
  <si>
    <t>MC</t>
  </si>
  <si>
    <t>Cash</t>
  </si>
  <si>
    <t>Debt</t>
  </si>
  <si>
    <t>EV</t>
  </si>
  <si>
    <t>Q224</t>
  </si>
  <si>
    <t>PIC</t>
  </si>
  <si>
    <t>Information</t>
  </si>
  <si>
    <t>Cloud Contact Center</t>
  </si>
  <si>
    <t>Virtual Contact Center, VCC Cloud Platform</t>
  </si>
  <si>
    <t>Founded : 2001</t>
  </si>
  <si>
    <t>Expansion : 2009</t>
  </si>
  <si>
    <t>SaaS  Business Model</t>
  </si>
  <si>
    <t>Income Statement</t>
  </si>
  <si>
    <t>Revenue</t>
  </si>
  <si>
    <t>Cost of Revenue</t>
  </si>
  <si>
    <t>Gross Margin</t>
  </si>
  <si>
    <t>Gross Profit</t>
  </si>
  <si>
    <t>Research &amp; Development</t>
  </si>
  <si>
    <t>Sales &amp; Marketing</t>
  </si>
  <si>
    <t>General &amp; Administrative</t>
  </si>
  <si>
    <t>Operating Expense</t>
  </si>
  <si>
    <t>Operating Income</t>
  </si>
  <si>
    <t>Interest Income/Expense</t>
  </si>
  <si>
    <t>Pretax Income</t>
  </si>
  <si>
    <t>Taxes</t>
  </si>
  <si>
    <t>Net Income</t>
  </si>
  <si>
    <t>Earnings Per Shares</t>
  </si>
  <si>
    <t>Shares</t>
  </si>
  <si>
    <t>Revenue Y/Y</t>
  </si>
  <si>
    <t>Q123</t>
  </si>
  <si>
    <t>Q223</t>
  </si>
  <si>
    <t>Q323</t>
  </si>
  <si>
    <t>Q423</t>
  </si>
  <si>
    <t>Q124</t>
  </si>
  <si>
    <t>FY22</t>
  </si>
  <si>
    <t>FY23</t>
  </si>
  <si>
    <t>FY24</t>
  </si>
  <si>
    <t>Q324E</t>
  </si>
  <si>
    <t>Q424E</t>
  </si>
  <si>
    <t>FY25E</t>
  </si>
  <si>
    <t>FY26E</t>
  </si>
  <si>
    <t>FY27E</t>
  </si>
  <si>
    <t>FY28E</t>
  </si>
  <si>
    <t>FY29E</t>
  </si>
  <si>
    <t>Cash Flow Statement</t>
  </si>
  <si>
    <t>FY21</t>
  </si>
  <si>
    <t>FY20</t>
  </si>
  <si>
    <t>Interest Income/Expense Q/Q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</si>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</sst>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9"/>
      <color theme="1"/>
      <name val="Times New Roman"/>
      <family val="2"/>
      <charset val="162"/>
    </font>
    <font>
      <sz val="9"/>
      <color theme="0"/>
      <name val="Times New Roman"/>
      <family val="2"/>
      <charset val="162"/>
    </font>
    <font>
      <b/>
      <sz val="12"/>
      <color theme="1"/>
      <name val="Times New Roman"/>
      <family val="1"/>
      <charset val="162"/>
    </font>
    <font>
      <b/>
      <sz val="9"/>
      <color theme="1"/>
      <name val="Times New Roman"/>
      <family val="1"/>
      <charset val="162"/>
    </font>
    <font>
      <b/>
      <u/>
      <sz val="9"/>
      <color theme="1"/>
      <name val="Times New Roman"/>
      <family val="1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4" fontId="1" fillId="2" borderId="0" xfId="0" applyNumberFormat="1" applyFont="1" applyFill="1"/>
    <xf numFmtId="4" fontId="2" fillId="0" borderId="0" xfId="0" applyNumberFormat="1" applyFont="1"/>
    <xf numFmtId="4" fontId="0" fillId="0" borderId="0" xfId="0" applyNumberFormat="1"/>
    <xf numFmtId="4" fontId="1" fillId="2" borderId="1" xfId="0" applyNumberFormat="1" applyFont="1" applyFill="1" applyBorder="1"/>
    <xf numFmtId="4" fontId="0" fillId="0" borderId="1" xfId="0" applyNumberFormat="1" applyBorder="1"/>
    <xf numFmtId="4" fontId="3" fillId="0" borderId="0" xfId="0" applyNumberFormat="1" applyFont="1"/>
    <xf numFmtId="4" fontId="4" fillId="0" borderId="0" xfId="0" applyNumberFormat="1" applyFont="1"/>
    <xf numFmtId="4" fontId="1" fillId="0" borderId="0" xfId="0" applyNumberFormat="1" applyFont="1"/>
    <xf numFmtId="4" fontId="1" fillId="0" borderId="1" xfId="0" applyNumberFormat="1" applyFont="1" applyBorder="1"/>
    <xf numFmtId="4" fontId="3" fillId="0" borderId="0" xfId="0" applyNumberFormat="1" applyFont="1" applyAlignment="1">
      <alignment horizontal="righ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6E76C-CDC3-4B2B-B8D0-BA9C2DB15BD6}">
  <dimension ref="A1:D20"/>
  <sheetViews>
    <sheetView showGridLines="0" workbookViewId="0">
      <selection activeCell="C23" sqref="C23"/>
    </sheetView>
  </sheetViews>
  <sheetFormatPr defaultRowHeight="12" x14ac:dyDescent="0.2"/>
  <cols>
    <col min="1" max="1" width="3.6640625" style="1" customWidth="1"/>
    <col min="2" max="2" width="9.33203125" style="3"/>
    <col min="3" max="3" width="11.6640625" style="3" bestFit="1" customWidth="1"/>
    <col min="4" max="16384" width="9.33203125" style="3"/>
  </cols>
  <sheetData>
    <row r="1" spans="1:4" ht="15.75" x14ac:dyDescent="0.25">
      <c r="A1" s="1" t="s">
        <v>1</v>
      </c>
      <c r="B1" s="2" t="s">
        <v>0</v>
      </c>
    </row>
    <row r="2" spans="1:4" s="5" customFormat="1" x14ac:dyDescent="0.2">
      <c r="A2" s="4"/>
    </row>
    <row r="3" spans="1:4" x14ac:dyDescent="0.2">
      <c r="A3" s="1" t="s">
        <v>1</v>
      </c>
      <c r="B3" s="7" t="s">
        <v>2</v>
      </c>
    </row>
    <row r="5" spans="1:4" x14ac:dyDescent="0.2">
      <c r="B5" s="3" t="s">
        <v>3</v>
      </c>
      <c r="C5" s="3">
        <v>28.38</v>
      </c>
    </row>
    <row r="6" spans="1:4" x14ac:dyDescent="0.2">
      <c r="B6" s="3" t="s">
        <v>4</v>
      </c>
      <c r="C6" s="3">
        <v>74736.097999999998</v>
      </c>
      <c r="D6" s="3" t="s">
        <v>9</v>
      </c>
    </row>
    <row r="7" spans="1:4" x14ac:dyDescent="0.2">
      <c r="B7" s="3" t="s">
        <v>5</v>
      </c>
      <c r="C7" s="3">
        <f>C5*C6</f>
        <v>2121010.4612400001</v>
      </c>
    </row>
    <row r="8" spans="1:4" x14ac:dyDescent="0.2">
      <c r="B8" s="3" t="s">
        <v>6</v>
      </c>
      <c r="C8" s="3">
        <f>175.669+930.639</f>
        <v>1106.308</v>
      </c>
      <c r="D8" s="3" t="s">
        <v>9</v>
      </c>
    </row>
    <row r="9" spans="1:4" x14ac:dyDescent="0.2">
      <c r="B9" s="3" t="s">
        <v>7</v>
      </c>
      <c r="C9" s="3">
        <f>432.364+730.012</f>
        <v>1162.376</v>
      </c>
      <c r="D9" s="3" t="s">
        <v>9</v>
      </c>
    </row>
    <row r="10" spans="1:4" x14ac:dyDescent="0.2">
      <c r="B10" s="3" t="s">
        <v>8</v>
      </c>
      <c r="C10" s="3">
        <f>C7-C8+C9</f>
        <v>2121066.5292400001</v>
      </c>
    </row>
    <row r="12" spans="1:4" x14ac:dyDescent="0.2">
      <c r="B12" s="3" t="s">
        <v>10</v>
      </c>
      <c r="C12" s="3">
        <v>951.048</v>
      </c>
    </row>
    <row r="14" spans="1:4" x14ac:dyDescent="0.2">
      <c r="A14" s="1" t="s">
        <v>1</v>
      </c>
      <c r="B14" s="7" t="s">
        <v>11</v>
      </c>
    </row>
    <row r="16" spans="1:4" x14ac:dyDescent="0.2">
      <c r="B16" s="3" t="s">
        <v>12</v>
      </c>
    </row>
    <row r="17" spans="2:2" x14ac:dyDescent="0.2">
      <c r="B17" s="3" t="s">
        <v>13</v>
      </c>
    </row>
    <row r="18" spans="2:2" x14ac:dyDescent="0.2">
      <c r="B18" s="3" t="s">
        <v>14</v>
      </c>
    </row>
    <row r="19" spans="2:2" x14ac:dyDescent="0.2">
      <c r="B19" s="3" t="s">
        <v>15</v>
      </c>
    </row>
    <row r="20" spans="2:2" x14ac:dyDescent="0.2">
      <c r="B20" s="3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65E7F-5430-49C3-9E1C-0864691E4716}">
  <dimension ref="A1:U25"/>
  <sheetViews>
    <sheetView showGridLines="0" tabSelected="1" topLeftCell="J1" workbookViewId="0">
      <selection activeCell="M23" sqref="M23"/>
    </sheetView>
  </sheetViews>
  <sheetFormatPr defaultRowHeight="12" x14ac:dyDescent="0.2"/>
  <cols>
    <col min="1" max="1" width="3.1640625" style="8" customWidth="1"/>
    <col min="2" max="2" width="22.33203125" style="3" bestFit="1" customWidth="1"/>
    <col min="3" max="3" width="12.6640625" style="3" bestFit="1" customWidth="1"/>
    <col min="4" max="11" width="9.33203125" style="3"/>
    <col min="12" max="12" width="10.1640625" style="3" bestFit="1" customWidth="1"/>
    <col min="13" max="16384" width="9.33203125" style="3"/>
  </cols>
  <sheetData>
    <row r="1" spans="1:21" x14ac:dyDescent="0.2">
      <c r="A1" s="8" t="s">
        <v>1</v>
      </c>
      <c r="B1" s="6" t="s">
        <v>0</v>
      </c>
    </row>
    <row r="2" spans="1:21" s="5" customFormat="1" x14ac:dyDescent="0.2">
      <c r="A2" s="9"/>
    </row>
    <row r="3" spans="1:21" x14ac:dyDescent="0.2">
      <c r="A3" s="8" t="s">
        <v>1</v>
      </c>
      <c r="B3" s="7" t="s">
        <v>17</v>
      </c>
      <c r="C3" s="10" t="s">
        <v>34</v>
      </c>
      <c r="D3" s="10" t="s">
        <v>35</v>
      </c>
      <c r="E3" s="10" t="s">
        <v>36</v>
      </c>
      <c r="F3" s="10" t="s">
        <v>37</v>
      </c>
      <c r="G3" s="10" t="s">
        <v>38</v>
      </c>
      <c r="H3" s="10" t="s">
        <v>9</v>
      </c>
      <c r="I3" s="10" t="s">
        <v>42</v>
      </c>
      <c r="J3" s="10" t="s">
        <v>43</v>
      </c>
      <c r="K3" s="10"/>
      <c r="L3" s="10" t="s">
        <v>51</v>
      </c>
      <c r="M3" s="10" t="s">
        <v>50</v>
      </c>
      <c r="N3" s="10" t="s">
        <v>39</v>
      </c>
      <c r="O3" s="10" t="s">
        <v>40</v>
      </c>
      <c r="P3" s="10" t="s">
        <v>41</v>
      </c>
      <c r="Q3" s="10" t="s">
        <v>44</v>
      </c>
      <c r="R3" s="10" t="s">
        <v>45</v>
      </c>
      <c r="S3" s="10" t="s">
        <v>46</v>
      </c>
      <c r="T3" s="10" t="s">
        <v>47</v>
      </c>
      <c r="U3" s="10" t="s">
        <v>48</v>
      </c>
    </row>
    <row r="5" spans="1:21" x14ac:dyDescent="0.2">
      <c r="B5" s="3" t="s">
        <v>18</v>
      </c>
      <c r="C5" s="3">
        <v>218.43899999999999</v>
      </c>
      <c r="D5" s="3">
        <v>222.88200000000001</v>
      </c>
      <c r="E5" s="3">
        <v>230.10499999999999</v>
      </c>
      <c r="F5" s="3">
        <f>O5-SUM(C5:E5)</f>
        <v>239.06200000000001</v>
      </c>
      <c r="G5" s="3">
        <v>247.01</v>
      </c>
      <c r="H5" s="3">
        <v>252.08600000000001</v>
      </c>
      <c r="I5" s="3">
        <f>+H5*1.012</f>
        <v>255.11103200000002</v>
      </c>
      <c r="J5" s="3">
        <f>+I5*1.024</f>
        <v>261.23369676800002</v>
      </c>
      <c r="N5" s="3">
        <v>778.846</v>
      </c>
      <c r="O5" s="3">
        <v>910.48800000000006</v>
      </c>
      <c r="P5" s="3">
        <f>SUM(G5:J5)</f>
        <v>1015.4407287680001</v>
      </c>
    </row>
    <row r="6" spans="1:21" x14ac:dyDescent="0.2">
      <c r="B6" s="3" t="s">
        <v>19</v>
      </c>
      <c r="C6" s="3">
        <v>104.756</v>
      </c>
      <c r="D6" s="3">
        <v>104.361</v>
      </c>
      <c r="E6" s="3">
        <v>111.08</v>
      </c>
      <c r="F6" s="3">
        <f>O6-SUM(C6:E6)</f>
        <v>112.49299999999999</v>
      </c>
      <c r="G6" s="3">
        <v>114.53</v>
      </c>
      <c r="H6" s="3">
        <v>118.414</v>
      </c>
      <c r="I6" s="3">
        <f>+H6*1.012</f>
        <v>119.834968</v>
      </c>
      <c r="J6" s="3">
        <f>+I6*1.024</f>
        <v>122.711007232</v>
      </c>
      <c r="N6" s="3">
        <v>367.50099999999998</v>
      </c>
      <c r="O6" s="3">
        <v>432.69</v>
      </c>
      <c r="P6" s="3">
        <f>SUM(G6:J6)</f>
        <v>475.48997523200001</v>
      </c>
    </row>
    <row r="7" spans="1:21" x14ac:dyDescent="0.2">
      <c r="B7" s="3" t="s">
        <v>21</v>
      </c>
      <c r="C7" s="3">
        <f>+C5-C6</f>
        <v>113.68299999999999</v>
      </c>
      <c r="D7" s="3">
        <f>+D5-D6</f>
        <v>118.521</v>
      </c>
      <c r="E7" s="3">
        <f>+E5-E6</f>
        <v>119.02499999999999</v>
      </c>
      <c r="F7" s="3">
        <f>O7-SUM(C7:E7)</f>
        <v>126.56900000000007</v>
      </c>
      <c r="G7" s="3">
        <f>+G5-G6</f>
        <v>132.47999999999999</v>
      </c>
      <c r="H7" s="3">
        <f>+H5-H6</f>
        <v>133.67200000000003</v>
      </c>
      <c r="I7" s="3">
        <f>+I5-I6</f>
        <v>135.27606400000002</v>
      </c>
      <c r="J7" s="3">
        <f>+J5-J6</f>
        <v>138.52268953600003</v>
      </c>
      <c r="N7" s="3">
        <f>+N5-N6</f>
        <v>411.34500000000003</v>
      </c>
      <c r="O7" s="3">
        <f>+O5-O6</f>
        <v>477.79800000000006</v>
      </c>
      <c r="P7" s="3">
        <f>+P5-P6</f>
        <v>539.95075353600009</v>
      </c>
    </row>
    <row r="8" spans="1:21" x14ac:dyDescent="0.2">
      <c r="B8" s="3" t="s">
        <v>22</v>
      </c>
      <c r="C8" s="3">
        <v>38.107999999999997</v>
      </c>
      <c r="D8" s="3">
        <v>39.21</v>
      </c>
      <c r="E8" s="3">
        <v>40.390999999999998</v>
      </c>
      <c r="F8" s="3">
        <f>O8-SUM(C8:E8)</f>
        <v>38.87299999999999</v>
      </c>
      <c r="G8" s="3">
        <v>41.518000000000001</v>
      </c>
      <c r="H8" s="3">
        <v>40.716999999999999</v>
      </c>
      <c r="I8" s="3">
        <f>AVERAGE(C8:H8)*1.02</f>
        <v>40.598889999999997</v>
      </c>
      <c r="J8" s="3">
        <f>AVERAGE(C8:I8)*1.023</f>
        <v>40.834636495714278</v>
      </c>
      <c r="N8" s="3">
        <v>141.79400000000001</v>
      </c>
      <c r="O8" s="3">
        <v>156.58199999999999</v>
      </c>
      <c r="P8" s="3">
        <f>SUM(G8:J8)</f>
        <v>163.66852649571427</v>
      </c>
    </row>
    <row r="9" spans="1:21" x14ac:dyDescent="0.2">
      <c r="B9" s="3" t="s">
        <v>23</v>
      </c>
      <c r="C9" s="3">
        <v>76.313999999999993</v>
      </c>
      <c r="D9" s="3">
        <v>74.076999999999998</v>
      </c>
      <c r="E9" s="3">
        <v>73.366</v>
      </c>
      <c r="F9" s="3">
        <f>O9-SUM(C9:E9)</f>
        <v>72.956000000000017</v>
      </c>
      <c r="G9" s="3">
        <v>81.108999999999995</v>
      </c>
      <c r="H9" s="3">
        <v>78.331999999999994</v>
      </c>
      <c r="I9" s="3">
        <f>+H9*1.012</f>
        <v>79.271983999999989</v>
      </c>
      <c r="J9" s="3">
        <f>+I9*1.024</f>
        <v>81.17451161599999</v>
      </c>
      <c r="N9" s="3">
        <v>261.99</v>
      </c>
      <c r="O9" s="3">
        <v>296.71300000000002</v>
      </c>
      <c r="P9" s="3">
        <f>SUM(G9:J9)</f>
        <v>319.88749561599991</v>
      </c>
    </row>
    <row r="10" spans="1:21" x14ac:dyDescent="0.2">
      <c r="B10" s="3" t="s">
        <v>24</v>
      </c>
      <c r="C10" s="3">
        <v>28.257999999999999</v>
      </c>
      <c r="D10" s="3">
        <v>30.477</v>
      </c>
      <c r="E10" s="3">
        <v>31.006</v>
      </c>
      <c r="F10" s="3">
        <f>O10-SUM(C10:E10)</f>
        <v>33.337999999999994</v>
      </c>
      <c r="G10" s="3">
        <v>30.547999999999998</v>
      </c>
      <c r="H10" s="3">
        <v>33.988</v>
      </c>
      <c r="I10" s="3">
        <f>AVERAGE(C10:H10)*1.05</f>
        <v>32.832625</v>
      </c>
      <c r="J10" s="3">
        <f>AVERAGE(C10:I10)*1.028</f>
        <v>32.374308357142851</v>
      </c>
      <c r="N10" s="3">
        <v>95.143000000000001</v>
      </c>
      <c r="O10" s="3">
        <v>123.07899999999999</v>
      </c>
      <c r="P10" s="3">
        <f>SUM(G10:J10)</f>
        <v>129.74293335714287</v>
      </c>
    </row>
    <row r="11" spans="1:21" x14ac:dyDescent="0.2">
      <c r="B11" s="3" t="s">
        <v>25</v>
      </c>
      <c r="C11" s="3">
        <f>SUM(C8:C10)</f>
        <v>142.68</v>
      </c>
      <c r="D11" s="3">
        <f>SUM(D8:D10)</f>
        <v>143.76400000000001</v>
      </c>
      <c r="E11" s="3">
        <f>SUM(E8:E10)</f>
        <v>144.76300000000001</v>
      </c>
      <c r="F11" s="3">
        <f>O11-SUM(C11:E11)</f>
        <v>145.16700000000003</v>
      </c>
      <c r="G11" s="3">
        <f>SUM(G8:G10)</f>
        <v>153.17499999999998</v>
      </c>
      <c r="H11" s="3">
        <f>SUM(H8:H10)</f>
        <v>153.03699999999998</v>
      </c>
      <c r="I11" s="3">
        <f>SUM(I8:I10)</f>
        <v>152.70349899999999</v>
      </c>
      <c r="J11" s="3">
        <f>SUM(J8:J10)</f>
        <v>154.3834564688571</v>
      </c>
      <c r="N11" s="3">
        <f>SUM(N8:N10)</f>
        <v>498.92700000000002</v>
      </c>
      <c r="O11" s="3">
        <f>SUM(O8:O10)</f>
        <v>576.37400000000002</v>
      </c>
      <c r="P11" s="3">
        <f>SUM(P8:P10)</f>
        <v>613.298955468857</v>
      </c>
    </row>
    <row r="12" spans="1:21" x14ac:dyDescent="0.2">
      <c r="B12" s="3" t="s">
        <v>26</v>
      </c>
      <c r="C12" s="3">
        <f>C7-C11</f>
        <v>-28.997000000000014</v>
      </c>
      <c r="D12" s="3">
        <f>D7-D11</f>
        <v>-25.243000000000009</v>
      </c>
      <c r="E12" s="3">
        <f>E7-E11</f>
        <v>-25.738000000000014</v>
      </c>
      <c r="F12" s="3">
        <f>O12-SUM(C12:E12)</f>
        <v>-18.597999999999928</v>
      </c>
      <c r="G12" s="3">
        <f>G7-G11</f>
        <v>-20.694999999999993</v>
      </c>
      <c r="H12" s="3">
        <f>H7-H11</f>
        <v>-19.364999999999952</v>
      </c>
      <c r="I12" s="3">
        <f>I7-I11</f>
        <v>-17.427434999999974</v>
      </c>
      <c r="J12" s="3">
        <f>J7-J11</f>
        <v>-15.860766932857075</v>
      </c>
      <c r="N12" s="3">
        <f>N7-N11</f>
        <v>-87.581999999999994</v>
      </c>
      <c r="O12" s="3">
        <f>O7-O11</f>
        <v>-98.575999999999965</v>
      </c>
      <c r="P12" s="3">
        <f>P7-P11</f>
        <v>-73.348201932856909</v>
      </c>
    </row>
    <row r="13" spans="1:21" x14ac:dyDescent="0.2">
      <c r="B13" s="3" t="s">
        <v>27</v>
      </c>
      <c r="C13" s="3">
        <f>-1.845+4.121</f>
        <v>2.2760000000000007</v>
      </c>
      <c r="D13" s="3">
        <f>-1.866+6.123</f>
        <v>4.2569999999999997</v>
      </c>
      <c r="E13" s="3">
        <f>-1.972+8.233</f>
        <v>6.261000000000001</v>
      </c>
      <c r="F13" s="3">
        <f>O13-SUM(C13:E13)</f>
        <v>6.3589999999999982</v>
      </c>
      <c r="G13" s="3">
        <f>-2.567+6.615+10.559</f>
        <v>14.606999999999999</v>
      </c>
      <c r="H13" s="3">
        <f>-3.906+13.8</f>
        <v>9.8940000000000001</v>
      </c>
      <c r="I13" s="3">
        <f>H13*1.37</f>
        <v>13.554780000000001</v>
      </c>
      <c r="J13" s="3">
        <f>I13*1.37</f>
        <v>18.570048600000003</v>
      </c>
      <c r="N13" s="3">
        <f>-7.493+4.813</f>
        <v>-2.6800000000000006</v>
      </c>
      <c r="O13" s="3">
        <f>-7.646+26.799</f>
        <v>19.152999999999999</v>
      </c>
      <c r="P13" s="3">
        <f>SUM(G13:J13)</f>
        <v>56.625828600000006</v>
      </c>
    </row>
    <row r="14" spans="1:21" x14ac:dyDescent="0.2">
      <c r="B14" s="3" t="s">
        <v>28</v>
      </c>
      <c r="C14" s="3">
        <f>C12+C13</f>
        <v>-26.721000000000014</v>
      </c>
      <c r="D14" s="3">
        <f>D12+D13</f>
        <v>-20.986000000000011</v>
      </c>
      <c r="E14" s="3">
        <f>E12+E13</f>
        <v>-19.477000000000011</v>
      </c>
      <c r="F14" s="3">
        <f>O14-SUM(C14:E14)</f>
        <v>-12.238999999999947</v>
      </c>
      <c r="G14" s="3">
        <f>G12+G13</f>
        <v>-6.0879999999999939</v>
      </c>
      <c r="H14" s="3">
        <f>H12+H13</f>
        <v>-9.4709999999999521</v>
      </c>
      <c r="I14" s="3">
        <f t="shared" ref="I14:J14" si="0">I12+I13</f>
        <v>-3.8726549999999733</v>
      </c>
      <c r="J14" s="3">
        <f t="shared" si="0"/>
        <v>2.7092816671429283</v>
      </c>
      <c r="N14" s="3">
        <f>N12+N13</f>
        <v>-90.262</v>
      </c>
      <c r="O14" s="3">
        <f>O12+O13</f>
        <v>-79.422999999999973</v>
      </c>
      <c r="P14" s="3">
        <f>P12+P13</f>
        <v>-16.722373332856904</v>
      </c>
    </row>
    <row r="15" spans="1:21" x14ac:dyDescent="0.2">
      <c r="B15" s="3" t="s">
        <v>29</v>
      </c>
      <c r="C15" s="3">
        <v>-0.52700000000000002</v>
      </c>
      <c r="D15" s="3">
        <v>-0.753</v>
      </c>
      <c r="E15" s="3">
        <v>-0.94199999999999995</v>
      </c>
      <c r="F15" s="3">
        <f>O15-SUM(C15:E15)</f>
        <v>-0.11900000000000022</v>
      </c>
      <c r="G15" s="3">
        <v>-0.98899999999999999</v>
      </c>
      <c r="H15" s="3">
        <v>-3.3450000000000002</v>
      </c>
      <c r="I15" s="3">
        <f>AVERAGE(C15:H15)</f>
        <v>-1.1125</v>
      </c>
      <c r="J15" s="3">
        <f>J14*0.3</f>
        <v>0.81278450014287851</v>
      </c>
      <c r="N15" s="3">
        <f>-4.388</f>
        <v>-4.3879999999999999</v>
      </c>
      <c r="O15" s="3">
        <v>-2.3410000000000002</v>
      </c>
      <c r="P15" s="3">
        <f>SUM(G15:J15)</f>
        <v>-4.6337154998571215</v>
      </c>
    </row>
    <row r="16" spans="1:21" x14ac:dyDescent="0.2">
      <c r="B16" s="3" t="s">
        <v>30</v>
      </c>
      <c r="C16" s="3">
        <f>SUM(C14:C15)</f>
        <v>-27.248000000000015</v>
      </c>
      <c r="D16" s="3">
        <f>SUM(D14:D15)</f>
        <v>-21.739000000000011</v>
      </c>
      <c r="E16" s="3">
        <f>SUM(E14:E15)</f>
        <v>-20.419000000000011</v>
      </c>
      <c r="F16" s="3">
        <f>O16-SUM(C16:E16)</f>
        <v>-12.357999999999933</v>
      </c>
      <c r="G16" s="3">
        <f>SUM(G14:G15)</f>
        <v>-7.0769999999999937</v>
      </c>
      <c r="H16" s="3">
        <f>SUM(H14:H15)</f>
        <v>-12.815999999999953</v>
      </c>
      <c r="I16" s="3">
        <f t="shared" ref="I16:J16" si="1">SUM(I14:I15)</f>
        <v>-4.9851549999999731</v>
      </c>
      <c r="J16" s="3">
        <f t="shared" si="1"/>
        <v>3.5220661672858067</v>
      </c>
      <c r="N16" s="3">
        <f>SUM(N14:N15)</f>
        <v>-94.65</v>
      </c>
      <c r="O16" s="3">
        <f>SUM(O14:O15)</f>
        <v>-81.763999999999967</v>
      </c>
      <c r="P16" s="3">
        <f>SUM(P14:P15)</f>
        <v>-21.356088832714025</v>
      </c>
    </row>
    <row r="17" spans="1:18" x14ac:dyDescent="0.2">
      <c r="B17" s="3" t="s">
        <v>31</v>
      </c>
      <c r="C17" s="3">
        <f>C16/C18</f>
        <v>-0.38282312752417524</v>
      </c>
      <c r="D17" s="3">
        <f>D16/D18</f>
        <v>-0.30104284709787454</v>
      </c>
      <c r="E17" s="3">
        <f>E16/E18</f>
        <v>-0.2808822804191185</v>
      </c>
      <c r="F17" s="3">
        <f>O17-SUM(C17:E17)</f>
        <v>-0.15031764300228101</v>
      </c>
      <c r="G17" s="3">
        <f>G16/G18</f>
        <v>-9.580605183693576E-2</v>
      </c>
      <c r="H17" s="3">
        <f>H16/H18</f>
        <v>-0.17148339748751604</v>
      </c>
      <c r="I17" s="3">
        <f t="shared" ref="I17:J17" si="2">I16/I18</f>
        <v>-6.8385856664252981E-2</v>
      </c>
      <c r="J17" s="3">
        <f t="shared" si="2"/>
        <v>4.8125988747190221E-2</v>
      </c>
      <c r="N17" s="3">
        <f>N16/N18</f>
        <v>-1.3302630702387335</v>
      </c>
      <c r="O17" s="3">
        <f>O16/O18</f>
        <v>-1.1150658980434494</v>
      </c>
      <c r="P17" s="3">
        <f>P16/P18</f>
        <v>-0.28988280985878739</v>
      </c>
    </row>
    <row r="18" spans="1:18" x14ac:dyDescent="0.2">
      <c r="B18" s="3" t="s">
        <v>32</v>
      </c>
      <c r="C18" s="3">
        <v>71.176473000000001</v>
      </c>
      <c r="D18" s="3">
        <v>72.212311999999997</v>
      </c>
      <c r="E18" s="3">
        <v>72.695935000000006</v>
      </c>
      <c r="F18" s="3">
        <v>72.695935000000006</v>
      </c>
      <c r="G18" s="3">
        <v>73.867985000000004</v>
      </c>
      <c r="H18" s="3">
        <v>74.736097999999998</v>
      </c>
      <c r="I18" s="3">
        <f>AVERAGE(C18:H18)</f>
        <v>72.897456333333324</v>
      </c>
      <c r="J18" s="3">
        <f>AVERAGE(D18:I18)</f>
        <v>73.184286888888877</v>
      </c>
      <c r="N18" s="3">
        <v>71.151340000000005</v>
      </c>
      <c r="O18" s="3">
        <v>73.326607999999993</v>
      </c>
      <c r="P18" s="3">
        <f>AVERAGE(G18:J18)</f>
        <v>73.671456555555551</v>
      </c>
    </row>
    <row r="20" spans="1:18" x14ac:dyDescent="0.2">
      <c r="B20" s="3" t="s">
        <v>33</v>
      </c>
      <c r="C20" s="11"/>
      <c r="D20" s="11"/>
      <c r="E20" s="11"/>
      <c r="F20" s="11"/>
      <c r="G20" s="11">
        <f>G5/C5-1</f>
        <v>0.13079624059806161</v>
      </c>
      <c r="H20" s="11">
        <f>H5/D5-1</f>
        <v>0.13102897497330424</v>
      </c>
      <c r="I20" s="11">
        <f>I5/E5-1</f>
        <v>0.10867226700853982</v>
      </c>
      <c r="J20" s="11">
        <f>J5/F5-1</f>
        <v>9.2744546469116784E-2</v>
      </c>
      <c r="K20" s="11"/>
      <c r="L20" s="11"/>
      <c r="M20" s="11" t="e">
        <f>M5/L5-1</f>
        <v>#DIV/0!</v>
      </c>
      <c r="N20" s="11" t="e">
        <f>N5/M5-1</f>
        <v>#DIV/0!</v>
      </c>
      <c r="O20" s="11">
        <f>O5/N5-1</f>
        <v>0.16902186054752799</v>
      </c>
      <c r="P20" s="11">
        <f>P5/O5-1</f>
        <v>0.11527085339729903</v>
      </c>
      <c r="Q20" s="11"/>
      <c r="R20" s="11"/>
    </row>
    <row r="21" spans="1:18" x14ac:dyDescent="0.2">
      <c r="B21" s="3" t="s">
        <v>20</v>
      </c>
      <c r="C21" s="11">
        <f>C7/C5</f>
        <v>0.52043362220116374</v>
      </c>
      <c r="D21" s="11">
        <f>D7/D5</f>
        <v>0.53176568767329802</v>
      </c>
      <c r="E21" s="11">
        <f>E7/E5</f>
        <v>0.51726385780404593</v>
      </c>
      <c r="F21" s="11">
        <f>F7/F5</f>
        <v>0.52944006157398527</v>
      </c>
      <c r="G21" s="11">
        <f>G7/G5</f>
        <v>0.53633456135379132</v>
      </c>
      <c r="H21" s="11">
        <f t="shared" ref="F21:J21" si="3">H7/H5</f>
        <v>0.53026348151027836</v>
      </c>
      <c r="I21" s="11">
        <f t="shared" si="3"/>
        <v>0.53026348151027825</v>
      </c>
      <c r="J21" s="11">
        <f t="shared" si="3"/>
        <v>0.53026348151027836</v>
      </c>
      <c r="K21" s="11"/>
      <c r="L21" s="11"/>
      <c r="M21" s="11"/>
      <c r="N21" s="11"/>
      <c r="O21" s="11"/>
      <c r="P21" s="11"/>
      <c r="Q21" s="11"/>
      <c r="R21" s="11"/>
    </row>
    <row r="22" spans="1:18" x14ac:dyDescent="0.2">
      <c r="B22" s="3" t="s">
        <v>52</v>
      </c>
      <c r="C22" s="11"/>
      <c r="D22" s="11">
        <f>D13/C13-1</f>
        <v>0.8703866432337426</v>
      </c>
      <c r="E22" s="11">
        <f>E13/D13-1</f>
        <v>0.47075405214940136</v>
      </c>
      <c r="F22" s="11">
        <f>F13/E13-1</f>
        <v>1.5652451685033819E-2</v>
      </c>
      <c r="G22" s="11">
        <f>G13/F13-1</f>
        <v>1.2970592860512666</v>
      </c>
      <c r="H22" s="11">
        <f>H13/G13-1</f>
        <v>-0.32265352228383648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pans="1:18" x14ac:dyDescent="0.2">
      <c r="B23" s="3" t="s">
        <v>53</v>
      </c>
      <c r="C23" s="11">
        <f>C15/C14</f>
        <v>1.9722315781594991E-2</v>
      </c>
      <c r="D23" s="11">
        <f>D15/D14</f>
        <v>3.5881063566186963E-2</v>
      </c>
      <c r="E23" s="11">
        <f>E15/E14</f>
        <v>4.8364737895979844E-2</v>
      </c>
      <c r="F23" s="11">
        <f>F15/F14</f>
        <v>9.7230165863224707E-3</v>
      </c>
      <c r="G23" s="11">
        <f>G15/G14</f>
        <v>0.1624507227332459</v>
      </c>
      <c r="H23" s="11">
        <f>H15/H14</f>
        <v>0.35318340196389159</v>
      </c>
      <c r="I23" s="11">
        <f>I15/I14</f>
        <v>0.28727061925216879</v>
      </c>
      <c r="J23" s="11">
        <f>J15/J14</f>
        <v>0.3</v>
      </c>
      <c r="K23" s="11"/>
      <c r="L23" s="11"/>
      <c r="M23" s="11"/>
      <c r="N23" s="11"/>
      <c r="O23" s="11"/>
      <c r="P23" s="11"/>
      <c r="Q23" s="11"/>
      <c r="R23" s="11"/>
    </row>
    <row r="25" spans="1:18" x14ac:dyDescent="0.2">
      <c r="A25" s="8" t="s">
        <v>1</v>
      </c>
      <c r="B25" s="7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officialeraygunel@gmail.com</dc:creator>
  <cp:lastModifiedBy>officialeraygunel@gmail.com</cp:lastModifiedBy>
  <dcterms:created xsi:type="dcterms:W3CDTF">2024-10-09T18:32:33Z</dcterms:created>
  <dcterms:modified xsi:type="dcterms:W3CDTF">2024-10-09T22:08:16Z</dcterms:modified>
</cp:coreProperties>
</file>