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esktop\"/>
    </mc:Choice>
  </mc:AlternateContent>
  <xr:revisionPtr revIDLastSave="0" documentId="8_{E6264312-AD86-4F98-AA2E-DD2AE5F8F466}" xr6:coauthVersionLast="47" xr6:coauthVersionMax="47" xr10:uidLastSave="{00000000-0000-0000-0000-000000000000}"/>
  <bookViews>
    <workbookView xWindow="-108" yWindow="-108" windowWidth="23256" windowHeight="12456" activeTab="1" xr2:uid="{2EC2D78F-18D5-4FFC-9B8E-DB46E6C7E844}"/>
  </bookViews>
  <sheets>
    <sheet name="Main" sheetId="1" r:id="rId1"/>
    <sheet name="module" sheetId="2" r:id="rId2"/>
    <sheet name="obefazimod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" i="2" l="1"/>
  <c r="AA38" i="2"/>
  <c r="Z38" i="2"/>
  <c r="Y38" i="2"/>
  <c r="X38" i="2"/>
  <c r="W38" i="2"/>
  <c r="V38" i="2"/>
  <c r="U38" i="2"/>
  <c r="T38" i="2"/>
  <c r="S38" i="2"/>
  <c r="R38" i="2"/>
  <c r="Q38" i="2"/>
  <c r="U34" i="2"/>
  <c r="T34" i="2"/>
  <c r="S34" i="2"/>
  <c r="R34" i="2"/>
  <c r="Q34" i="2"/>
  <c r="AA32" i="2"/>
  <c r="Z32" i="2"/>
  <c r="Y32" i="2"/>
  <c r="X32" i="2"/>
  <c r="W32" i="2"/>
  <c r="V32" i="2"/>
  <c r="U32" i="2"/>
  <c r="T32" i="2"/>
  <c r="S32" i="2"/>
  <c r="R32" i="2"/>
  <c r="S24" i="2"/>
  <c r="R24" i="2"/>
  <c r="Q24" i="2"/>
  <c r="P24" i="2"/>
  <c r="O24" i="2"/>
  <c r="N24" i="2"/>
  <c r="M24" i="2"/>
  <c r="L24" i="2"/>
  <c r="K24" i="2"/>
  <c r="J24" i="2"/>
  <c r="I24" i="2"/>
  <c r="AB32" i="2"/>
  <c r="AA35" i="2"/>
  <c r="Z35" i="2"/>
  <c r="Y35" i="2"/>
  <c r="X35" i="2"/>
  <c r="W35" i="2"/>
  <c r="V35" i="2"/>
  <c r="U35" i="2"/>
  <c r="T35" i="2"/>
  <c r="S35" i="2"/>
  <c r="R35" i="2"/>
  <c r="AB34" i="2"/>
  <c r="AB36" i="2"/>
  <c r="AB42" i="2"/>
  <c r="AB41" i="2" s="1"/>
  <c r="AB43" i="2"/>
  <c r="Y43" i="2"/>
  <c r="Z43" i="2" s="1"/>
  <c r="AA43" i="2" s="1"/>
  <c r="X43" i="2"/>
  <c r="W43" i="2"/>
  <c r="V43" i="2"/>
  <c r="U43" i="2"/>
  <c r="T43" i="2"/>
  <c r="S43" i="2"/>
  <c r="R43" i="2"/>
  <c r="W42" i="2"/>
  <c r="X42" i="2" s="1"/>
  <c r="Y42" i="2" s="1"/>
  <c r="Z42" i="2" s="1"/>
  <c r="AA42" i="2" s="1"/>
  <c r="V42" i="2"/>
  <c r="V41" i="2" s="1"/>
  <c r="U42" i="2"/>
  <c r="T42" i="2"/>
  <c r="U41" i="2"/>
  <c r="T41" i="2"/>
  <c r="S41" i="2"/>
  <c r="R41" i="2"/>
  <c r="R36" i="2"/>
  <c r="S42" i="2"/>
  <c r="Q51" i="2"/>
  <c r="P51" i="2"/>
  <c r="AB30" i="2" l="1"/>
  <c r="Q30" i="2"/>
  <c r="S36" i="2"/>
  <c r="AB39" i="2" l="1"/>
  <c r="AB40" i="2" s="1"/>
  <c r="AB44" i="2" s="1"/>
  <c r="W41" i="2"/>
  <c r="X41" i="2" l="1"/>
  <c r="Y41" i="2" l="1"/>
  <c r="Z41" i="2" l="1"/>
  <c r="AA41" i="2" l="1"/>
  <c r="Q41" i="2" l="1"/>
  <c r="T36" i="2"/>
  <c r="AA8" i="2"/>
  <c r="Z8" i="2"/>
  <c r="Y8" i="2"/>
  <c r="F9" i="1"/>
  <c r="F8" i="1"/>
  <c r="F6" i="1"/>
  <c r="U36" i="2" l="1"/>
  <c r="Y24" i="2"/>
  <c r="X24" i="2"/>
  <c r="W24" i="2"/>
  <c r="V24" i="2"/>
  <c r="U24" i="2"/>
  <c r="T24" i="2"/>
  <c r="AD7" i="2"/>
  <c r="AC7" i="2"/>
  <c r="AB7" i="2"/>
  <c r="AA7" i="2"/>
  <c r="V36" i="2" l="1"/>
  <c r="E26" i="2"/>
  <c r="I25" i="2"/>
  <c r="I26" i="2" s="1"/>
  <c r="H25" i="2"/>
  <c r="G25" i="2"/>
  <c r="G26" i="2" s="1"/>
  <c r="F25" i="2"/>
  <c r="F26" i="2" s="1"/>
  <c r="E25" i="2"/>
  <c r="D25" i="2"/>
  <c r="D26" i="2" s="1"/>
  <c r="Q39" i="2" s="1"/>
  <c r="Q40" i="2" s="1"/>
  <c r="Q44" i="2" s="1"/>
  <c r="Q46" i="2" s="1"/>
  <c r="Q48" i="2" s="1"/>
  <c r="J25" i="2"/>
  <c r="J26" i="2" s="1"/>
  <c r="K8" i="2"/>
  <c r="X8" i="2"/>
  <c r="X13" i="2" s="1"/>
  <c r="W8" i="2"/>
  <c r="V8" i="2"/>
  <c r="U8" i="2"/>
  <c r="T8" i="2"/>
  <c r="S8" i="2"/>
  <c r="R8" i="2"/>
  <c r="Q8" i="2"/>
  <c r="P8" i="2"/>
  <c r="P13" i="2" s="1"/>
  <c r="O8" i="2"/>
  <c r="O13" i="2" s="1"/>
  <c r="N8" i="2"/>
  <c r="M8" i="2"/>
  <c r="L8" i="2"/>
  <c r="H28" i="2" l="1"/>
  <c r="Q13" i="2"/>
  <c r="K25" i="2"/>
  <c r="K28" i="2" s="1"/>
  <c r="I28" i="2"/>
  <c r="E28" i="2"/>
  <c r="K26" i="2"/>
  <c r="N25" i="2"/>
  <c r="N26" i="2" s="1"/>
  <c r="W13" i="2"/>
  <c r="AA13" i="2"/>
  <c r="J28" i="2"/>
  <c r="J29" i="2" s="1"/>
  <c r="V13" i="2"/>
  <c r="Z13" i="2"/>
  <c r="S13" i="2"/>
  <c r="F28" i="2"/>
  <c r="H26" i="2"/>
  <c r="R13" i="2"/>
  <c r="T13" i="2"/>
  <c r="L25" i="2"/>
  <c r="G28" i="2"/>
  <c r="U13" i="2"/>
  <c r="Y13" i="2"/>
  <c r="M25" i="2"/>
  <c r="W36" i="2"/>
  <c r="R51" i="2"/>
  <c r="G29" i="2"/>
  <c r="F29" i="2"/>
  <c r="I29" i="2"/>
  <c r="E29" i="2"/>
  <c r="N28" i="2"/>
  <c r="K29" i="2" l="1"/>
  <c r="L28" i="2"/>
  <c r="L26" i="2"/>
  <c r="H29" i="2"/>
  <c r="M26" i="2"/>
  <c r="M28" i="2"/>
  <c r="X36" i="2"/>
  <c r="E7" i="2"/>
  <c r="Z7" i="2"/>
  <c r="AD12" i="2" s="1"/>
  <c r="Y7" i="2"/>
  <c r="AC12" i="2" s="1"/>
  <c r="X7" i="2"/>
  <c r="AB12" i="2" s="1"/>
  <c r="W7" i="2"/>
  <c r="V7" i="2"/>
  <c r="V12" i="2" s="1"/>
  <c r="U7" i="2"/>
  <c r="T7" i="2"/>
  <c r="S7" i="2"/>
  <c r="S12" i="2" s="1"/>
  <c r="R7" i="2"/>
  <c r="Q7" i="2"/>
  <c r="P7" i="2"/>
  <c r="O7" i="2"/>
  <c r="N7" i="2"/>
  <c r="N12" i="2" s="1"/>
  <c r="M7" i="2"/>
  <c r="M12" i="2" s="1"/>
  <c r="L7" i="2"/>
  <c r="K7" i="2"/>
  <c r="J7" i="2"/>
  <c r="I7" i="2"/>
  <c r="I12" i="2" s="1"/>
  <c r="H7" i="2"/>
  <c r="G7" i="2"/>
  <c r="F7" i="2"/>
  <c r="F6" i="2"/>
  <c r="E6" i="2"/>
  <c r="AA6" i="2"/>
  <c r="Z6" i="2"/>
  <c r="AD6" i="2" s="1"/>
  <c r="AD11" i="2" s="1"/>
  <c r="Y6" i="2"/>
  <c r="AC6" i="2" s="1"/>
  <c r="AC11" i="2" s="1"/>
  <c r="X6" i="2"/>
  <c r="AB6" i="2" s="1"/>
  <c r="AB11" i="2" s="1"/>
  <c r="W6" i="2"/>
  <c r="V6" i="2"/>
  <c r="V11" i="2" s="1"/>
  <c r="U6" i="2"/>
  <c r="T6" i="2"/>
  <c r="S6" i="2"/>
  <c r="R6" i="2"/>
  <c r="Q6" i="2"/>
  <c r="U11" i="2" s="1"/>
  <c r="P6" i="2"/>
  <c r="O6" i="2"/>
  <c r="N6" i="2"/>
  <c r="N11" i="2" s="1"/>
  <c r="M6" i="2"/>
  <c r="L6" i="2"/>
  <c r="K6" i="2"/>
  <c r="J6" i="2"/>
  <c r="J11" i="2" s="1"/>
  <c r="I6" i="2"/>
  <c r="M11" i="2" s="1"/>
  <c r="H6" i="2"/>
  <c r="H11" i="2" s="1"/>
  <c r="G6" i="2"/>
  <c r="D6" i="2"/>
  <c r="L11" i="2" l="1"/>
  <c r="M23" i="2"/>
  <c r="L12" i="2"/>
  <c r="T12" i="2"/>
  <c r="U12" i="2"/>
  <c r="W12" i="2"/>
  <c r="Y12" i="2"/>
  <c r="O12" i="2"/>
  <c r="R11" i="2"/>
  <c r="P12" i="2"/>
  <c r="X12" i="2"/>
  <c r="AA12" i="2"/>
  <c r="M29" i="2"/>
  <c r="L29" i="2"/>
  <c r="T11" i="2"/>
  <c r="I11" i="2"/>
  <c r="J12" i="2"/>
  <c r="Q11" i="2"/>
  <c r="Y11" i="2"/>
  <c r="Q12" i="2"/>
  <c r="K23" i="2"/>
  <c r="K12" i="2"/>
  <c r="N29" i="2"/>
  <c r="Y36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R12" i="2"/>
  <c r="Z12" i="2"/>
  <c r="W11" i="2"/>
  <c r="X11" i="2"/>
  <c r="N23" i="2"/>
  <c r="Z11" i="2"/>
  <c r="O11" i="2"/>
  <c r="P11" i="2"/>
  <c r="I23" i="2"/>
  <c r="J23" i="2"/>
  <c r="K11" i="2"/>
  <c r="S11" i="2"/>
  <c r="AA11" i="2"/>
  <c r="L23" i="2"/>
  <c r="Z36" i="2" l="1"/>
  <c r="AA36" i="2" s="1"/>
  <c r="Y30" i="2" l="1"/>
  <c r="S39" i="2"/>
  <c r="S40" i="2" s="1"/>
  <c r="S44" i="2" s="1"/>
  <c r="S46" i="2" s="1"/>
  <c r="V39" i="2"/>
  <c r="V40" i="2" s="1"/>
  <c r="V44" i="2" s="1"/>
  <c r="V34" i="2"/>
  <c r="V30" i="2"/>
  <c r="AA39" i="2"/>
  <c r="AA40" i="2" s="1"/>
  <c r="AA44" i="2" s="1"/>
  <c r="X39" i="2"/>
  <c r="X40" i="2" s="1"/>
  <c r="X44" i="2" s="1"/>
  <c r="W39" i="2"/>
  <c r="W40" i="2" s="1"/>
  <c r="W44" i="2" s="1"/>
  <c r="S30" i="2"/>
  <c r="U39" i="2"/>
  <c r="U40" i="2" s="1"/>
  <c r="U44" i="2" s="1"/>
  <c r="Z39" i="2"/>
  <c r="Z40" i="2" s="1"/>
  <c r="Z44" i="2" s="1"/>
  <c r="T39" i="2"/>
  <c r="T40" i="2" s="1"/>
  <c r="T44" i="2" s="1"/>
  <c r="U30" i="2"/>
  <c r="Y34" i="2"/>
  <c r="Y39" i="2"/>
  <c r="Y40" i="2" s="1"/>
  <c r="Y44" i="2" s="1"/>
  <c r="X30" i="2"/>
  <c r="Z30" i="2"/>
  <c r="T30" i="2"/>
  <c r="AA34" i="2"/>
  <c r="R39" i="2"/>
  <c r="R40" i="2" s="1"/>
  <c r="R44" i="2" s="1"/>
  <c r="R46" i="2" s="1"/>
  <c r="R48" i="2" s="1"/>
  <c r="W34" i="2"/>
  <c r="W30" i="2"/>
  <c r="Z34" i="2"/>
  <c r="S47" i="2" l="1"/>
  <c r="S48" i="2" s="1"/>
  <c r="S51" i="2"/>
  <c r="T45" i="2" s="1"/>
  <c r="T46" i="2" s="1"/>
  <c r="X34" i="2"/>
  <c r="AA30" i="2"/>
  <c r="R30" i="2"/>
  <c r="T51" i="2" l="1"/>
  <c r="U45" i="2" s="1"/>
  <c r="U46" i="2" s="1"/>
  <c r="T47" i="2"/>
  <c r="T48" i="2" s="1"/>
  <c r="U51" i="2" l="1"/>
  <c r="V45" i="2" s="1"/>
  <c r="V46" i="2" s="1"/>
  <c r="U47" i="2"/>
  <c r="U48" i="2" s="1"/>
  <c r="V51" i="2" l="1"/>
  <c r="W45" i="2" s="1"/>
  <c r="W46" i="2" s="1"/>
  <c r="V47" i="2"/>
  <c r="V48" i="2" s="1"/>
  <c r="W51" i="2" s="1"/>
  <c r="X45" i="2" s="1"/>
  <c r="X46" i="2" s="1"/>
  <c r="X47" i="2" l="1"/>
  <c r="X48" i="2" s="1"/>
  <c r="W47" i="2"/>
  <c r="W48" i="2" s="1"/>
  <c r="X51" i="2" s="1"/>
  <c r="Y45" i="2" s="1"/>
  <c r="Y46" i="2" s="1"/>
  <c r="Y47" i="2" l="1"/>
  <c r="Y48" i="2" s="1"/>
  <c r="Y51" i="2"/>
  <c r="Z45" i="2" s="1"/>
  <c r="Z46" i="2" s="1"/>
  <c r="Z51" i="2" l="1"/>
  <c r="AA45" i="2" s="1"/>
  <c r="AA46" i="2" s="1"/>
  <c r="Z47" i="2"/>
  <c r="Z48" i="2" s="1"/>
  <c r="AA47" i="2" l="1"/>
  <c r="AA48" i="2" s="1"/>
  <c r="AB51" i="2" s="1"/>
  <c r="AA51" i="2"/>
  <c r="AB45" i="2" s="1"/>
  <c r="AB46" i="2" s="1"/>
  <c r="AB47" i="2" s="1"/>
  <c r="AB48" i="2" s="1"/>
  <c r="AF52" i="2" l="1"/>
  <c r="AF53" i="2" s="1"/>
</calcChain>
</file>

<file path=xl/sharedStrings.xml><?xml version="1.0" encoding="utf-8"?>
<sst xmlns="http://schemas.openxmlformats.org/spreadsheetml/2006/main" count="116" uniqueCount="110">
  <si>
    <t>ABVX</t>
  </si>
  <si>
    <t>Price</t>
  </si>
  <si>
    <t>Shares</t>
  </si>
  <si>
    <t>MC</t>
  </si>
  <si>
    <t>Income Statement</t>
  </si>
  <si>
    <t>Main</t>
  </si>
  <si>
    <t>Brand</t>
  </si>
  <si>
    <t>Generic</t>
  </si>
  <si>
    <t>MoA</t>
  </si>
  <si>
    <t>"Stock dilution"</t>
  </si>
  <si>
    <t>Cash</t>
  </si>
  <si>
    <t>Debt</t>
  </si>
  <si>
    <t>EV</t>
  </si>
  <si>
    <t>Rinvoq</t>
  </si>
  <si>
    <t xml:space="preserve">Entyvio </t>
  </si>
  <si>
    <t xml:space="preserve">Skyrizi </t>
  </si>
  <si>
    <t>Patients</t>
  </si>
  <si>
    <t>Skyrizi y/y</t>
  </si>
  <si>
    <t>Rinvoq y/y</t>
  </si>
  <si>
    <t>Entyvio y/y</t>
  </si>
  <si>
    <t>Rinvoq systematically more risker than obefazimod reason, "targeting"JAK inhibitors</t>
  </si>
  <si>
    <t>Pipeline</t>
  </si>
  <si>
    <t>obefazimod</t>
  </si>
  <si>
    <t>"obefazimod"</t>
  </si>
  <si>
    <t>phase II CD</t>
  </si>
  <si>
    <t>monotherapy pivotal phase III UC</t>
  </si>
  <si>
    <t>combination therapy UC non-clinical phase I</t>
  </si>
  <si>
    <t>monotherapy miR-124 follow on TBD non-clinical phase I</t>
  </si>
  <si>
    <t>enrollment completed April 2025</t>
  </si>
  <si>
    <t xml:space="preserve">Induction trial topline data readout on July 22 2025 </t>
  </si>
  <si>
    <t>Maintenance trial topline data readout in Q226</t>
  </si>
  <si>
    <t>"IND filed Q423"</t>
  </si>
  <si>
    <t xml:space="preserve">First patient enrolled Phase IIB trial in October in 2024 </t>
  </si>
  <si>
    <t>Phase IIB induction topline results expected in 2H26</t>
  </si>
  <si>
    <t>Encouraging preclinical combination data generated</t>
  </si>
  <si>
    <t>Decision on combination agent expected in 2025</t>
  </si>
  <si>
    <t xml:space="preserve">Selection of follow-on compound in 2025 </t>
  </si>
  <si>
    <t>Revenue</t>
  </si>
  <si>
    <t>OpEx</t>
  </si>
  <si>
    <t>OpInc</t>
  </si>
  <si>
    <t>Other</t>
  </si>
  <si>
    <t>Tax</t>
  </si>
  <si>
    <t>June 2024 Entyvio launch in the US, EU market for the treatment of UC, CD</t>
  </si>
  <si>
    <t>Research &amp; Development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</si>
  <si>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</si>
  <si>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</si>
  <si>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</si>
  <si>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</si>
  <si>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</si>
  <si>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</si>
  <si>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</si>
  <si>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</si>
  <si>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</si>
  <si>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</si>
  <si>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</si>
  <si>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</si>
  <si>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</si>
  <si>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</si>
  <si>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</si>
  <si>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</si>
  <si>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</si>
  <si>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</si>
  <si>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</si>
  <si>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</si>
  <si>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</si>
  <si>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</si>
  <si>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</si>
  <si>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</si>
  <si>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Q225E</t>
  </si>
  <si>
    <t>Q325E</t>
  </si>
  <si>
    <t>Q425E</t>
  </si>
  <si>
    <t>Entyvio by US$</t>
  </si>
  <si>
    <t xml:space="preserve">Entyvio y/y </t>
  </si>
  <si>
    <t xml:space="preserve">Entyvio y/y FX  change </t>
  </si>
  <si>
    <t xml:space="preserve">Comps Periodical Analysis </t>
  </si>
  <si>
    <t>Cost of Goods Sold</t>
  </si>
  <si>
    <t>Gross Profit</t>
  </si>
  <si>
    <t>Net Income</t>
  </si>
  <si>
    <t>Selling General Admin</t>
  </si>
  <si>
    <t>Pretax Income</t>
  </si>
  <si>
    <t xml:space="preserve">Indication </t>
  </si>
  <si>
    <t>Chemistry</t>
  </si>
  <si>
    <t>abx464</t>
  </si>
  <si>
    <t>miR-124</t>
  </si>
  <si>
    <t xml:space="preserve">UC 776K patients </t>
  </si>
  <si>
    <t>chloroquine/quinoline moiety</t>
  </si>
  <si>
    <t>"The Anti-Hiv Candidate Abx464 Dampens Intestinal Inflammation by Triggering Il-22 Production in Activated Macrophages. Chebli et al. 2017."</t>
  </si>
  <si>
    <t xml:space="preserve">LOE : review time *1 + ind filing to approval/2 </t>
  </si>
  <si>
    <t>HW Act:</t>
  </si>
  <si>
    <t>UC</t>
  </si>
  <si>
    <t>CD</t>
  </si>
  <si>
    <t xml:space="preserve">Patent </t>
  </si>
  <si>
    <t>2035 exp  + HW act , no IND filing issued, approval approx 2027, min +3.5 years</t>
  </si>
  <si>
    <t xml:space="preserve">2040 exp + 5.5y = 2045.5 </t>
  </si>
  <si>
    <t xml:space="preserve">2023(approx) 2027 min 2y PTE </t>
  </si>
  <si>
    <t xml:space="preserve">2024(Q423) 2029 2.5y PTE </t>
  </si>
  <si>
    <t xml:space="preserve">oral, small molecule </t>
  </si>
  <si>
    <t xml:space="preserve">Dual MoA, </t>
  </si>
  <si>
    <t xml:space="preserve">Antiviral, Anti-enflamatuvar, immunmodulator IL-22, IL10,RNA biyogenezi </t>
  </si>
  <si>
    <t xml:space="preserve">Expansion areas; HIV, MS, RA, basically viral infection diseases </t>
  </si>
  <si>
    <t>"alternative potential"</t>
  </si>
  <si>
    <t xml:space="preserve"> " no safety concerns efficacy concerns ? " </t>
  </si>
  <si>
    <t>Discount</t>
  </si>
  <si>
    <t>NPV</t>
  </si>
  <si>
    <t>Share</t>
  </si>
  <si>
    <t>ROIC</t>
  </si>
  <si>
    <t>Net Cash</t>
  </si>
  <si>
    <t>US TAM</t>
  </si>
  <si>
    <t xml:space="preserve">Penetration % </t>
  </si>
  <si>
    <t>"peak 6% market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</si>
</sst>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1" formatCode="_(* #,##0_);_(* \(#,##0\);_(* &quot;-&quot;_);_(@_)"/>
  </numFmts>
  <fonts count="11" x14ac:knownFonts="1">
    <font>
      <sz val="11"/>
      <color theme="1"/>
      <name val="Times New Roman"/>
      <family val="2"/>
    </font>
    <font>
      <u/>
      <sz val="11"/>
      <color theme="1"/>
      <name val="Times New Roman"/>
      <family val="2"/>
    </font>
    <font>
      <u/>
      <sz val="11"/>
      <color theme="10"/>
      <name val="Times New Roman"/>
      <family val="2"/>
    </font>
    <font>
      <b/>
      <u/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i/>
      <sz val="11"/>
      <color theme="1"/>
      <name val="Times New Roman"/>
      <family val="1"/>
      <charset val="162"/>
    </font>
    <font>
      <i/>
      <sz val="11"/>
      <color theme="1"/>
      <name val="Times New Roman"/>
      <family val="1"/>
      <charset val="162"/>
    </font>
    <font>
      <b/>
      <i/>
      <u/>
      <sz val="11"/>
      <color theme="1"/>
      <name val="Times New Roman"/>
      <family val="1"/>
      <charset val="162"/>
    </font>
    <font>
      <u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u val="singleAccounting"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1" fontId="2" fillId="0" borderId="0" xfId="1" applyNumberFormat="1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6" fillId="0" borderId="0" xfId="0" applyNumberFormat="1" applyFont="1"/>
    <xf numFmtId="41" fontId="10" fillId="0" borderId="0" xfId="0" applyNumberFormat="1" applyFont="1"/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9" fontId="0" fillId="0" borderId="0" xfId="0" applyNumberFormat="1"/>
    <xf numFmtId="9" fontId="6" fillId="0" borderId="0" xfId="0" applyNumberFormat="1" applyFont="1"/>
    <xf numFmtId="49" fontId="0" fillId="0" borderId="0" xfId="0" applyNumberFormat="1" applyAlignment="1">
      <alignment horizontal="right"/>
    </xf>
    <xf numFmtId="0" fontId="9" fillId="0" borderId="3" xfId="0" applyFont="1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9" fillId="0" borderId="5" xfId="0" applyFont="1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0" xfId="0" quotePrefix="1" applyAlignment="1">
      <alignment horizontal="left"/>
    </xf>
    <xf numFmtId="0" fontId="6" fillId="0" borderId="5" xfId="0" applyFont="1" applyBorder="1"/>
    <xf numFmtId="0" fontId="0" fillId="0" borderId="8" xfId="0" applyBorder="1"/>
    <xf numFmtId="0" fontId="0" fillId="0" borderId="9" xfId="0" applyBorder="1"/>
    <xf numFmtId="0" fontId="6" fillId="0" borderId="2" xfId="0" applyFont="1" applyBorder="1"/>
    <xf numFmtId="0" fontId="6" fillId="0" borderId="6" xfId="0" applyFont="1" applyBorder="1"/>
    <xf numFmtId="0" fontId="5" fillId="0" borderId="2" xfId="0" applyFont="1" applyBorder="1"/>
    <xf numFmtId="0" fontId="6" fillId="0" borderId="10" xfId="0" applyFont="1" applyBorder="1"/>
    <xf numFmtId="0" fontId="0" fillId="0" borderId="7" xfId="0" applyBorder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487680</xdr:colOff>
      <xdr:row>4</xdr:row>
      <xdr:rowOff>152400</xdr:rowOff>
    </xdr:from>
    <xdr:to>
      <xdr:col>10</xdr:col>
      <xdr:colOff>443229</xdr:colOff>
      <xdr:row>9</xdr:row>
      <xdr:rowOff>173264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B01D6-494B-43B0-90E3-32F86BE00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40" y="853440"/>
          <a:ext cx="2393949" cy="89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itebook\Downloads\ABBV.xlsx" TargetMode="External"/><Relationship Id="rId1" Type="http://schemas.openxmlformats.org/officeDocument/2006/relationships/externalLinkPath" Target="/Users/Elitebook/Downloads/ABB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itebook\Downloads\4502%20Takeda.xlsx" TargetMode="External"/><Relationship Id="rId1" Type="http://schemas.openxmlformats.org/officeDocument/2006/relationships/externalLinkPath" Target="/Users/Elitebook/Downloads/4502%20Tak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Imbruvica"/>
      <sheetName val="Humira"/>
      <sheetName val="Rinvoq"/>
      <sheetName val="Botox"/>
      <sheetName val="Skyrizi"/>
      <sheetName val="Elahere"/>
      <sheetName val="emraclidine"/>
      <sheetName val="Epkinly"/>
      <sheetName val="Vyalev"/>
      <sheetName val="Venclexta"/>
      <sheetName val="tavapadon"/>
      <sheetName val="telisotuzumab"/>
    </sheetNames>
    <sheetDataSet>
      <sheetData sheetId="0"/>
      <sheetData sheetId="1"/>
      <sheetData sheetId="2">
        <row r="8">
          <cell r="BP8">
            <v>48</v>
          </cell>
          <cell r="BQ8">
            <v>91</v>
          </cell>
          <cell r="BR8">
            <v>216</v>
          </cell>
          <cell r="BS8">
            <v>300</v>
          </cell>
          <cell r="BT8">
            <v>330</v>
          </cell>
          <cell r="BU8">
            <v>435</v>
          </cell>
          <cell r="BV8">
            <v>525</v>
          </cell>
          <cell r="BW8">
            <v>574</v>
          </cell>
          <cell r="BX8">
            <v>674</v>
          </cell>
          <cell r="BY8">
            <v>796</v>
          </cell>
          <cell r="BZ8">
            <v>895</v>
          </cell>
          <cell r="CA8">
            <v>940</v>
          </cell>
          <cell r="CB8">
            <v>1252</v>
          </cell>
          <cell r="CC8">
            <v>1397</v>
          </cell>
          <cell r="CD8">
            <v>1576</v>
          </cell>
          <cell r="CE8">
            <v>1360</v>
          </cell>
          <cell r="CF8">
            <v>1883</v>
          </cell>
          <cell r="CG8">
            <v>2126</v>
          </cell>
          <cell r="CH8">
            <v>2394</v>
          </cell>
          <cell r="CI8">
            <v>2008</v>
          </cell>
          <cell r="CJ8">
            <v>2727</v>
          </cell>
          <cell r="CK8">
            <v>3205</v>
          </cell>
          <cell r="CL8">
            <v>3778</v>
          </cell>
          <cell r="CM8">
            <v>3425</v>
          </cell>
        </row>
        <row r="13">
          <cell r="BQ13">
            <v>14</v>
          </cell>
          <cell r="BR13">
            <v>33</v>
          </cell>
          <cell r="BS13">
            <v>86</v>
          </cell>
          <cell r="BT13">
            <v>149</v>
          </cell>
          <cell r="BU13">
            <v>215</v>
          </cell>
          <cell r="BV13">
            <v>281</v>
          </cell>
          <cell r="BW13">
            <v>303</v>
          </cell>
          <cell r="BX13">
            <v>378</v>
          </cell>
          <cell r="BY13">
            <v>453</v>
          </cell>
          <cell r="BZ13">
            <v>517</v>
          </cell>
          <cell r="CA13">
            <v>465</v>
          </cell>
          <cell r="CB13">
            <v>592</v>
          </cell>
          <cell r="CC13">
            <v>695</v>
          </cell>
          <cell r="CD13">
            <v>770</v>
          </cell>
          <cell r="CE13">
            <v>686</v>
          </cell>
          <cell r="CF13">
            <v>918</v>
          </cell>
          <cell r="CG13">
            <v>1110</v>
          </cell>
          <cell r="CH13">
            <v>1255</v>
          </cell>
          <cell r="CI13">
            <v>1093</v>
          </cell>
          <cell r="CJ13">
            <v>1430</v>
          </cell>
          <cell r="CK13">
            <v>1614</v>
          </cell>
          <cell r="CL13">
            <v>1834</v>
          </cell>
          <cell r="CM13">
            <v>1718</v>
          </cell>
          <cell r="CN13">
            <v>1859</v>
          </cell>
          <cell r="CO13">
            <v>2098.2000000000003</v>
          </cell>
          <cell r="CP13">
            <v>2384.2000000000003</v>
          </cell>
          <cell r="DH13">
            <v>9671.2800000000007</v>
          </cell>
          <cell r="DI13">
            <v>11605.536</v>
          </cell>
          <cell r="DJ13">
            <v>11953.702080000001</v>
          </cell>
          <cell r="DK13">
            <v>12312.313142400002</v>
          </cell>
          <cell r="DL13">
            <v>12681.682536672002</v>
          </cell>
          <cell r="DM13">
            <v>1268.1682536672004</v>
          </cell>
          <cell r="DN13">
            <v>126.81682536672004</v>
          </cell>
          <cell r="DO13">
            <v>12.681682536672005</v>
          </cell>
          <cell r="DP13">
            <v>1.2681682536672005</v>
          </cell>
          <cell r="DQ13">
            <v>0.12681682536672007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Main"/>
      <sheetName val="Model"/>
      <sheetName val="Entyvio"/>
      <sheetName val="Prevacid"/>
      <sheetName val="Lupron"/>
      <sheetName val="Dexilant"/>
      <sheetName val="alogliptin"/>
      <sheetName val="475"/>
      <sheetName val="Velcade"/>
      <sheetName val="Actos"/>
      <sheetName val="literature"/>
    </sheetNames>
    <sheetDataSet>
      <sheetData sheetId="0"/>
      <sheetData sheetId="1"/>
      <sheetData sheetId="2">
        <row r="96">
          <cell r="BR96">
            <v>125400</v>
          </cell>
          <cell r="BS96">
            <v>130500</v>
          </cell>
          <cell r="BT96">
            <v>139500</v>
          </cell>
          <cell r="BU96">
            <v>126400</v>
          </cell>
          <cell r="BV96">
            <v>168300</v>
          </cell>
          <cell r="BW96">
            <v>178300</v>
          </cell>
          <cell r="BX96">
            <v>201300</v>
          </cell>
          <cell r="BY96">
            <v>154900</v>
          </cell>
          <cell r="BZ96">
            <v>192000</v>
          </cell>
          <cell r="CA96">
            <v>199700</v>
          </cell>
          <cell r="CB96">
            <v>227600</v>
          </cell>
          <cell r="CC96">
            <v>181600</v>
          </cell>
          <cell r="CD96">
            <v>234400</v>
          </cell>
          <cell r="CE96">
            <v>238900</v>
          </cell>
          <cell r="CF96">
            <v>225800</v>
          </cell>
          <cell r="CG96">
            <v>215100</v>
          </cell>
          <cell r="CR96">
            <v>27800</v>
          </cell>
          <cell r="CS96">
            <v>86200</v>
          </cell>
          <cell r="CT96">
            <v>143200</v>
          </cell>
          <cell r="CU96">
            <v>201400</v>
          </cell>
          <cell r="CV96">
            <v>269200</v>
          </cell>
          <cell r="CW96">
            <v>347200</v>
          </cell>
          <cell r="CX96">
            <v>429281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4A5E-03F6-4578-B864-B5167219E1CB}">
  <dimension ref="B2:F24"/>
  <sheetViews>
    <sheetView showGridLines="0" workbookViewId="0">
      <selection activeCell="B27" sqref="B27"/>
    </sheetView>
  </sheetViews>
  <sheetFormatPr defaultRowHeight="13.8" x14ac:dyDescent="0.25"/>
  <cols>
    <col min="1" max="1" width="4.109375" customWidth="1"/>
    <col min="2" max="2" width="53.109375" customWidth="1"/>
    <col min="3" max="3" width="49.44140625" bestFit="1" customWidth="1"/>
    <col min="4" max="4" width="27.5546875" bestFit="1" customWidth="1"/>
    <col min="5" max="5" width="9.21875" customWidth="1"/>
  </cols>
  <sheetData>
    <row r="2" spans="2:6" x14ac:dyDescent="0.25">
      <c r="B2" s="2">
        <v>45882</v>
      </c>
    </row>
    <row r="3" spans="2:6" s="1" customFormat="1" x14ac:dyDescent="0.25"/>
    <row r="4" spans="2:6" x14ac:dyDescent="0.25">
      <c r="B4" s="9" t="s">
        <v>9</v>
      </c>
      <c r="E4" t="s">
        <v>1</v>
      </c>
      <c r="F4">
        <v>80</v>
      </c>
    </row>
    <row r="5" spans="2:6" x14ac:dyDescent="0.25">
      <c r="B5" t="s">
        <v>42</v>
      </c>
      <c r="E5" t="s">
        <v>2</v>
      </c>
      <c r="F5">
        <v>63.347816999999999</v>
      </c>
    </row>
    <row r="6" spans="2:6" x14ac:dyDescent="0.25">
      <c r="B6" s="4" t="s">
        <v>20</v>
      </c>
      <c r="E6" t="s">
        <v>3</v>
      </c>
      <c r="F6">
        <f>F5*F4</f>
        <v>5067.8253599999998</v>
      </c>
    </row>
    <row r="7" spans="2:6" x14ac:dyDescent="0.25">
      <c r="E7" t="s">
        <v>10</v>
      </c>
      <c r="F7">
        <v>144</v>
      </c>
    </row>
    <row r="8" spans="2:6" x14ac:dyDescent="0.25">
      <c r="B8" s="10"/>
      <c r="E8" t="s">
        <v>11</v>
      </c>
      <c r="F8">
        <f>29.056+23.37+22.195+21.574</f>
        <v>96.195000000000007</v>
      </c>
    </row>
    <row r="9" spans="2:6" x14ac:dyDescent="0.25">
      <c r="B9" s="9" t="s">
        <v>21</v>
      </c>
      <c r="E9" t="s">
        <v>12</v>
      </c>
      <c r="F9">
        <f>F6-F7+F8</f>
        <v>5020.0203599999995</v>
      </c>
    </row>
    <row r="10" spans="2:6" x14ac:dyDescent="0.25">
      <c r="B10" s="4"/>
    </row>
    <row r="11" spans="2:6" x14ac:dyDescent="0.25">
      <c r="B11" s="5" t="s">
        <v>23</v>
      </c>
    </row>
    <row r="12" spans="2:6" ht="14.4" x14ac:dyDescent="0.3">
      <c r="C12" s="8"/>
      <c r="D12" s="8"/>
      <c r="E12" s="8"/>
      <c r="F12" s="8"/>
    </row>
    <row r="13" spans="2:6" ht="14.4" x14ac:dyDescent="0.3">
      <c r="B13" s="35" t="s">
        <v>25</v>
      </c>
      <c r="C13" s="33" t="s">
        <v>28</v>
      </c>
    </row>
    <row r="14" spans="2:6" ht="14.4" x14ac:dyDescent="0.3">
      <c r="B14" s="28"/>
      <c r="C14" s="33" t="s">
        <v>29</v>
      </c>
      <c r="D14" s="6"/>
      <c r="E14" s="6"/>
      <c r="F14" s="6"/>
    </row>
    <row r="15" spans="2:6" x14ac:dyDescent="0.25">
      <c r="B15" s="28"/>
      <c r="C15" s="33" t="s">
        <v>30</v>
      </c>
      <c r="D15" s="7"/>
    </row>
    <row r="16" spans="2:6" x14ac:dyDescent="0.25">
      <c r="B16" s="37"/>
      <c r="C16" s="34"/>
      <c r="D16" s="7"/>
    </row>
    <row r="17" spans="2:4" ht="14.4" x14ac:dyDescent="0.3">
      <c r="B17" s="33" t="s">
        <v>24</v>
      </c>
      <c r="C17" s="35" t="s">
        <v>31</v>
      </c>
      <c r="D17" s="7"/>
    </row>
    <row r="18" spans="2:4" x14ac:dyDescent="0.25">
      <c r="B18" s="28"/>
      <c r="C18" s="33" t="s">
        <v>32</v>
      </c>
    </row>
    <row r="19" spans="2:4" x14ac:dyDescent="0.25">
      <c r="B19" s="28"/>
      <c r="C19" s="33" t="s">
        <v>33</v>
      </c>
    </row>
    <row r="20" spans="2:4" x14ac:dyDescent="0.25">
      <c r="B20" s="28"/>
      <c r="C20" s="27"/>
    </row>
    <row r="21" spans="2:4" x14ac:dyDescent="0.25">
      <c r="B21" s="36" t="s">
        <v>26</v>
      </c>
      <c r="C21" s="33" t="s">
        <v>34</v>
      </c>
    </row>
    <row r="22" spans="2:4" x14ac:dyDescent="0.25">
      <c r="B22" s="28"/>
      <c r="C22" s="33" t="s">
        <v>35</v>
      </c>
    </row>
    <row r="23" spans="2:4" x14ac:dyDescent="0.25">
      <c r="B23" s="28"/>
      <c r="C23" s="27"/>
    </row>
    <row r="24" spans="2:4" x14ac:dyDescent="0.25">
      <c r="B24" s="33" t="s">
        <v>27</v>
      </c>
      <c r="C24" s="33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82E2-C4DD-4A1B-B6C6-6E0B48905B70}">
  <dimension ref="A1:AN61"/>
  <sheetViews>
    <sheetView showGridLines="0" tabSelected="1" topLeftCell="A20" zoomScale="64" zoomScaleNormal="64" workbookViewId="0">
      <selection activeCell="K50" sqref="K50"/>
    </sheetView>
  </sheetViews>
  <sheetFormatPr defaultRowHeight="13.8" x14ac:dyDescent="0.25"/>
  <cols>
    <col min="1" max="1" width="5.5546875" style="12" customWidth="1"/>
    <col min="2" max="2" width="15.6640625" style="12" bestFit="1" customWidth="1"/>
    <col min="3" max="3" width="8.88671875" style="12"/>
    <col min="4" max="4" width="13.77734375" style="12" bestFit="1" customWidth="1"/>
    <col min="5" max="7" width="9" style="12" bestFit="1" customWidth="1"/>
    <col min="8" max="14" width="9.5546875" style="12" bestFit="1" customWidth="1"/>
    <col min="15" max="15" width="12.109375" style="12" bestFit="1" customWidth="1"/>
    <col min="16" max="16" width="13.21875" style="12" bestFit="1" customWidth="1"/>
    <col min="17" max="17" width="14.109375" style="12" bestFit="1" customWidth="1"/>
    <col min="18" max="18" width="12.44140625" style="12" bestFit="1" customWidth="1"/>
    <col min="19" max="25" width="13.21875" style="12" bestFit="1" customWidth="1"/>
    <col min="26" max="26" width="9.5546875" style="12" bestFit="1" customWidth="1"/>
    <col min="27" max="27" width="9" style="12" bestFit="1" customWidth="1"/>
    <col min="28" max="28" width="14.44140625" style="12" bestFit="1" customWidth="1"/>
    <col min="29" max="29" width="9" style="12" bestFit="1" customWidth="1"/>
    <col min="30" max="31" width="8.88671875" style="12"/>
    <col min="32" max="32" width="11.21875" style="12" bestFit="1" customWidth="1"/>
    <col min="33" max="16384" width="8.88671875" style="12"/>
  </cols>
  <sheetData>
    <row r="1" spans="1:30" x14ac:dyDescent="0.25">
      <c r="A1" s="11" t="s">
        <v>5</v>
      </c>
    </row>
    <row r="2" spans="1:30" x14ac:dyDescent="0.25">
      <c r="B2" s="12" t="s">
        <v>0</v>
      </c>
      <c r="D2" s="2">
        <v>45883</v>
      </c>
    </row>
    <row r="3" spans="1:30" s="13" customFormat="1" x14ac:dyDescent="0.25"/>
    <row r="4" spans="1:30" x14ac:dyDescent="0.25">
      <c r="B4" s="14" t="s">
        <v>74</v>
      </c>
      <c r="D4" s="17" t="s">
        <v>44</v>
      </c>
      <c r="E4" s="17" t="s">
        <v>45</v>
      </c>
      <c r="F4" s="17" t="s">
        <v>46</v>
      </c>
      <c r="G4" s="17" t="s">
        <v>47</v>
      </c>
      <c r="H4" s="17" t="s">
        <v>48</v>
      </c>
      <c r="I4" s="17" t="s">
        <v>49</v>
      </c>
      <c r="J4" s="17" t="s">
        <v>50</v>
      </c>
      <c r="K4" s="17" t="s">
        <v>51</v>
      </c>
      <c r="L4" s="17" t="s">
        <v>52</v>
      </c>
      <c r="M4" s="17" t="s">
        <v>53</v>
      </c>
      <c r="N4" s="17" t="s">
        <v>54</v>
      </c>
      <c r="O4" s="17" t="s">
        <v>55</v>
      </c>
      <c r="P4" s="17" t="s">
        <v>56</v>
      </c>
      <c r="Q4" s="17" t="s">
        <v>57</v>
      </c>
      <c r="R4" s="17" t="s">
        <v>58</v>
      </c>
      <c r="S4" s="17" t="s">
        <v>59</v>
      </c>
      <c r="T4" s="17" t="s">
        <v>60</v>
      </c>
      <c r="U4" s="17" t="s">
        <v>61</v>
      </c>
      <c r="V4" s="17" t="s">
        <v>62</v>
      </c>
      <c r="W4" s="17" t="s">
        <v>63</v>
      </c>
      <c r="X4" s="17" t="s">
        <v>64</v>
      </c>
      <c r="Y4" s="17" t="s">
        <v>65</v>
      </c>
      <c r="Z4" s="17" t="s">
        <v>66</v>
      </c>
      <c r="AA4" s="17" t="s">
        <v>67</v>
      </c>
      <c r="AB4" s="17" t="s">
        <v>68</v>
      </c>
      <c r="AC4" s="17" t="s">
        <v>69</v>
      </c>
      <c r="AD4" s="18" t="s">
        <v>70</v>
      </c>
    </row>
    <row r="6" spans="1:30" x14ac:dyDescent="0.25">
      <c r="B6" s="15" t="s">
        <v>15</v>
      </c>
      <c r="D6" s="15">
        <f>[1]Model!BP8</f>
        <v>48</v>
      </c>
      <c r="E6" s="15">
        <f>[1]Model!BQ8</f>
        <v>91</v>
      </c>
      <c r="F6" s="15">
        <f>[1]Model!BR8</f>
        <v>216</v>
      </c>
      <c r="G6" s="15">
        <f>[1]Model!BS8</f>
        <v>300</v>
      </c>
      <c r="H6" s="15">
        <f>[1]Model!BT8</f>
        <v>330</v>
      </c>
      <c r="I6" s="15">
        <f>[1]Model!BU8</f>
        <v>435</v>
      </c>
      <c r="J6" s="15">
        <f>[1]Model!BV8</f>
        <v>525</v>
      </c>
      <c r="K6" s="15">
        <f>[1]Model!BW8</f>
        <v>574</v>
      </c>
      <c r="L6" s="15">
        <f>[1]Model!BX8</f>
        <v>674</v>
      </c>
      <c r="M6" s="15">
        <f>[1]Model!BY8</f>
        <v>796</v>
      </c>
      <c r="N6" s="15">
        <f>[1]Model!BZ8</f>
        <v>895</v>
      </c>
      <c r="O6" s="15">
        <f>[1]Model!CA8</f>
        <v>940</v>
      </c>
      <c r="P6" s="15">
        <f>[1]Model!CB8</f>
        <v>1252</v>
      </c>
      <c r="Q6" s="15">
        <f>[1]Model!CC8</f>
        <v>1397</v>
      </c>
      <c r="R6" s="15">
        <f>[1]Model!CD8</f>
        <v>1576</v>
      </c>
      <c r="S6" s="15">
        <f>[1]Model!CE8</f>
        <v>1360</v>
      </c>
      <c r="T6" s="15">
        <f>[1]Model!CF8</f>
        <v>1883</v>
      </c>
      <c r="U6" s="15">
        <f>[1]Model!CG8</f>
        <v>2126</v>
      </c>
      <c r="V6" s="15">
        <f>[1]Model!CH8</f>
        <v>2394</v>
      </c>
      <c r="W6" s="15">
        <f>[1]Model!CI8</f>
        <v>2008</v>
      </c>
      <c r="X6" s="15">
        <f>[1]Model!CJ8</f>
        <v>2727</v>
      </c>
      <c r="Y6" s="15">
        <f>[1]Model!CK8</f>
        <v>3205</v>
      </c>
      <c r="Z6" s="15">
        <f>[1]Model!CL8</f>
        <v>3778</v>
      </c>
      <c r="AA6" s="15">
        <f>[1]Model!CM8</f>
        <v>3425</v>
      </c>
      <c r="AB6" s="15">
        <f>X6*1.42</f>
        <v>3872.3399999999997</v>
      </c>
      <c r="AC6" s="15">
        <f>Y6*1.35</f>
        <v>4326.75</v>
      </c>
      <c r="AD6" s="15">
        <f>Z6*1.3</f>
        <v>4911.4000000000005</v>
      </c>
    </row>
    <row r="7" spans="1:30" x14ac:dyDescent="0.25">
      <c r="B7" s="15" t="s">
        <v>13</v>
      </c>
      <c r="E7" s="15">
        <f>[1]Model!BQ13</f>
        <v>14</v>
      </c>
      <c r="F7" s="15">
        <f>[1]Model!BR13</f>
        <v>33</v>
      </c>
      <c r="G7" s="15">
        <f>[1]Model!BS13</f>
        <v>86</v>
      </c>
      <c r="H7" s="15">
        <f>[1]Model!BT13</f>
        <v>149</v>
      </c>
      <c r="I7" s="15">
        <f>[1]Model!BU13</f>
        <v>215</v>
      </c>
      <c r="J7" s="15">
        <f>[1]Model!BV13</f>
        <v>281</v>
      </c>
      <c r="K7" s="15">
        <f>[1]Model!BW13</f>
        <v>303</v>
      </c>
      <c r="L7" s="15">
        <f>[1]Model!BX13</f>
        <v>378</v>
      </c>
      <c r="M7" s="15">
        <f>[1]Model!BY13</f>
        <v>453</v>
      </c>
      <c r="N7" s="15">
        <f>[1]Model!BZ13</f>
        <v>517</v>
      </c>
      <c r="O7" s="15">
        <f>[1]Model!CA13</f>
        <v>465</v>
      </c>
      <c r="P7" s="15">
        <f>[1]Model!CB13</f>
        <v>592</v>
      </c>
      <c r="Q7" s="15">
        <f>[1]Model!CC13</f>
        <v>695</v>
      </c>
      <c r="R7" s="15">
        <f>[1]Model!CD13</f>
        <v>770</v>
      </c>
      <c r="S7" s="15">
        <f>[1]Model!CE13</f>
        <v>686</v>
      </c>
      <c r="T7" s="15">
        <f>[1]Model!CF13</f>
        <v>918</v>
      </c>
      <c r="U7" s="15">
        <f>[1]Model!CG13</f>
        <v>1110</v>
      </c>
      <c r="V7" s="15">
        <f>[1]Model!CH13</f>
        <v>1255</v>
      </c>
      <c r="W7" s="15">
        <f>[1]Model!CI13</f>
        <v>1093</v>
      </c>
      <c r="X7" s="15">
        <f>[1]Model!CJ13</f>
        <v>1430</v>
      </c>
      <c r="Y7" s="15">
        <f>[1]Model!CK13</f>
        <v>1614</v>
      </c>
      <c r="Z7" s="15">
        <f>[1]Model!CL13</f>
        <v>1834</v>
      </c>
      <c r="AA7" s="15">
        <f>[1]Model!CM13</f>
        <v>1718</v>
      </c>
      <c r="AB7" s="15">
        <f>[1]Model!CN13</f>
        <v>1859</v>
      </c>
      <c r="AC7" s="15">
        <f>[1]Model!CO13</f>
        <v>2098.2000000000003</v>
      </c>
      <c r="AD7" s="15">
        <f>[1]Model!CP13</f>
        <v>2384.2000000000003</v>
      </c>
    </row>
    <row r="8" spans="1:30" x14ac:dyDescent="0.25">
      <c r="B8" s="15" t="s">
        <v>14</v>
      </c>
      <c r="F8" s="15"/>
      <c r="G8" s="15"/>
      <c r="H8" s="15"/>
      <c r="I8" s="15"/>
      <c r="J8" s="15"/>
      <c r="K8" s="15">
        <f>[2]Model!BR96</f>
        <v>125400</v>
      </c>
      <c r="L8" s="15">
        <f>[2]Model!BS96</f>
        <v>130500</v>
      </c>
      <c r="M8" s="15">
        <f>[2]Model!BT96</f>
        <v>139500</v>
      </c>
      <c r="N8" s="15">
        <f>[2]Model!BU96</f>
        <v>126400</v>
      </c>
      <c r="O8" s="15">
        <f>[2]Model!BV96</f>
        <v>168300</v>
      </c>
      <c r="P8" s="15">
        <f>[2]Model!BW96</f>
        <v>178300</v>
      </c>
      <c r="Q8" s="15">
        <f>[2]Model!BX96</f>
        <v>201300</v>
      </c>
      <c r="R8" s="15">
        <f>[2]Model!BY96</f>
        <v>154900</v>
      </c>
      <c r="S8" s="15">
        <f>[2]Model!BZ96</f>
        <v>192000</v>
      </c>
      <c r="T8" s="15">
        <f>[2]Model!CA96</f>
        <v>199700</v>
      </c>
      <c r="U8" s="15">
        <f>[2]Model!CB96</f>
        <v>227600</v>
      </c>
      <c r="V8" s="15">
        <f>[2]Model!CC96</f>
        <v>181600</v>
      </c>
      <c r="W8" s="15">
        <f>[2]Model!CD96</f>
        <v>234400</v>
      </c>
      <c r="X8" s="15">
        <f>[2]Model!CE96</f>
        <v>238900</v>
      </c>
      <c r="Y8" s="15">
        <f>[2]Model!CF96</f>
        <v>225800</v>
      </c>
      <c r="Z8" s="15">
        <f>[2]Model!CG96</f>
        <v>215100</v>
      </c>
      <c r="AA8" s="15">
        <f>[2]Model!CH96</f>
        <v>0</v>
      </c>
    </row>
    <row r="9" spans="1:30" x14ac:dyDescent="0.25">
      <c r="B9" s="15" t="s">
        <v>71</v>
      </c>
      <c r="K9" s="15"/>
    </row>
    <row r="11" spans="1:30" x14ac:dyDescent="0.25">
      <c r="B11" s="15" t="s">
        <v>17</v>
      </c>
      <c r="H11" s="20">
        <f>H6/D6-1</f>
        <v>5.875</v>
      </c>
      <c r="I11" s="20">
        <f t="shared" ref="I11:AA11" si="0">I6/E6-1</f>
        <v>3.7802197802197801</v>
      </c>
      <c r="J11" s="20">
        <f t="shared" si="0"/>
        <v>1.4305555555555554</v>
      </c>
      <c r="K11" s="20">
        <f t="shared" si="0"/>
        <v>0.91333333333333333</v>
      </c>
      <c r="L11" s="20">
        <f t="shared" si="0"/>
        <v>1.0424242424242425</v>
      </c>
      <c r="M11" s="20">
        <f t="shared" si="0"/>
        <v>0.8298850574712644</v>
      </c>
      <c r="N11" s="20">
        <f t="shared" si="0"/>
        <v>0.7047619047619047</v>
      </c>
      <c r="O11" s="20">
        <f t="shared" si="0"/>
        <v>0.63763066202090601</v>
      </c>
      <c r="P11" s="20">
        <f t="shared" si="0"/>
        <v>0.85756676557863498</v>
      </c>
      <c r="Q11" s="20">
        <f t="shared" si="0"/>
        <v>0.75502512562814061</v>
      </c>
      <c r="R11" s="20">
        <f t="shared" si="0"/>
        <v>0.76089385474860327</v>
      </c>
      <c r="S11" s="20">
        <f t="shared" si="0"/>
        <v>0.44680851063829796</v>
      </c>
      <c r="T11" s="20">
        <f t="shared" si="0"/>
        <v>0.5039936102236422</v>
      </c>
      <c r="U11" s="20">
        <f t="shared" si="0"/>
        <v>0.52183249821045097</v>
      </c>
      <c r="V11" s="20">
        <f t="shared" si="0"/>
        <v>0.51903553299492389</v>
      </c>
      <c r="W11" s="20">
        <f t="shared" si="0"/>
        <v>0.4764705882352942</v>
      </c>
      <c r="X11" s="20">
        <f t="shared" si="0"/>
        <v>0.44822092405735536</v>
      </c>
      <c r="Y11" s="20">
        <f t="shared" si="0"/>
        <v>0.50752587017873951</v>
      </c>
      <c r="Z11" s="20">
        <f t="shared" si="0"/>
        <v>0.57811194653299913</v>
      </c>
      <c r="AA11" s="20">
        <f t="shared" si="0"/>
        <v>0.70567729083665331</v>
      </c>
      <c r="AB11" s="20">
        <f t="shared" ref="AB11:AB12" si="1">AB6/X6-1</f>
        <v>0.41999999999999993</v>
      </c>
      <c r="AC11" s="20">
        <f t="shared" ref="AC11:AC12" si="2">AC6/Y6-1</f>
        <v>0.35000000000000009</v>
      </c>
      <c r="AD11" s="20">
        <f t="shared" ref="AD11:AD12" si="3">AD6/Z6-1</f>
        <v>0.30000000000000004</v>
      </c>
    </row>
    <row r="12" spans="1:30" x14ac:dyDescent="0.25">
      <c r="B12" s="15" t="s">
        <v>18</v>
      </c>
      <c r="H12" s="20"/>
      <c r="I12" s="20">
        <f>I7/E7-1</f>
        <v>14.357142857142858</v>
      </c>
      <c r="J12" s="20">
        <f>J7/F7-1</f>
        <v>7.5151515151515156</v>
      </c>
      <c r="K12" s="20">
        <f t="shared" ref="K12:AA12" si="4">K7/G7-1</f>
        <v>2.5232558139534884</v>
      </c>
      <c r="L12" s="20">
        <f t="shared" si="4"/>
        <v>1.5369127516778525</v>
      </c>
      <c r="M12" s="20">
        <f t="shared" si="4"/>
        <v>1.1069767441860465</v>
      </c>
      <c r="N12" s="20">
        <f t="shared" si="4"/>
        <v>0.83985765124555156</v>
      </c>
      <c r="O12" s="20">
        <f t="shared" si="4"/>
        <v>0.53465346534653468</v>
      </c>
      <c r="P12" s="20">
        <f t="shared" si="4"/>
        <v>0.56613756613756605</v>
      </c>
      <c r="Q12" s="20">
        <f t="shared" si="4"/>
        <v>0.53421633554083892</v>
      </c>
      <c r="R12" s="20">
        <f t="shared" si="4"/>
        <v>0.4893617021276595</v>
      </c>
      <c r="S12" s="20">
        <f t="shared" si="4"/>
        <v>0.47526881720430114</v>
      </c>
      <c r="T12" s="20">
        <f t="shared" si="4"/>
        <v>0.55067567567567566</v>
      </c>
      <c r="U12" s="20">
        <f t="shared" si="4"/>
        <v>0.59712230215827344</v>
      </c>
      <c r="V12" s="20">
        <f t="shared" si="4"/>
        <v>0.62987012987012991</v>
      </c>
      <c r="W12" s="20">
        <f t="shared" si="4"/>
        <v>0.59329446064139946</v>
      </c>
      <c r="X12" s="20">
        <f t="shared" si="4"/>
        <v>0.55773420479302827</v>
      </c>
      <c r="Y12" s="20">
        <f t="shared" si="4"/>
        <v>0.45405405405405408</v>
      </c>
      <c r="Z12" s="20">
        <f t="shared" si="4"/>
        <v>0.46135458167330667</v>
      </c>
      <c r="AA12" s="20">
        <f t="shared" si="4"/>
        <v>0.57182067703568151</v>
      </c>
      <c r="AB12" s="20">
        <f t="shared" si="1"/>
        <v>0.30000000000000004</v>
      </c>
      <c r="AC12" s="20">
        <f t="shared" si="2"/>
        <v>0.30000000000000027</v>
      </c>
      <c r="AD12" s="20">
        <f t="shared" si="3"/>
        <v>0.30000000000000004</v>
      </c>
    </row>
    <row r="13" spans="1:30" x14ac:dyDescent="0.25">
      <c r="B13" s="15" t="s">
        <v>19</v>
      </c>
      <c r="K13" s="20"/>
      <c r="L13" s="20"/>
      <c r="M13" s="20"/>
      <c r="N13" s="20"/>
      <c r="O13" s="20">
        <f t="shared" ref="O13" si="5">O8/K8-1</f>
        <v>0.34210526315789469</v>
      </c>
      <c r="P13" s="20">
        <f t="shared" ref="P13" si="6">P8/L8-1</f>
        <v>0.36628352490421445</v>
      </c>
      <c r="Q13" s="20">
        <f t="shared" ref="Q13" si="7">Q8/M8-1</f>
        <v>0.44301075268817214</v>
      </c>
      <c r="R13" s="20">
        <f t="shared" ref="R13" si="8">R8/N8-1</f>
        <v>0.22547468354430378</v>
      </c>
      <c r="S13" s="20">
        <f t="shared" ref="S13" si="9">S8/O8-1</f>
        <v>0.14081996434937616</v>
      </c>
      <c r="T13" s="20">
        <f t="shared" ref="T13" si="10">T8/P8-1</f>
        <v>0.12002243409983171</v>
      </c>
      <c r="U13" s="20">
        <f t="shared" ref="U13" si="11">U8/Q8-1</f>
        <v>0.13065076999503233</v>
      </c>
      <c r="V13" s="20">
        <f t="shared" ref="V13" si="12">V8/R8-1</f>
        <v>0.17236927049709494</v>
      </c>
      <c r="W13" s="20">
        <f t="shared" ref="W13" si="13">W8/S8-1</f>
        <v>0.22083333333333344</v>
      </c>
      <c r="X13" s="20">
        <f t="shared" ref="X13" si="14">X8/T8-1</f>
        <v>0.19629444166249366</v>
      </c>
      <c r="Y13" s="20">
        <f>Y8/U8-1</f>
        <v>-7.9086115992970107E-3</v>
      </c>
      <c r="Z13" s="20">
        <f>Z8/V8-1</f>
        <v>0.18447136563876643</v>
      </c>
      <c r="AA13" s="20">
        <f>AA8/W8-1</f>
        <v>-1</v>
      </c>
      <c r="AB13" s="20"/>
      <c r="AC13" s="20"/>
      <c r="AD13" s="20"/>
    </row>
    <row r="14" spans="1:30" x14ac:dyDescent="0.25">
      <c r="B14" s="15"/>
    </row>
    <row r="16" spans="1:30" x14ac:dyDescent="0.25">
      <c r="X16" s="19"/>
    </row>
    <row r="21" spans="2:40" ht="15.6" x14ac:dyDescent="0.4">
      <c r="B21" s="16" t="s">
        <v>4</v>
      </c>
      <c r="D21" s="21">
        <v>2014</v>
      </c>
      <c r="E21" s="21">
        <v>2025</v>
      </c>
      <c r="F21" s="21">
        <v>2016</v>
      </c>
      <c r="G21" s="21">
        <v>2017</v>
      </c>
      <c r="H21" s="21">
        <v>2018</v>
      </c>
      <c r="I21" s="21">
        <v>2019</v>
      </c>
      <c r="J21" s="21">
        <v>2020</v>
      </c>
      <c r="K21" s="21">
        <v>2021</v>
      </c>
      <c r="L21" s="21">
        <v>2022</v>
      </c>
      <c r="M21" s="21">
        <v>2023</v>
      </c>
      <c r="N21" s="21">
        <v>2024</v>
      </c>
      <c r="O21" s="21">
        <v>2025</v>
      </c>
      <c r="P21" s="21">
        <v>2026</v>
      </c>
      <c r="Q21" s="21">
        <v>2027</v>
      </c>
      <c r="R21" s="21">
        <v>2028</v>
      </c>
      <c r="S21" s="21">
        <v>2029</v>
      </c>
      <c r="T21" s="21">
        <v>2030</v>
      </c>
      <c r="U21" s="21">
        <v>2031</v>
      </c>
      <c r="V21" s="21">
        <v>2032</v>
      </c>
      <c r="W21" s="21">
        <v>2033</v>
      </c>
      <c r="X21" s="21">
        <v>2034</v>
      </c>
      <c r="Y21" s="21">
        <v>2035</v>
      </c>
      <c r="Z21" s="21">
        <v>2036</v>
      </c>
      <c r="AA21" s="21">
        <v>2037</v>
      </c>
      <c r="AB21" s="21">
        <v>2038</v>
      </c>
      <c r="AC21" s="21">
        <v>2039</v>
      </c>
      <c r="AD21" s="21">
        <v>2040</v>
      </c>
      <c r="AE21" s="21">
        <v>2041</v>
      </c>
      <c r="AF21" s="21">
        <v>2042</v>
      </c>
      <c r="AG21" s="21">
        <v>2043</v>
      </c>
      <c r="AH21" s="21">
        <v>2044</v>
      </c>
      <c r="AI21" s="21">
        <v>2045</v>
      </c>
      <c r="AJ21" s="21">
        <v>2046</v>
      </c>
      <c r="AK21" s="21">
        <v>2047</v>
      </c>
      <c r="AL21" s="21">
        <v>2048</v>
      </c>
      <c r="AM21" s="21">
        <v>2049</v>
      </c>
      <c r="AN21" s="21">
        <v>2050</v>
      </c>
    </row>
    <row r="23" spans="2:40" x14ac:dyDescent="0.25">
      <c r="B23" s="15" t="s">
        <v>15</v>
      </c>
      <c r="I23" s="12">
        <f>SUM(D6:F6)</f>
        <v>355</v>
      </c>
      <c r="J23" s="12">
        <f>SUM(G6:J6)</f>
        <v>1590</v>
      </c>
      <c r="K23" s="12">
        <f>SUM(K6:N6)</f>
        <v>2939</v>
      </c>
      <c r="L23" s="12">
        <f>SUM(O6:R6)</f>
        <v>5165</v>
      </c>
      <c r="M23" s="12">
        <f>SUM(S6:V6)</f>
        <v>7763</v>
      </c>
      <c r="N23" s="12">
        <f>SUM(W6:Z6)</f>
        <v>11718</v>
      </c>
      <c r="O23" s="12">
        <f>SUM(AA6:AD6)</f>
        <v>16535.490000000002</v>
      </c>
      <c r="P23" s="12">
        <f>O23*1.02</f>
        <v>16866.199800000002</v>
      </c>
      <c r="Q23" s="12">
        <f>P23*1.02</f>
        <v>17203.523796000001</v>
      </c>
      <c r="R23" s="12">
        <f t="shared" ref="R23:Y23" si="15">Q23*1.02</f>
        <v>17547.594271920003</v>
      </c>
      <c r="S23" s="12">
        <f t="shared" si="15"/>
        <v>17898.546157358403</v>
      </c>
      <c r="T23" s="12">
        <f t="shared" si="15"/>
        <v>18256.517080505571</v>
      </c>
      <c r="U23" s="12">
        <f t="shared" si="15"/>
        <v>18621.647422115682</v>
      </c>
      <c r="V23" s="12">
        <f t="shared" si="15"/>
        <v>18994.080370557997</v>
      </c>
      <c r="W23" s="12">
        <f t="shared" si="15"/>
        <v>19373.961977969157</v>
      </c>
      <c r="X23" s="12">
        <f t="shared" si="15"/>
        <v>19761.44121752854</v>
      </c>
      <c r="Y23" s="12">
        <f t="shared" si="15"/>
        <v>20156.670041879112</v>
      </c>
    </row>
    <row r="24" spans="2:40" x14ac:dyDescent="0.25">
      <c r="B24" s="15" t="s">
        <v>13</v>
      </c>
      <c r="I24" s="12">
        <f>SUM(E7:F7)</f>
        <v>47</v>
      </c>
      <c r="J24" s="12">
        <f>SUM(G7:J7)</f>
        <v>731</v>
      </c>
      <c r="K24" s="12">
        <f>SUM(K7:N7)</f>
        <v>1651</v>
      </c>
      <c r="L24" s="12">
        <f>SUM(O7:R7)</f>
        <v>2522</v>
      </c>
      <c r="M24" s="12">
        <f>SUM(S7:V7)</f>
        <v>3969</v>
      </c>
      <c r="N24" s="12">
        <f>SUM(W7:Z7)</f>
        <v>5971</v>
      </c>
      <c r="O24" s="12">
        <f>SUM(AA7:AD7)</f>
        <v>8059.4000000000015</v>
      </c>
      <c r="P24" s="12">
        <f>[1]Model!DH13</f>
        <v>9671.2800000000007</v>
      </c>
      <c r="Q24" s="12">
        <f>[1]Model!DI13</f>
        <v>11605.536</v>
      </c>
      <c r="R24" s="12">
        <f>[1]Model!DJ13</f>
        <v>11953.702080000001</v>
      </c>
      <c r="S24" s="12">
        <f>[1]Model!DK13</f>
        <v>12312.313142400002</v>
      </c>
      <c r="T24" s="12">
        <f>[1]Model!DL13</f>
        <v>12681.682536672002</v>
      </c>
      <c r="U24" s="12">
        <f>[1]Model!DM13</f>
        <v>1268.1682536672004</v>
      </c>
      <c r="V24" s="12">
        <f>[1]Model!DN13</f>
        <v>126.81682536672004</v>
      </c>
      <c r="W24" s="12">
        <f>[1]Model!DO13</f>
        <v>12.681682536672005</v>
      </c>
      <c r="X24" s="12">
        <f>[1]Model!DP13</f>
        <v>1.2681682536672005</v>
      </c>
      <c r="Y24" s="12">
        <f>[1]Model!DQ13</f>
        <v>0.12681682536672007</v>
      </c>
    </row>
    <row r="25" spans="2:40" x14ac:dyDescent="0.25">
      <c r="B25" s="15" t="s">
        <v>14</v>
      </c>
      <c r="D25" s="12">
        <f>[2]Model!CR96</f>
        <v>27800</v>
      </c>
      <c r="E25" s="12">
        <f>[2]Model!CS96</f>
        <v>86200</v>
      </c>
      <c r="F25" s="12">
        <f>[2]Model!CT96</f>
        <v>143200</v>
      </c>
      <c r="G25" s="12">
        <f>[2]Model!CU96</f>
        <v>201400</v>
      </c>
      <c r="H25" s="12">
        <f>[2]Model!CV96</f>
        <v>269200</v>
      </c>
      <c r="I25" s="12">
        <f>[2]Model!CW96</f>
        <v>347200</v>
      </c>
      <c r="J25" s="12">
        <f>[2]Model!CX96</f>
        <v>429281</v>
      </c>
      <c r="K25" s="12">
        <f>SUM(K8:N8)</f>
        <v>521800</v>
      </c>
      <c r="L25" s="12">
        <f>SUM(O8:R8)</f>
        <v>702800</v>
      </c>
      <c r="M25" s="12">
        <f>SUM(S8:V8)</f>
        <v>800900</v>
      </c>
      <c r="N25" s="12">
        <f>SUM(W8:Z8)</f>
        <v>914200</v>
      </c>
    </row>
    <row r="26" spans="2:40" x14ac:dyDescent="0.25">
      <c r="B26" s="15" t="s">
        <v>71</v>
      </c>
      <c r="D26" s="12">
        <f>D25/119</f>
        <v>233.61344537815125</v>
      </c>
      <c r="E26" s="12">
        <f>E25/117</f>
        <v>736.75213675213672</v>
      </c>
      <c r="F26" s="12">
        <f>F25/113</f>
        <v>1267.2566371681417</v>
      </c>
      <c r="G26" s="12">
        <f>G25/111</f>
        <v>1814.4144144144145</v>
      </c>
      <c r="H26" s="12">
        <f>H25/111</f>
        <v>2425.2252252252251</v>
      </c>
      <c r="I26" s="12">
        <f>I25/111</f>
        <v>3127.9279279279281</v>
      </c>
      <c r="J26" s="12">
        <f>J25/104</f>
        <v>4127.7019230769229</v>
      </c>
      <c r="K26" s="12">
        <f>K25/114</f>
        <v>4577.1929824561403</v>
      </c>
      <c r="L26" s="12">
        <f>L25/142</f>
        <v>4949.2957746478869</v>
      </c>
      <c r="M26" s="12">
        <f>M25/144</f>
        <v>5561.8055555555557</v>
      </c>
      <c r="N26" s="12">
        <f>N25/154</f>
        <v>5936.363636363636</v>
      </c>
    </row>
    <row r="28" spans="2:40" x14ac:dyDescent="0.25">
      <c r="B28" s="15" t="s">
        <v>72</v>
      </c>
      <c r="D28" s="19"/>
      <c r="E28" s="19">
        <f t="shared" ref="E28:M28" si="16">E25/D25-1</f>
        <v>2.1007194244604315</v>
      </c>
      <c r="F28" s="19">
        <f t="shared" si="16"/>
        <v>0.66125290023201866</v>
      </c>
      <c r="G28" s="19">
        <f t="shared" si="16"/>
        <v>0.40642458100558665</v>
      </c>
      <c r="H28" s="19">
        <f t="shared" si="16"/>
        <v>0.33664349553128092</v>
      </c>
      <c r="I28" s="19">
        <f t="shared" si="16"/>
        <v>0.28974739970282326</v>
      </c>
      <c r="J28" s="19">
        <f t="shared" si="16"/>
        <v>0.23640841013824887</v>
      </c>
      <c r="K28" s="19">
        <f t="shared" si="16"/>
        <v>0.21552083600252514</v>
      </c>
      <c r="L28" s="19">
        <f t="shared" si="16"/>
        <v>0.34687619777692613</v>
      </c>
      <c r="M28" s="19">
        <f t="shared" si="16"/>
        <v>0.13958451906659075</v>
      </c>
      <c r="N28" s="19">
        <f>N25/M25-1</f>
        <v>0.14146585091771757</v>
      </c>
    </row>
    <row r="29" spans="2:40" x14ac:dyDescent="0.25">
      <c r="B29" s="15" t="s">
        <v>73</v>
      </c>
      <c r="E29" s="19">
        <f>(E26/D26-1)-E28</f>
        <v>5.3003750845477704E-2</v>
      </c>
      <c r="F29" s="19">
        <f t="shared" ref="F29:N29" si="17">(F26/E26-1)-F28</f>
        <v>5.8805412397593626E-2</v>
      </c>
      <c r="G29" s="19">
        <f t="shared" si="17"/>
        <v>2.534098344154212E-2</v>
      </c>
      <c r="H29" s="19">
        <f t="shared" si="17"/>
        <v>0</v>
      </c>
      <c r="I29" s="19">
        <f t="shared" si="17"/>
        <v>0</v>
      </c>
      <c r="J29" s="19">
        <f t="shared" si="17"/>
        <v>8.3219796836228044E-2</v>
      </c>
      <c r="K29" s="19">
        <f t="shared" si="17"/>
        <v>-0.10662463473706363</v>
      </c>
      <c r="L29" s="19">
        <f t="shared" si="17"/>
        <v>-0.26558122209685875</v>
      </c>
      <c r="M29" s="19">
        <f t="shared" si="17"/>
        <v>-1.5827562764813674E-2</v>
      </c>
      <c r="N29" s="19">
        <f t="shared" si="17"/>
        <v>-7.4121159150501326E-2</v>
      </c>
    </row>
    <row r="30" spans="2:40" x14ac:dyDescent="0.25">
      <c r="Q30" s="12">
        <f>Q35*Q36</f>
        <v>236</v>
      </c>
      <c r="R30" s="12">
        <f>R35*R36</f>
        <v>1215.4000000000001</v>
      </c>
      <c r="S30" s="12">
        <f>S35*S36</f>
        <v>1502.2344000000003</v>
      </c>
      <c r="T30" s="12">
        <f>T35*T36</f>
        <v>2011.4918616000002</v>
      </c>
      <c r="U30" s="12">
        <f>U35*U36</f>
        <v>2279.0202791928009</v>
      </c>
      <c r="V30" s="12">
        <f>V35*V36</f>
        <v>2582.1299763254437</v>
      </c>
      <c r="W30" s="12">
        <f>W35*W36</f>
        <v>2925.5532631767283</v>
      </c>
      <c r="X30" s="12">
        <f>X35*X36</f>
        <v>3314.6518471792333</v>
      </c>
      <c r="Y30" s="12">
        <f>Y35*Y36</f>
        <v>3584.795972724341</v>
      </c>
      <c r="Z30" s="12">
        <f>Z35*Z36</f>
        <v>3764.0357713605581</v>
      </c>
      <c r="AA30" s="12">
        <f>AA35*AA36</f>
        <v>3952.2375599285865</v>
      </c>
      <c r="AB30" s="12">
        <f>AB35*AB36</f>
        <v>4484.3660881121632</v>
      </c>
    </row>
    <row r="32" spans="2:40" x14ac:dyDescent="0.25">
      <c r="B32" s="15" t="s">
        <v>107</v>
      </c>
      <c r="Q32" s="12">
        <v>776</v>
      </c>
      <c r="R32" s="12">
        <f>Q32*1.03</f>
        <v>799.28</v>
      </c>
      <c r="S32" s="12">
        <f>R32*1.03</f>
        <v>823.25839999999994</v>
      </c>
      <c r="T32" s="12">
        <f>S32*1.03</f>
        <v>847.95615199999997</v>
      </c>
      <c r="U32" s="12">
        <f>T32*1.03</f>
        <v>873.39483656000004</v>
      </c>
      <c r="V32" s="12">
        <f>U32*1.03</f>
        <v>899.59668165680011</v>
      </c>
      <c r="W32" s="12">
        <f>V32*1.03</f>
        <v>926.58458210650417</v>
      </c>
      <c r="X32" s="12">
        <f>W32*1.03</f>
        <v>954.38211956969928</v>
      </c>
      <c r="Y32" s="12">
        <f>X32*1.03</f>
        <v>983.01358315679033</v>
      </c>
      <c r="Z32" s="12">
        <f>Y32*1.03</f>
        <v>1012.5039906514941</v>
      </c>
      <c r="AA32" s="12">
        <f>Z32*1.03</f>
        <v>1042.8791103710389</v>
      </c>
      <c r="AB32" s="12">
        <f>AA32*1.03</f>
        <v>1074.1654836821701</v>
      </c>
    </row>
    <row r="33" spans="2:28" x14ac:dyDescent="0.25">
      <c r="B33" s="15"/>
    </row>
    <row r="34" spans="2:28" x14ac:dyDescent="0.25">
      <c r="B34" s="15" t="s">
        <v>108</v>
      </c>
      <c r="Q34" s="19">
        <f>Q35/Q32</f>
        <v>5.1546391752577319E-3</v>
      </c>
      <c r="R34" s="19">
        <f>R35/R32</f>
        <v>2.5022520268241418E-2</v>
      </c>
      <c r="S34" s="19">
        <f>S35/S32</f>
        <v>2.9152450797951167E-2</v>
      </c>
      <c r="T34" s="19">
        <f>T35/T32</f>
        <v>3.6794355376054876E-2</v>
      </c>
      <c r="U34" s="19">
        <f>U35/U32</f>
        <v>3.9294942634621709E-2</v>
      </c>
      <c r="V34" s="19">
        <f t="shared" ref="R34:AB34" si="18">V35/V32</f>
        <v>4.1965472716586294E-2</v>
      </c>
      <c r="W34" s="19">
        <f t="shared" si="18"/>
        <v>4.4817495134218371E-2</v>
      </c>
      <c r="X34" s="19">
        <f t="shared" si="18"/>
        <v>4.7863344318097294E-2</v>
      </c>
      <c r="Y34" s="19">
        <f t="shared" si="18"/>
        <v>4.8792729644662289E-2</v>
      </c>
      <c r="Z34" s="19">
        <f t="shared" si="18"/>
        <v>4.9740161288247965E-2</v>
      </c>
      <c r="AA34" s="19">
        <f t="shared" si="18"/>
        <v>5.0705989662777055E-2</v>
      </c>
      <c r="AB34" s="19">
        <f>AB35/AB32</f>
        <v>5.5857315200935204E-2</v>
      </c>
    </row>
    <row r="35" spans="2:28" x14ac:dyDescent="0.25">
      <c r="B35" s="12" t="s">
        <v>16</v>
      </c>
      <c r="Q35" s="12">
        <v>4</v>
      </c>
      <c r="R35" s="12">
        <f>Q35*5</f>
        <v>20</v>
      </c>
      <c r="S35" s="12">
        <f>R35*1.2</f>
        <v>24</v>
      </c>
      <c r="T35" s="12">
        <f>S35*1.3</f>
        <v>31.200000000000003</v>
      </c>
      <c r="U35" s="12">
        <f>T35*1.1</f>
        <v>34.320000000000007</v>
      </c>
      <c r="V35" s="12">
        <f>U35*1.1</f>
        <v>37.75200000000001</v>
      </c>
      <c r="W35" s="12">
        <f>V35*1.1</f>
        <v>41.527200000000015</v>
      </c>
      <c r="X35" s="12">
        <f>W35*1.1</f>
        <v>45.679920000000017</v>
      </c>
      <c r="Y35" s="12">
        <f>X35*1.05</f>
        <v>47.963916000000019</v>
      </c>
      <c r="Z35" s="12">
        <f>Y35*1.05</f>
        <v>50.362111800000022</v>
      </c>
      <c r="AA35" s="12">
        <f>Z35*1.05</f>
        <v>52.880217390000027</v>
      </c>
      <c r="AB35" s="12">
        <v>60</v>
      </c>
    </row>
    <row r="36" spans="2:28" x14ac:dyDescent="0.25">
      <c r="B36" s="12" t="s">
        <v>1</v>
      </c>
      <c r="Q36" s="12">
        <v>59</v>
      </c>
      <c r="R36" s="12">
        <f>Q36*1.03</f>
        <v>60.77</v>
      </c>
      <c r="S36" s="12">
        <f>R36*1.03</f>
        <v>62.593100000000007</v>
      </c>
      <c r="T36" s="12">
        <f t="shared" ref="S36:Y36" si="19">S36*1.03</f>
        <v>64.470893000000004</v>
      </c>
      <c r="U36" s="12">
        <f t="shared" si="19"/>
        <v>66.405019790000011</v>
      </c>
      <c r="V36" s="12">
        <f t="shared" si="19"/>
        <v>68.397170383700015</v>
      </c>
      <c r="W36" s="12">
        <f t="shared" si="19"/>
        <v>70.449085495211023</v>
      </c>
      <c r="X36" s="12">
        <f t="shared" si="19"/>
        <v>72.56255806006736</v>
      </c>
      <c r="Y36" s="12">
        <f t="shared" si="19"/>
        <v>74.739434801869379</v>
      </c>
      <c r="Z36" s="12">
        <f>Y36</f>
        <v>74.739434801869379</v>
      </c>
      <c r="AA36" s="12">
        <f>Z36</f>
        <v>74.739434801869379</v>
      </c>
      <c r="AB36" s="12">
        <f>AA36</f>
        <v>74.739434801869379</v>
      </c>
    </row>
    <row r="38" spans="2:28" x14ac:dyDescent="0.25">
      <c r="B38" s="12" t="s">
        <v>37</v>
      </c>
      <c r="Q38" s="12">
        <f>Q35*Q36</f>
        <v>236</v>
      </c>
      <c r="R38" s="12">
        <f>R35*R36</f>
        <v>1215.4000000000001</v>
      </c>
      <c r="S38" s="12">
        <f>S35*S36</f>
        <v>1502.2344000000003</v>
      </c>
      <c r="T38" s="12">
        <f>T35*T36</f>
        <v>2011.4918616000002</v>
      </c>
      <c r="U38" s="12">
        <f>U35*U36</f>
        <v>2279.0202791928009</v>
      </c>
      <c r="V38" s="12">
        <f>V35*V36</f>
        <v>2582.1299763254437</v>
      </c>
      <c r="W38" s="12">
        <f>W35*W36</f>
        <v>2925.5532631767283</v>
      </c>
      <c r="X38" s="12">
        <f>X35*X36</f>
        <v>3314.6518471792333</v>
      </c>
      <c r="Y38" s="12">
        <f>Y35*Y36</f>
        <v>3584.795972724341</v>
      </c>
      <c r="Z38" s="12">
        <f>Z35*Z36</f>
        <v>3764.0357713605581</v>
      </c>
      <c r="AA38" s="12">
        <f>AA35*AA36</f>
        <v>3952.2375599285865</v>
      </c>
      <c r="AB38" s="12">
        <f>AB35*AB36</f>
        <v>4484.3660881121632</v>
      </c>
    </row>
    <row r="39" spans="2:28" x14ac:dyDescent="0.25">
      <c r="B39" s="12" t="s">
        <v>75</v>
      </c>
      <c r="Q39" s="12">
        <f>Q38*0.1</f>
        <v>23.6</v>
      </c>
      <c r="R39" s="12">
        <f>R38*0.1</f>
        <v>121.54000000000002</v>
      </c>
      <c r="S39" s="12">
        <f>S38*0.1</f>
        <v>150.22344000000004</v>
      </c>
      <c r="T39" s="12">
        <f>T38*0.1</f>
        <v>201.14918616000003</v>
      </c>
      <c r="U39" s="12">
        <f>U38*0.1</f>
        <v>227.9020279192801</v>
      </c>
      <c r="V39" s="12">
        <f>V38*0.1</f>
        <v>258.21299763254439</v>
      </c>
      <c r="W39" s="12">
        <f>W38*0.1</f>
        <v>292.55532631767284</v>
      </c>
      <c r="X39" s="12">
        <f>X38*0.1</f>
        <v>331.46518471792336</v>
      </c>
      <c r="Y39" s="12">
        <f>Y38*0.1</f>
        <v>358.47959727243415</v>
      </c>
      <c r="Z39" s="12">
        <f t="shared" ref="Z39:AB39" si="20">Z38*0.1</f>
        <v>376.40357713605584</v>
      </c>
      <c r="AA39" s="12">
        <f t="shared" si="20"/>
        <v>395.22375599285868</v>
      </c>
      <c r="AB39" s="12">
        <f t="shared" si="20"/>
        <v>448.43660881121633</v>
      </c>
    </row>
    <row r="40" spans="2:28" x14ac:dyDescent="0.25">
      <c r="B40" s="12" t="s">
        <v>76</v>
      </c>
      <c r="Q40" s="12">
        <f>Q38-Q39</f>
        <v>212.4</v>
      </c>
      <c r="R40" s="12">
        <f t="shared" ref="R40:Y40" si="21">R38-R39</f>
        <v>1093.8600000000001</v>
      </c>
      <c r="S40" s="12">
        <f t="shared" si="21"/>
        <v>1352.0109600000003</v>
      </c>
      <c r="T40" s="12">
        <f t="shared" si="21"/>
        <v>1810.3426754400002</v>
      </c>
      <c r="U40" s="12">
        <f t="shared" si="21"/>
        <v>2051.1182512735209</v>
      </c>
      <c r="V40" s="12">
        <f t="shared" si="21"/>
        <v>2323.9169786928992</v>
      </c>
      <c r="W40" s="12">
        <f t="shared" si="21"/>
        <v>2632.9979368590552</v>
      </c>
      <c r="X40" s="12">
        <f t="shared" si="21"/>
        <v>2983.1866624613099</v>
      </c>
      <c r="Y40" s="12">
        <f>Y38-Y39</f>
        <v>3226.3163754519069</v>
      </c>
      <c r="Z40" s="12">
        <f t="shared" ref="Z40:AB40" si="22">Z38-Z39</f>
        <v>3387.6321942245022</v>
      </c>
      <c r="AA40" s="12">
        <f t="shared" si="22"/>
        <v>3557.013803935728</v>
      </c>
      <c r="AB40" s="12">
        <f t="shared" si="22"/>
        <v>4035.9294793009467</v>
      </c>
    </row>
    <row r="41" spans="2:28" x14ac:dyDescent="0.25">
      <c r="B41" s="12" t="s">
        <v>38</v>
      </c>
      <c r="Q41" s="12">
        <f>SUM(Q42:Q43)</f>
        <v>500</v>
      </c>
      <c r="R41" s="12">
        <f>SUM(R42:R43)</f>
        <v>540</v>
      </c>
      <c r="S41" s="12">
        <f>SUM(S42:S43)</f>
        <v>562</v>
      </c>
      <c r="T41" s="12">
        <f>SUM(T42:T43)</f>
        <v>650.20000000000005</v>
      </c>
      <c r="U41" s="12">
        <f>SUM(U42:U43)</f>
        <v>753.62000000000012</v>
      </c>
      <c r="V41" s="12">
        <f>SUM(V42:V43)</f>
        <v>782.90200000000016</v>
      </c>
      <c r="W41" s="12">
        <f>SUM(W42:W43)</f>
        <v>815.11220000000026</v>
      </c>
      <c r="X41" s="12">
        <f>SUM(X42:X43)</f>
        <v>815.11220000000026</v>
      </c>
      <c r="Y41" s="12">
        <f>SUM(Y42:Y43)</f>
        <v>815.11220000000026</v>
      </c>
      <c r="Z41" s="12">
        <f>SUM(Z42:Z43)</f>
        <v>815.11220000000026</v>
      </c>
      <c r="AA41" s="12">
        <f>SUM(AA42:AA43)</f>
        <v>815.11220000000026</v>
      </c>
      <c r="AB41" s="12">
        <f>SUM(AB42:AB43)</f>
        <v>815.11220000000026</v>
      </c>
    </row>
    <row r="42" spans="2:28" x14ac:dyDescent="0.25">
      <c r="B42" s="12" t="s">
        <v>78</v>
      </c>
      <c r="Q42" s="12">
        <v>300</v>
      </c>
      <c r="R42" s="12">
        <v>320</v>
      </c>
      <c r="S42" s="12">
        <f>R42</f>
        <v>320</v>
      </c>
      <c r="T42" s="12">
        <f>S42*1.2</f>
        <v>384</v>
      </c>
      <c r="U42" s="12">
        <f>T42*1.2</f>
        <v>460.79999999999995</v>
      </c>
      <c r="V42" s="12">
        <f>U42</f>
        <v>460.79999999999995</v>
      </c>
      <c r="W42" s="12">
        <f t="shared" ref="W42:AB42" si="23">V42</f>
        <v>460.79999999999995</v>
      </c>
      <c r="X42" s="12">
        <f t="shared" si="23"/>
        <v>460.79999999999995</v>
      </c>
      <c r="Y42" s="12">
        <f t="shared" si="23"/>
        <v>460.79999999999995</v>
      </c>
      <c r="Z42" s="12">
        <f t="shared" si="23"/>
        <v>460.79999999999995</v>
      </c>
      <c r="AA42" s="12">
        <f t="shared" si="23"/>
        <v>460.79999999999995</v>
      </c>
      <c r="AB42" s="12">
        <f t="shared" si="23"/>
        <v>460.79999999999995</v>
      </c>
    </row>
    <row r="43" spans="2:28" x14ac:dyDescent="0.25">
      <c r="B43" s="12" t="s">
        <v>43</v>
      </c>
      <c r="Q43" s="12">
        <v>200</v>
      </c>
      <c r="R43" s="12">
        <f>Q43*1.1</f>
        <v>220.00000000000003</v>
      </c>
      <c r="S43" s="12">
        <f>R43*1.1</f>
        <v>242.00000000000006</v>
      </c>
      <c r="T43" s="12">
        <f>S43*1.1</f>
        <v>266.2000000000001</v>
      </c>
      <c r="U43" s="12">
        <f>T43*1.1</f>
        <v>292.82000000000016</v>
      </c>
      <c r="V43" s="12">
        <f>U43*1.1</f>
        <v>322.1020000000002</v>
      </c>
      <c r="W43" s="12">
        <f>V43*1.1</f>
        <v>354.31220000000025</v>
      </c>
      <c r="X43" s="12">
        <f>W43</f>
        <v>354.31220000000025</v>
      </c>
      <c r="Y43" s="12">
        <f t="shared" ref="Y43:AB43" si="24">X43</f>
        <v>354.31220000000025</v>
      </c>
      <c r="Z43" s="12">
        <f t="shared" si="24"/>
        <v>354.31220000000025</v>
      </c>
      <c r="AA43" s="12">
        <f t="shared" si="24"/>
        <v>354.31220000000025</v>
      </c>
      <c r="AB43" s="12">
        <f t="shared" si="24"/>
        <v>354.31220000000025</v>
      </c>
    </row>
    <row r="44" spans="2:28" x14ac:dyDescent="0.25">
      <c r="B44" s="12" t="s">
        <v>39</v>
      </c>
      <c r="Q44" s="12">
        <f>Q40-Q41</f>
        <v>-287.60000000000002</v>
      </c>
      <c r="R44" s="12">
        <f t="shared" ref="R44:Y44" si="25">R40-R41</f>
        <v>553.86000000000013</v>
      </c>
      <c r="S44" s="12">
        <f t="shared" si="25"/>
        <v>790.0109600000003</v>
      </c>
      <c r="T44" s="12">
        <f t="shared" si="25"/>
        <v>1160.1426754400002</v>
      </c>
      <c r="U44" s="12">
        <f t="shared" si="25"/>
        <v>1297.4982512735207</v>
      </c>
      <c r="V44" s="12">
        <f t="shared" si="25"/>
        <v>1541.0149786928991</v>
      </c>
      <c r="W44" s="12">
        <f t="shared" si="25"/>
        <v>1817.885736859055</v>
      </c>
      <c r="X44" s="12">
        <f t="shared" si="25"/>
        <v>2168.0744624613098</v>
      </c>
      <c r="Y44" s="12">
        <f>Y40-Y41</f>
        <v>2411.2041754519068</v>
      </c>
      <c r="Z44" s="12">
        <f t="shared" ref="Z44:AB44" si="26">Z40-Z41</f>
        <v>2572.5199942245017</v>
      </c>
      <c r="AA44" s="12">
        <f t="shared" si="26"/>
        <v>2741.9016039357275</v>
      </c>
      <c r="AB44" s="12">
        <f t="shared" si="26"/>
        <v>3220.8172793009462</v>
      </c>
    </row>
    <row r="45" spans="2:28" x14ac:dyDescent="0.25">
      <c r="B45" s="12" t="s">
        <v>40</v>
      </c>
      <c r="Q45" s="12">
        <v>0</v>
      </c>
      <c r="R45" s="12">
        <v>0</v>
      </c>
      <c r="S45" s="12">
        <v>0</v>
      </c>
      <c r="T45" s="12">
        <f>S51*$AF$54</f>
        <v>2.6626000000000012</v>
      </c>
      <c r="U45" s="12">
        <f>T51*$AF$54</f>
        <v>12.332694256000005</v>
      </c>
      <c r="V45" s="12">
        <f>U51*$AF$54</f>
        <v>16.794219624784006</v>
      </c>
      <c r="W45" s="12">
        <f>V51*$AF$54</f>
        <v>21.264671500337883</v>
      </c>
      <c r="X45" s="12">
        <f>W51*$AF$54</f>
        <v>24.661705237085954</v>
      </c>
      <c r="Y45" s="12">
        <f>X51*$AF$54</f>
        <v>29.213852617422855</v>
      </c>
      <c r="Z45" s="12">
        <f>Y51*$AF$54</f>
        <v>34.674224554096988</v>
      </c>
      <c r="AA45" s="12">
        <f>Z51*$AF$54</f>
        <v>39.845126083602445</v>
      </c>
      <c r="AB45" s="12">
        <f>AA51*$AF$54</f>
        <v>43.409465322892181</v>
      </c>
    </row>
    <row r="46" spans="2:28" x14ac:dyDescent="0.25">
      <c r="B46" s="12" t="s">
        <v>79</v>
      </c>
      <c r="Q46" s="12">
        <f>SUM(Q44:Q45)</f>
        <v>-287.60000000000002</v>
      </c>
      <c r="R46" s="12">
        <f>SUM(R44:R45)</f>
        <v>553.86000000000013</v>
      </c>
      <c r="S46" s="12">
        <f>SUM(S44:S45)</f>
        <v>790.0109600000003</v>
      </c>
      <c r="T46" s="12">
        <f>SUM(T44:T45)</f>
        <v>1162.8052754400003</v>
      </c>
      <c r="U46" s="12">
        <f>SUM(U44:U45)</f>
        <v>1309.8309455295207</v>
      </c>
      <c r="V46" s="12">
        <f>SUM(V44:V45)</f>
        <v>1557.8091983176832</v>
      </c>
      <c r="W46" s="12">
        <f>SUM(W44:W45)</f>
        <v>1839.1504083593929</v>
      </c>
      <c r="X46" s="12">
        <f>SUM(X44:X45)</f>
        <v>2192.736167698396</v>
      </c>
      <c r="Y46" s="12">
        <f>SUM(Y44:Y45)</f>
        <v>2440.4180280693299</v>
      </c>
      <c r="Z46" s="12">
        <f t="shared" ref="Z46:AB46" si="27">SUM(Z44:Z45)</f>
        <v>2607.1942187785985</v>
      </c>
      <c r="AA46" s="12">
        <f t="shared" si="27"/>
        <v>2781.7467300193298</v>
      </c>
      <c r="AB46" s="12">
        <f t="shared" si="27"/>
        <v>3264.2267446238384</v>
      </c>
    </row>
    <row r="47" spans="2:28" x14ac:dyDescent="0.25">
      <c r="B47" s="12" t="s">
        <v>41</v>
      </c>
      <c r="Q47" s="12">
        <v>0</v>
      </c>
      <c r="R47" s="12">
        <v>0</v>
      </c>
      <c r="S47" s="12">
        <f>S46*0.14</f>
        <v>110.60153440000005</v>
      </c>
      <c r="T47" s="12">
        <f t="shared" ref="T47:Y47" si="28">T46*0.14</f>
        <v>162.79273856160006</v>
      </c>
      <c r="U47" s="12">
        <f t="shared" si="28"/>
        <v>183.37633237413291</v>
      </c>
      <c r="V47" s="12">
        <f t="shared" si="28"/>
        <v>218.09328776447566</v>
      </c>
      <c r="W47" s="12">
        <f t="shared" si="28"/>
        <v>257.48105717031501</v>
      </c>
      <c r="X47" s="12">
        <f t="shared" si="28"/>
        <v>306.98306347777549</v>
      </c>
      <c r="Y47" s="12">
        <f>Y46*0.14</f>
        <v>341.65852392970623</v>
      </c>
      <c r="Z47" s="12">
        <f t="shared" ref="Z47:AB47" si="29">Z46*0.14</f>
        <v>365.00719062900384</v>
      </c>
      <c r="AA47" s="12">
        <f t="shared" si="29"/>
        <v>389.4445422027062</v>
      </c>
      <c r="AB47" s="12">
        <f t="shared" si="29"/>
        <v>456.99174424733741</v>
      </c>
    </row>
    <row r="48" spans="2:28" x14ac:dyDescent="0.25">
      <c r="B48" s="12" t="s">
        <v>77</v>
      </c>
      <c r="O48" s="12">
        <v>-100</v>
      </c>
      <c r="P48" s="12">
        <v>-200</v>
      </c>
      <c r="Q48" s="12">
        <f>Q46-Q47</f>
        <v>-287.60000000000002</v>
      </c>
      <c r="R48" s="12">
        <f t="shared" ref="R48:Y48" si="30">R46-R47</f>
        <v>553.86000000000013</v>
      </c>
      <c r="S48" s="12">
        <f t="shared" si="30"/>
        <v>679.4094256000003</v>
      </c>
      <c r="T48" s="12">
        <f t="shared" si="30"/>
        <v>1000.0125368784002</v>
      </c>
      <c r="U48" s="12">
        <f t="shared" si="30"/>
        <v>1126.4546131553877</v>
      </c>
      <c r="V48" s="12">
        <f t="shared" si="30"/>
        <v>1339.7159105532076</v>
      </c>
      <c r="W48" s="12">
        <f t="shared" si="30"/>
        <v>1581.669351189078</v>
      </c>
      <c r="X48" s="12">
        <f t="shared" si="30"/>
        <v>1885.7531042206206</v>
      </c>
      <c r="Y48" s="12">
        <f>Y46-Y47</f>
        <v>2098.7595041396235</v>
      </c>
      <c r="Z48" s="12">
        <f t="shared" ref="Z48:AB48" si="31">Z46-Z47</f>
        <v>2242.1870281495949</v>
      </c>
      <c r="AA48" s="12">
        <f t="shared" si="31"/>
        <v>2392.3021878166237</v>
      </c>
      <c r="AB48" s="12">
        <f t="shared" si="31"/>
        <v>2807.2350003765009</v>
      </c>
    </row>
    <row r="51" spans="2:32" x14ac:dyDescent="0.25">
      <c r="B51" s="12" t="s">
        <v>106</v>
      </c>
      <c r="P51" s="12">
        <f>O48</f>
        <v>-100</v>
      </c>
      <c r="Q51" s="12">
        <f>O48+P48</f>
        <v>-300</v>
      </c>
      <c r="R51" s="12">
        <f>P48+Q48</f>
        <v>-487.6</v>
      </c>
      <c r="S51" s="12">
        <f>Q48+R48</f>
        <v>266.2600000000001</v>
      </c>
      <c r="T51" s="12">
        <f>R48+S48</f>
        <v>1233.2694256000004</v>
      </c>
      <c r="U51" s="12">
        <f t="shared" ref="R51:Y51" si="32">S48+T48</f>
        <v>1679.4219624784005</v>
      </c>
      <c r="V51" s="12">
        <f t="shared" si="32"/>
        <v>2126.4671500337881</v>
      </c>
      <c r="W51" s="12">
        <f t="shared" si="32"/>
        <v>2466.1705237085953</v>
      </c>
      <c r="X51" s="12">
        <f t="shared" si="32"/>
        <v>2921.3852617422854</v>
      </c>
      <c r="Y51" s="12">
        <f>W48+X48</f>
        <v>3467.4224554096986</v>
      </c>
      <c r="Z51" s="12">
        <f>X48+Y48</f>
        <v>3984.512608360244</v>
      </c>
      <c r="AA51" s="12">
        <f>Y48+Z48</f>
        <v>4340.9465322892183</v>
      </c>
      <c r="AB51" s="12">
        <f>Z48+AA48</f>
        <v>4634.4892159662186</v>
      </c>
      <c r="AE51" s="12" t="s">
        <v>102</v>
      </c>
      <c r="AF51" s="19">
        <v>0.11</v>
      </c>
    </row>
    <row r="52" spans="2:32" x14ac:dyDescent="0.25">
      <c r="AE52" s="12" t="s">
        <v>103</v>
      </c>
      <c r="AF52" s="38">
        <f>NPV(AF51,O48:AB48)</f>
        <v>5820.4606247080155</v>
      </c>
    </row>
    <row r="53" spans="2:32" x14ac:dyDescent="0.25">
      <c r="AE53" s="12" t="s">
        <v>104</v>
      </c>
      <c r="AF53" s="12">
        <f>AF52/Main!F5</f>
        <v>91.880997646817349</v>
      </c>
    </row>
    <row r="54" spans="2:32" x14ac:dyDescent="0.25">
      <c r="AE54" s="12" t="s">
        <v>105</v>
      </c>
      <c r="AF54" s="19">
        <v>0.01</v>
      </c>
    </row>
    <row r="55" spans="2:32" ht="15.6" x14ac:dyDescent="0.4">
      <c r="B55" s="16"/>
    </row>
    <row r="57" spans="2:32" x14ac:dyDescent="0.25">
      <c r="C57" s="15"/>
      <c r="D57" s="15"/>
      <c r="E57" s="15"/>
      <c r="F57" s="15"/>
    </row>
    <row r="58" spans="2:32" x14ac:dyDescent="0.25">
      <c r="B58" s="15"/>
      <c r="C58" s="15"/>
    </row>
    <row r="59" spans="2:32" x14ac:dyDescent="0.25">
      <c r="B59" s="15" t="s">
        <v>109</v>
      </c>
      <c r="C59" s="15"/>
    </row>
    <row r="60" spans="2:32" x14ac:dyDescent="0.25">
      <c r="B60" s="15"/>
      <c r="C60" s="15"/>
    </row>
    <row r="61" spans="2:32" x14ac:dyDescent="0.25">
      <c r="B61" s="15"/>
    </row>
  </sheetData>
  <hyperlinks>
    <hyperlink ref="A1" location="Main!A1" display="Main" xr:uid="{A4F812B0-B596-410C-83F5-AB44BDBA60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81E1-0EF7-4A23-A8DB-7D1C03C198F5}">
  <dimension ref="A1:H23"/>
  <sheetViews>
    <sheetView showGridLines="0" workbookViewId="0"/>
  </sheetViews>
  <sheetFormatPr defaultRowHeight="13.8" x14ac:dyDescent="0.25"/>
  <cols>
    <col min="1" max="1" width="5.5546875" customWidth="1"/>
    <col min="2" max="2" width="13.6640625" customWidth="1"/>
    <col min="3" max="3" width="49.21875" customWidth="1"/>
    <col min="4" max="4" width="9.109375" bestFit="1" customWidth="1"/>
  </cols>
  <sheetData>
    <row r="1" spans="1:8" x14ac:dyDescent="0.25">
      <c r="A1" s="3" t="s">
        <v>5</v>
      </c>
    </row>
    <row r="2" spans="1:8" x14ac:dyDescent="0.25">
      <c r="B2" s="7" t="s">
        <v>96</v>
      </c>
      <c r="D2" s="2">
        <v>45882</v>
      </c>
    </row>
    <row r="3" spans="1:8" s="1" customFormat="1" x14ac:dyDescent="0.25"/>
    <row r="4" spans="1:8" x14ac:dyDescent="0.25">
      <c r="H4" s="5" t="s">
        <v>101</v>
      </c>
    </row>
    <row r="5" spans="1:8" x14ac:dyDescent="0.25">
      <c r="B5" s="22" t="s">
        <v>6</v>
      </c>
      <c r="C5" s="23" t="s">
        <v>82</v>
      </c>
      <c r="D5" s="1"/>
      <c r="E5" s="24"/>
    </row>
    <row r="6" spans="1:8" x14ac:dyDescent="0.25">
      <c r="B6" s="25" t="s">
        <v>7</v>
      </c>
      <c r="C6" s="26" t="s">
        <v>22</v>
      </c>
      <c r="E6" s="27"/>
    </row>
    <row r="7" spans="1:8" x14ac:dyDescent="0.25">
      <c r="B7" s="28" t="s">
        <v>80</v>
      </c>
      <c r="C7" s="26" t="s">
        <v>84</v>
      </c>
      <c r="E7" s="27"/>
    </row>
    <row r="8" spans="1:8" x14ac:dyDescent="0.25">
      <c r="B8" s="28" t="s">
        <v>8</v>
      </c>
      <c r="C8" s="26" t="s">
        <v>83</v>
      </c>
      <c r="E8" s="27"/>
    </row>
    <row r="9" spans="1:8" x14ac:dyDescent="0.25">
      <c r="B9" s="28" t="s">
        <v>91</v>
      </c>
      <c r="C9" s="29" t="s">
        <v>92</v>
      </c>
      <c r="E9" s="27"/>
    </row>
    <row r="10" spans="1:8" x14ac:dyDescent="0.25">
      <c r="B10" s="28"/>
      <c r="C10" s="26" t="s">
        <v>93</v>
      </c>
      <c r="E10" s="27"/>
    </row>
    <row r="11" spans="1:8" x14ac:dyDescent="0.25">
      <c r="B11" s="28" t="s">
        <v>81</v>
      </c>
      <c r="C11" s="26" t="s">
        <v>85</v>
      </c>
      <c r="E11" s="27"/>
    </row>
    <row r="12" spans="1:8" x14ac:dyDescent="0.25">
      <c r="B12" s="28" t="s">
        <v>88</v>
      </c>
      <c r="C12" t="s">
        <v>87</v>
      </c>
      <c r="E12" s="27"/>
    </row>
    <row r="13" spans="1:8" x14ac:dyDescent="0.25">
      <c r="B13" s="30" t="s">
        <v>89</v>
      </c>
      <c r="C13" t="s">
        <v>94</v>
      </c>
      <c r="E13" s="27"/>
    </row>
    <row r="14" spans="1:8" x14ac:dyDescent="0.25">
      <c r="B14" s="30" t="s">
        <v>90</v>
      </c>
      <c r="C14" s="31" t="s">
        <v>95</v>
      </c>
      <c r="D14" s="31"/>
      <c r="E14" s="32"/>
    </row>
    <row r="15" spans="1:8" x14ac:dyDescent="0.25">
      <c r="B15" s="1"/>
    </row>
    <row r="17" spans="2:3" x14ac:dyDescent="0.25">
      <c r="C17" s="4" t="s">
        <v>86</v>
      </c>
    </row>
    <row r="20" spans="2:3" ht="14.4" x14ac:dyDescent="0.3">
      <c r="B20" s="6" t="s">
        <v>100</v>
      </c>
    </row>
    <row r="21" spans="2:3" x14ac:dyDescent="0.25">
      <c r="B21" s="7" t="s">
        <v>97</v>
      </c>
    </row>
    <row r="22" spans="2:3" x14ac:dyDescent="0.25">
      <c r="B22" s="7" t="s">
        <v>98</v>
      </c>
    </row>
    <row r="23" spans="2:3" x14ac:dyDescent="0.25">
      <c r="B23" s="7" t="s">
        <v>99</v>
      </c>
    </row>
  </sheetData>
  <hyperlinks>
    <hyperlink ref="A1" location="Main!A1" display="Main" xr:uid="{A0A6B08B-2948-4B96-BC11-67C55590CB4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</vt:lpstr>
      <vt:lpstr>obefazimod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Günel</dc:creator>
  <cp:lastModifiedBy>Eray Günel</cp:lastModifiedBy>
  <dcterms:created xsi:type="dcterms:W3CDTF">2025-08-13T12:19:28Z</dcterms:created>
  <dcterms:modified xsi:type="dcterms:W3CDTF">2025-08-15T13:25:27Z</dcterms:modified>
</cp:coreProperties>
</file>