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book\Desktop\"/>
    </mc:Choice>
  </mc:AlternateContent>
  <xr:revisionPtr revIDLastSave="0" documentId="8_{8F5D2ED4-F850-4D2C-BAA0-2EB09846F827}" xr6:coauthVersionLast="47" xr6:coauthVersionMax="47" xr10:uidLastSave="{00000000-0000-0000-0000-000000000000}"/>
  <bookViews>
    <workbookView xWindow="5760" yWindow="2832" windowWidth="17280" windowHeight="8880" activeTab="1" xr2:uid="{2AE453D5-CE9D-433E-978B-3424388E774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2" l="1"/>
  <c r="G139" i="2"/>
  <c r="F139" i="2"/>
  <c r="E139" i="2"/>
  <c r="D139" i="2"/>
  <c r="C139" i="2"/>
  <c r="Z7" i="2"/>
  <c r="Z40" i="2" s="1"/>
  <c r="Z38" i="2"/>
  <c r="S9" i="2"/>
  <c r="O9" i="2"/>
  <c r="K9" i="2"/>
  <c r="C132" i="2"/>
  <c r="Z29" i="2"/>
  <c r="Y29" i="2"/>
  <c r="X29" i="2"/>
  <c r="W29" i="2"/>
  <c r="V29" i="2"/>
  <c r="S29" i="2"/>
  <c r="C125" i="2"/>
  <c r="H114" i="2"/>
  <c r="H112" i="2"/>
  <c r="H111" i="2"/>
  <c r="Z9" i="2" l="1"/>
  <c r="O92" i="2"/>
  <c r="N92" i="2"/>
  <c r="M92" i="2"/>
  <c r="L92" i="2"/>
  <c r="K92" i="2"/>
  <c r="E103" i="2"/>
  <c r="D103" i="2"/>
  <c r="J102" i="2" s="1"/>
  <c r="G102" i="2"/>
  <c r="F102" i="2"/>
  <c r="E102" i="2"/>
  <c r="D102" i="2"/>
  <c r="D100" i="2"/>
  <c r="C121" i="2"/>
  <c r="E100" i="2"/>
  <c r="F103" i="2" l="1"/>
  <c r="H103" i="2" l="1"/>
  <c r="G103" i="2"/>
  <c r="C119" i="2" l="1"/>
  <c r="H104" i="2"/>
  <c r="G104" i="2"/>
  <c r="F104" i="2"/>
  <c r="E104" i="2"/>
  <c r="D104" i="2"/>
  <c r="O70" i="2"/>
  <c r="N70" i="2"/>
  <c r="M70" i="2"/>
  <c r="L70" i="2"/>
  <c r="K70" i="2"/>
  <c r="J70" i="2"/>
  <c r="I70" i="2"/>
  <c r="H70" i="2"/>
  <c r="G70" i="2"/>
  <c r="F70" i="2"/>
  <c r="E70" i="2"/>
  <c r="D70" i="2"/>
  <c r="G92" i="2"/>
  <c r="D92" i="2"/>
  <c r="H86" i="2"/>
  <c r="H92" i="2" s="1"/>
  <c r="G86" i="2"/>
  <c r="C130" i="2" l="1"/>
  <c r="C126" i="2"/>
  <c r="C120" i="2"/>
  <c r="Z23" i="2"/>
  <c r="O29" i="2"/>
  <c r="X27" i="2"/>
  <c r="W27" i="2"/>
  <c r="W26" i="2"/>
  <c r="V26" i="2"/>
  <c r="V27" i="2" s="1"/>
  <c r="Y23" i="2"/>
  <c r="W19" i="2"/>
  <c r="W21" i="2" s="1"/>
  <c r="X17" i="2"/>
  <c r="X19" i="2" s="1"/>
  <c r="X21" i="2" s="1"/>
  <c r="W17" i="2"/>
  <c r="V17" i="2"/>
  <c r="V19" i="2" s="1"/>
  <c r="V21" i="2" s="1"/>
  <c r="R29" i="2"/>
  <c r="Q29" i="2"/>
  <c r="P29" i="2"/>
  <c r="N29" i="2"/>
  <c r="M29" i="2"/>
  <c r="L29" i="2"/>
  <c r="I29" i="2"/>
  <c r="H29" i="2"/>
  <c r="E29" i="2"/>
  <c r="D29" i="2"/>
  <c r="R27" i="2"/>
  <c r="O26" i="2"/>
  <c r="O18" i="2"/>
  <c r="K18" i="2"/>
  <c r="S18" i="2" s="1"/>
  <c r="F17" i="2"/>
  <c r="E17" i="2"/>
  <c r="D17" i="2"/>
  <c r="S15" i="2"/>
  <c r="Y15" i="2" s="1"/>
  <c r="W7" i="2"/>
  <c r="Z15" i="2" l="1"/>
  <c r="Y18" i="2"/>
  <c r="W37" i="2"/>
  <c r="W41" i="2" s="1"/>
  <c r="AA15" i="2" l="1"/>
  <c r="Z18" i="2"/>
  <c r="E86" i="2"/>
  <c r="E92" i="2" s="1"/>
  <c r="H79" i="2"/>
  <c r="H83" i="2" s="1"/>
  <c r="H75" i="2"/>
  <c r="H72" i="2"/>
  <c r="H94" i="2" s="1"/>
  <c r="G72" i="2"/>
  <c r="G94" i="2" s="1"/>
  <c r="F83" i="2"/>
  <c r="E83" i="2"/>
  <c r="D83" i="2"/>
  <c r="G75" i="2"/>
  <c r="G83" i="2" s="1"/>
  <c r="F72" i="2"/>
  <c r="F94" i="2" s="1"/>
  <c r="G56" i="2"/>
  <c r="F86" i="2"/>
  <c r="F92" i="2" s="1"/>
  <c r="E55" i="2"/>
  <c r="E52" i="2"/>
  <c r="E72" i="2" s="1"/>
  <c r="E94" i="2" s="1"/>
  <c r="D52" i="2"/>
  <c r="D72" i="2"/>
  <c r="D94" i="2" s="1"/>
  <c r="D49" i="2"/>
  <c r="D55" i="2"/>
  <c r="W11" i="2"/>
  <c r="W38" i="2" s="1"/>
  <c r="J26" i="2"/>
  <c r="J27" i="2" s="1"/>
  <c r="I26" i="2"/>
  <c r="H26" i="2"/>
  <c r="G26" i="2"/>
  <c r="F26" i="2"/>
  <c r="E26" i="2"/>
  <c r="E27" i="2" s="1"/>
  <c r="D26" i="2"/>
  <c r="E39" i="2"/>
  <c r="F39" i="2"/>
  <c r="E7" i="2"/>
  <c r="E37" i="2" s="1"/>
  <c r="E41" i="2" s="1"/>
  <c r="R7" i="2"/>
  <c r="R39" i="2" s="1"/>
  <c r="Q7" i="2"/>
  <c r="S35" i="2"/>
  <c r="Y35" i="2" s="1"/>
  <c r="Z35" i="2" s="1"/>
  <c r="AA35" i="2" s="1"/>
  <c r="AB35" i="2" s="1"/>
  <c r="AC35" i="2" s="1"/>
  <c r="R17" i="2"/>
  <c r="R19" i="2" s="1"/>
  <c r="R21" i="2" s="1"/>
  <c r="G35" i="2"/>
  <c r="G32" i="2"/>
  <c r="G31" i="2"/>
  <c r="G25" i="2"/>
  <c r="G24" i="2"/>
  <c r="G23" i="2"/>
  <c r="G20" i="2"/>
  <c r="G18" i="2"/>
  <c r="G16" i="2"/>
  <c r="G15" i="2"/>
  <c r="G14" i="2"/>
  <c r="S14" i="2" s="1"/>
  <c r="Y14" i="2" s="1"/>
  <c r="Z14" i="2" s="1"/>
  <c r="AA14" i="2" s="1"/>
  <c r="AB14" i="2" s="1"/>
  <c r="AC14" i="2" s="1"/>
  <c r="G13" i="2"/>
  <c r="G12" i="2"/>
  <c r="G10" i="2"/>
  <c r="G9" i="2"/>
  <c r="G8" i="2"/>
  <c r="D19" i="2"/>
  <c r="D21" i="2" s="1"/>
  <c r="D11" i="2"/>
  <c r="D38" i="2" s="1"/>
  <c r="D7" i="2"/>
  <c r="D37" i="2" s="1"/>
  <c r="F29" i="2"/>
  <c r="E19" i="2"/>
  <c r="E21" i="2" s="1"/>
  <c r="F11" i="2"/>
  <c r="F38" i="2" s="1"/>
  <c r="E11" i="2"/>
  <c r="F19" i="2"/>
  <c r="F21" i="2" s="1"/>
  <c r="F27" i="2"/>
  <c r="F7" i="2"/>
  <c r="G17" i="2"/>
  <c r="V7" i="2"/>
  <c r="K35" i="2"/>
  <c r="K14" i="2"/>
  <c r="K13" i="2"/>
  <c r="K10" i="2"/>
  <c r="K8" i="2"/>
  <c r="O32" i="2"/>
  <c r="O35" i="2"/>
  <c r="K12" i="2"/>
  <c r="K32" i="2"/>
  <c r="K31" i="2"/>
  <c r="K25" i="2"/>
  <c r="K24" i="2"/>
  <c r="K23" i="2"/>
  <c r="K20" i="2"/>
  <c r="K16" i="2"/>
  <c r="K15" i="2"/>
  <c r="J7" i="2"/>
  <c r="H27" i="2"/>
  <c r="H17" i="2"/>
  <c r="H19" i="2" s="1"/>
  <c r="H21" i="2" s="1"/>
  <c r="H7" i="2"/>
  <c r="I27" i="2"/>
  <c r="I17" i="2"/>
  <c r="I19" i="2" s="1"/>
  <c r="I21" i="2" s="1"/>
  <c r="I7" i="2"/>
  <c r="I39" i="2" s="1"/>
  <c r="J29" i="2"/>
  <c r="L27" i="2"/>
  <c r="J17" i="2"/>
  <c r="J19" i="2" s="1"/>
  <c r="J21" i="2" s="1"/>
  <c r="O23" i="2"/>
  <c r="O8" i="2"/>
  <c r="O31" i="2"/>
  <c r="O25" i="2"/>
  <c r="O24" i="2"/>
  <c r="O20" i="2"/>
  <c r="O16" i="2"/>
  <c r="O15" i="2"/>
  <c r="O14" i="2"/>
  <c r="O13" i="2"/>
  <c r="O12" i="2"/>
  <c r="S12" i="2" s="1"/>
  <c r="Y12" i="2" s="1"/>
  <c r="Z12" i="2" s="1"/>
  <c r="AA12" i="2" s="1"/>
  <c r="AB12" i="2" s="1"/>
  <c r="AC12" i="2" s="1"/>
  <c r="O10" i="2"/>
  <c r="X7" i="2"/>
  <c r="N27" i="2"/>
  <c r="N17" i="2"/>
  <c r="N19" i="2" s="1"/>
  <c r="N21" i="2" s="1"/>
  <c r="N7" i="2"/>
  <c r="M27" i="2"/>
  <c r="M17" i="2"/>
  <c r="M19" i="2" s="1"/>
  <c r="M21" i="2" s="1"/>
  <c r="D22" i="2" l="1"/>
  <c r="G21" i="2"/>
  <c r="S31" i="2"/>
  <c r="Y31" i="2" s="1"/>
  <c r="Z31" i="2" s="1"/>
  <c r="AA31" i="2" s="1"/>
  <c r="AB31" i="2" s="1"/>
  <c r="AC31" i="2" s="1"/>
  <c r="N37" i="2"/>
  <c r="N41" i="2" s="1"/>
  <c r="N40" i="2"/>
  <c r="J37" i="2"/>
  <c r="J41" i="2" s="1"/>
  <c r="J40" i="2"/>
  <c r="S32" i="2"/>
  <c r="Y32" i="2" s="1"/>
  <c r="Z32" i="2" s="1"/>
  <c r="AA32" i="2" s="1"/>
  <c r="AB32" i="2" s="1"/>
  <c r="AC32" i="2" s="1"/>
  <c r="K26" i="2"/>
  <c r="AB15" i="2"/>
  <c r="N11" i="2"/>
  <c r="N38" i="2" s="1"/>
  <c r="K29" i="2"/>
  <c r="I11" i="2"/>
  <c r="D41" i="2"/>
  <c r="S20" i="2"/>
  <c r="J39" i="2"/>
  <c r="Q37" i="2"/>
  <c r="Q41" i="2" s="1"/>
  <c r="X37" i="2"/>
  <c r="X41" i="2" s="1"/>
  <c r="X40" i="2"/>
  <c r="X11" i="2"/>
  <c r="X38" i="2" s="1"/>
  <c r="H40" i="2"/>
  <c r="H37" i="2"/>
  <c r="H41" i="2" s="1"/>
  <c r="H11" i="2"/>
  <c r="H38" i="2" s="1"/>
  <c r="S24" i="2"/>
  <c r="H39" i="2"/>
  <c r="F22" i="2"/>
  <c r="F28" i="2" s="1"/>
  <c r="F37" i="2"/>
  <c r="F41" i="2" s="1"/>
  <c r="E22" i="2"/>
  <c r="E38" i="2"/>
  <c r="S25" i="2"/>
  <c r="Y25" i="2" s="1"/>
  <c r="AA18" i="2"/>
  <c r="I40" i="2"/>
  <c r="I37" i="2"/>
  <c r="I41" i="2" s="1"/>
  <c r="S7" i="2"/>
  <c r="R37" i="2"/>
  <c r="R41" i="2" s="1"/>
  <c r="R11" i="2"/>
  <c r="R40" i="2"/>
  <c r="V37" i="2"/>
  <c r="V41" i="2" s="1"/>
  <c r="W40" i="2"/>
  <c r="G29" i="2"/>
  <c r="G7" i="2"/>
  <c r="G39" i="2" s="1"/>
  <c r="S16" i="2"/>
  <c r="D27" i="2"/>
  <c r="G27" i="2" s="1"/>
  <c r="S26" i="2"/>
  <c r="Y26" i="2" s="1"/>
  <c r="K17" i="2"/>
  <c r="J11" i="2"/>
  <c r="J38" i="2" s="1"/>
  <c r="K37" i="2"/>
  <c r="K41" i="2" s="1"/>
  <c r="V11" i="2"/>
  <c r="G11" i="2"/>
  <c r="G38" i="2" s="1"/>
  <c r="G19" i="2"/>
  <c r="E28" i="2"/>
  <c r="F30" i="2"/>
  <c r="F33" i="2" s="1"/>
  <c r="F36" i="2" s="1"/>
  <c r="W22" i="2"/>
  <c r="W28" i="2" s="1"/>
  <c r="W30" i="2" s="1"/>
  <c r="K27" i="2"/>
  <c r="K7" i="2"/>
  <c r="M7" i="2"/>
  <c r="Q40" i="2" s="1"/>
  <c r="L17" i="2"/>
  <c r="L7" i="2"/>
  <c r="P27" i="2"/>
  <c r="P17" i="2"/>
  <c r="P19" i="2" s="1"/>
  <c r="P21" i="2" s="1"/>
  <c r="P7" i="2"/>
  <c r="Q27" i="2"/>
  <c r="Q17" i="2"/>
  <c r="Q19" i="2" s="1"/>
  <c r="Q21" i="2" s="1"/>
  <c r="Q11" i="2"/>
  <c r="C12" i="1"/>
  <c r="C11" i="1"/>
  <c r="C9" i="1"/>
  <c r="AB18" i="2" l="1"/>
  <c r="I22" i="2"/>
  <c r="I28" i="2" s="1"/>
  <c r="I38" i="2"/>
  <c r="Z26" i="2"/>
  <c r="AA26" i="2" s="1"/>
  <c r="Z25" i="2"/>
  <c r="AA25" i="2" s="1"/>
  <c r="O7" i="2"/>
  <c r="L37" i="2"/>
  <c r="L41" i="2" s="1"/>
  <c r="L40" i="2"/>
  <c r="L39" i="2"/>
  <c r="N22" i="2"/>
  <c r="N28" i="2" s="1"/>
  <c r="M11" i="2"/>
  <c r="M37" i="2"/>
  <c r="M41" i="2" s="1"/>
  <c r="M40" i="2"/>
  <c r="M39" i="2"/>
  <c r="N39" i="2"/>
  <c r="Y16" i="2"/>
  <c r="S17" i="2"/>
  <c r="S19" i="2" s="1"/>
  <c r="Y20" i="2"/>
  <c r="S21" i="2"/>
  <c r="S27" i="2"/>
  <c r="Y24" i="2"/>
  <c r="Q22" i="2"/>
  <c r="Q28" i="2" s="1"/>
  <c r="Q30" i="2" s="1"/>
  <c r="Q38" i="2"/>
  <c r="R38" i="2"/>
  <c r="R22" i="2"/>
  <c r="AC15" i="2"/>
  <c r="J22" i="2"/>
  <c r="J28" i="2" s="1"/>
  <c r="S40" i="2"/>
  <c r="S13" i="2"/>
  <c r="Y13" i="2" s="1"/>
  <c r="S39" i="2"/>
  <c r="G37" i="2"/>
  <c r="G41" i="2" s="1"/>
  <c r="P11" i="2"/>
  <c r="Y7" i="2"/>
  <c r="P40" i="2"/>
  <c r="P37" i="2"/>
  <c r="P39" i="2"/>
  <c r="K40" i="2"/>
  <c r="K39" i="2"/>
  <c r="V38" i="2"/>
  <c r="V22" i="2"/>
  <c r="G22" i="2" s="1"/>
  <c r="Q39" i="2"/>
  <c r="D28" i="2"/>
  <c r="D30" i="2" s="1"/>
  <c r="D33" i="2" s="1"/>
  <c r="D36" i="2" s="1"/>
  <c r="W33" i="2"/>
  <c r="W36" i="2" s="1"/>
  <c r="E30" i="2"/>
  <c r="K19" i="2"/>
  <c r="K21" i="2"/>
  <c r="H22" i="2"/>
  <c r="K11" i="2"/>
  <c r="K38" i="2" s="1"/>
  <c r="O27" i="2"/>
  <c r="L19" i="2"/>
  <c r="O17" i="2"/>
  <c r="L11" i="2"/>
  <c r="X22" i="2"/>
  <c r="Q33" i="2"/>
  <c r="Q36" i="2" s="1"/>
  <c r="AB26" i="2" l="1"/>
  <c r="AC26" i="2"/>
  <c r="O11" i="2"/>
  <c r="O38" i="2" s="1"/>
  <c r="S38" i="2" s="1"/>
  <c r="S10" i="2" s="1"/>
  <c r="L38" i="2"/>
  <c r="M22" i="2"/>
  <c r="M28" i="2" s="1"/>
  <c r="M30" i="2" s="1"/>
  <c r="M33" i="2" s="1"/>
  <c r="M36" i="2" s="1"/>
  <c r="M38" i="2"/>
  <c r="V28" i="2"/>
  <c r="V30" i="2" s="1"/>
  <c r="Z16" i="2"/>
  <c r="Y17" i="2"/>
  <c r="Y19" i="2" s="1"/>
  <c r="P22" i="2"/>
  <c r="P28" i="2" s="1"/>
  <c r="P38" i="2"/>
  <c r="P41" i="2"/>
  <c r="O40" i="2"/>
  <c r="O39" i="2"/>
  <c r="O37" i="2"/>
  <c r="O41" i="2" s="1"/>
  <c r="J30" i="2"/>
  <c r="J33" i="2" s="1"/>
  <c r="J36" i="2" s="1"/>
  <c r="Y40" i="2"/>
  <c r="D98" i="2"/>
  <c r="Z24" i="2"/>
  <c r="Z27" i="2" s="1"/>
  <c r="Y27" i="2"/>
  <c r="AB25" i="2"/>
  <c r="AC25" i="2" s="1"/>
  <c r="I30" i="2"/>
  <c r="I33" i="2" s="1"/>
  <c r="I36" i="2" s="1"/>
  <c r="Z20" i="2"/>
  <c r="AA20" i="2"/>
  <c r="N30" i="2"/>
  <c r="N33" i="2" s="1"/>
  <c r="N36" i="2" s="1"/>
  <c r="AC18" i="2"/>
  <c r="R28" i="2"/>
  <c r="R30" i="2" s="1"/>
  <c r="R33" i="2" s="1"/>
  <c r="C17" i="1"/>
  <c r="G28" i="2"/>
  <c r="V33" i="2"/>
  <c r="G30" i="2"/>
  <c r="E33" i="2"/>
  <c r="K22" i="2"/>
  <c r="H28" i="2"/>
  <c r="H30" i="2" s="1"/>
  <c r="L21" i="2"/>
  <c r="O21" i="2" s="1"/>
  <c r="O19" i="2"/>
  <c r="X28" i="2"/>
  <c r="X30" i="2" s="1"/>
  <c r="S37" i="2" l="1"/>
  <c r="Z37" i="2" s="1"/>
  <c r="Z41" i="2"/>
  <c r="Z8" i="2" s="1"/>
  <c r="AA37" i="2"/>
  <c r="K30" i="2"/>
  <c r="E98" i="2"/>
  <c r="Z13" i="2"/>
  <c r="AA13" i="2" s="1"/>
  <c r="AB13" i="2" s="1"/>
  <c r="AC13" i="2" s="1"/>
  <c r="AA7" i="2"/>
  <c r="AA40" i="2" s="1"/>
  <c r="Y9" i="2"/>
  <c r="Y37" i="2" s="1"/>
  <c r="Y41" i="2" s="1"/>
  <c r="S41" i="2"/>
  <c r="P33" i="2"/>
  <c r="P36" i="2" s="1"/>
  <c r="P30" i="2"/>
  <c r="Y10" i="2"/>
  <c r="Y11" i="2" s="1"/>
  <c r="S11" i="2"/>
  <c r="S22" i="2" s="1"/>
  <c r="S28" i="2" s="1"/>
  <c r="S30" i="2" s="1"/>
  <c r="S33" i="2" s="1"/>
  <c r="S36" i="2" s="1"/>
  <c r="AB20" i="2"/>
  <c r="AC20" i="2"/>
  <c r="Y21" i="2"/>
  <c r="R36" i="2"/>
  <c r="C16" i="1"/>
  <c r="AA24" i="2"/>
  <c r="AA16" i="2"/>
  <c r="Z17" i="2"/>
  <c r="Z19" i="2" s="1"/>
  <c r="X33" i="2"/>
  <c r="X36" i="2" s="1"/>
  <c r="V36" i="2"/>
  <c r="G33" i="2"/>
  <c r="G36" i="2" s="1"/>
  <c r="E36" i="2"/>
  <c r="K28" i="2"/>
  <c r="L22" i="2"/>
  <c r="O22" i="2" s="1"/>
  <c r="S8" i="2" l="1"/>
  <c r="Y8" i="2" s="1"/>
  <c r="AB16" i="2"/>
  <c r="AA17" i="2"/>
  <c r="AA19" i="2" s="1"/>
  <c r="AA27" i="2"/>
  <c r="AC24" i="2"/>
  <c r="AC27" i="2" s="1"/>
  <c r="AB24" i="2"/>
  <c r="AB27" i="2" s="1"/>
  <c r="AB7" i="2"/>
  <c r="F98" i="2"/>
  <c r="AA9" i="2"/>
  <c r="AB37" i="2"/>
  <c r="AA41" i="2"/>
  <c r="AA8" i="2" s="1"/>
  <c r="Z21" i="2"/>
  <c r="Y38" i="2"/>
  <c r="Y22" i="2"/>
  <c r="H33" i="2"/>
  <c r="H36" i="2" s="1"/>
  <c r="L28" i="2"/>
  <c r="L30" i="2" s="1"/>
  <c r="AA21" i="2" l="1"/>
  <c r="AB41" i="2"/>
  <c r="AB8" i="2" s="1"/>
  <c r="AC37" i="2"/>
  <c r="AC41" i="2" s="1"/>
  <c r="L33" i="2"/>
  <c r="O30" i="2"/>
  <c r="AC16" i="2"/>
  <c r="AC17" i="2" s="1"/>
  <c r="AC19" i="2" s="1"/>
  <c r="AB17" i="2"/>
  <c r="AB19" i="2" s="1"/>
  <c r="Y28" i="2"/>
  <c r="D99" i="2"/>
  <c r="D101" i="2" s="1"/>
  <c r="D106" i="2" s="1"/>
  <c r="D107" i="2" s="1"/>
  <c r="AA38" i="2"/>
  <c r="Z10" i="2"/>
  <c r="Z11" i="2" s="1"/>
  <c r="Z22" i="2" s="1"/>
  <c r="AC7" i="2"/>
  <c r="G98" i="2"/>
  <c r="AB9" i="2"/>
  <c r="AB40" i="2"/>
  <c r="K33" i="2"/>
  <c r="K36" i="2" s="1"/>
  <c r="O28" i="2"/>
  <c r="AB21" i="2" l="1"/>
  <c r="L36" i="2"/>
  <c r="O33" i="2"/>
  <c r="O36" i="2" s="1"/>
  <c r="Z28" i="2"/>
  <c r="Z30" i="2" s="1"/>
  <c r="Z33" i="2" s="1"/>
  <c r="Z36" i="2" s="1"/>
  <c r="E99" i="2"/>
  <c r="AC21" i="2"/>
  <c r="AC9" i="2"/>
  <c r="AC40" i="2"/>
  <c r="H98" i="2"/>
  <c r="AC8" i="2"/>
  <c r="AB38" i="2"/>
  <c r="AA10" i="2"/>
  <c r="AA11" i="2" s="1"/>
  <c r="AA22" i="2" s="1"/>
  <c r="Y30" i="2"/>
  <c r="Y33" i="2" s="1"/>
  <c r="Y36" i="2" s="1"/>
  <c r="E101" i="2" l="1"/>
  <c r="E106" i="2" s="1"/>
  <c r="E107" i="2" s="1"/>
  <c r="K102" i="2"/>
  <c r="AA28" i="2"/>
  <c r="AA29" i="2" s="1"/>
  <c r="F100" i="2" s="1"/>
  <c r="F99" i="2"/>
  <c r="AC38" i="2"/>
  <c r="AC10" i="2" s="1"/>
  <c r="AC11" i="2" s="1"/>
  <c r="AC22" i="2" s="1"/>
  <c r="AB10" i="2"/>
  <c r="AB11" i="2" s="1"/>
  <c r="AB22" i="2" s="1"/>
  <c r="AA30" i="2" l="1"/>
  <c r="AA33" i="2" s="1"/>
  <c r="AA36" i="2" s="1"/>
  <c r="G99" i="2"/>
  <c r="AB28" i="2"/>
  <c r="AB29" i="2" s="1"/>
  <c r="G100" i="2" s="1"/>
  <c r="H99" i="2"/>
  <c r="AC28" i="2"/>
  <c r="AC29" i="2" s="1"/>
  <c r="H100" i="2" s="1"/>
  <c r="F101" i="2"/>
  <c r="F106" i="2" s="1"/>
  <c r="F107" i="2" s="1"/>
  <c r="H101" i="2" l="1"/>
  <c r="H106" i="2" s="1"/>
  <c r="G101" i="2"/>
  <c r="G106" i="2" s="1"/>
  <c r="G107" i="2" s="1"/>
  <c r="H108" i="2" l="1"/>
  <c r="H109" i="2" s="1"/>
  <c r="H107" i="2"/>
  <c r="AB30" i="2"/>
  <c r="AB33" i="2" s="1"/>
  <c r="AB36" i="2" s="1"/>
  <c r="AC30" i="2"/>
  <c r="AC33" i="2" s="1"/>
  <c r="AC36" i="2" s="1"/>
  <c r="H110" i="2" l="1"/>
  <c r="H113" i="2" s="1"/>
  <c r="H115" i="2" s="1"/>
  <c r="D2" i="2" s="1"/>
  <c r="C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Elitebook</author>
  </authors>
  <commentList>
    <comment ref="B8" authorId="0" shapeId="0" xr:uid="{2C08270E-7BBC-4AD1-8C4D-7305A3146EEA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main ICP's, what do they do, and stuff 
read 10K in sedar+, currently not active
</t>
        </r>
      </text>
    </comment>
    <comment ref="B12" authorId="0" shapeId="0" xr:uid="{FDAC7A56-0E22-4B58-9289-859180DF8365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needs detailed research
</t>
        </r>
      </text>
    </comment>
    <comment ref="B14" authorId="0" shapeId="0" xr:uid="{CC665A8B-B79E-41EC-A6F3-E08A5311C185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read 10K
</t>
        </r>
      </text>
    </comment>
    <comment ref="D26" authorId="0" shapeId="0" xr:uid="{23A41886-F01D-4B97-8EFE-8D96D3ACF8A1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note Share of loss JV, 
-414384
</t>
        </r>
      </text>
    </comment>
    <comment ref="E26" authorId="0" shapeId="0" xr:uid="{FE829EE5-7556-4A2D-9573-EC8D857562AF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note Share of loss JV, 
-414384
</t>
        </r>
      </text>
    </comment>
    <comment ref="F26" authorId="0" shapeId="0" xr:uid="{5631103A-1C5A-4215-8CEE-865792A2BAA6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note Share of loss JV, 
-414384
</t>
        </r>
      </text>
    </comment>
    <comment ref="H26" authorId="0" shapeId="0" xr:uid="{012BAEF5-FBBB-446B-8070-A548A2E5630D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note Share of loss JV, 
-414384
</t>
        </r>
      </text>
    </comment>
    <comment ref="I26" authorId="0" shapeId="0" xr:uid="{488980EB-76D9-4A95-8295-7B95504DE260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note Share of loss JV, 
-414384
</t>
        </r>
      </text>
    </comment>
    <comment ref="J26" authorId="0" shapeId="0" xr:uid="{FF4061A9-3BC9-4BC5-A6A4-3BD80D1BDA95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note Share of loss JV, 
-414384
</t>
        </r>
      </text>
    </comment>
    <comment ref="V26" authorId="0" shapeId="0" xr:uid="{27EC0C8A-BF09-4D1E-A2A3-AE0216CA0742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Additional line ; 
share of loss of a joint venture noted 
minus 1059880
check the note </t>
        </r>
      </text>
    </comment>
    <comment ref="W26" authorId="0" shapeId="0" xr:uid="{924DC281-9BBC-4138-990A-6A57D305A316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Additional line ; 
share of loss of a joint venture noted 
minus 1059880
check the note </t>
        </r>
      </text>
    </comment>
    <comment ref="X26" authorId="0" shapeId="0" xr:uid="{C50E908F-4961-408A-961A-AF615CE26D3A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Additional line ; 
share of loss of a joint venture noted 0$
</t>
        </r>
      </text>
    </comment>
    <comment ref="F39" authorId="0" shapeId="0" xr:uid="{C2ED9ADE-76B0-470F-AF0F-AD67E6CB7FA0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what happened in here 
</t>
        </r>
      </text>
    </comment>
    <comment ref="E52" authorId="0" shapeId="0" xr:uid="{A13C4262-2A61-4286-B473-55E59978813C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convertible debentures, 
-209807
</t>
        </r>
      </text>
    </comment>
    <comment ref="F53" authorId="0" shapeId="0" xr:uid="{A56528FB-B584-4D28-ADAD-4F06E4E733B4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+ debentures
</t>
        </r>
      </text>
    </comment>
    <comment ref="G56" authorId="0" shapeId="0" xr:uid="{3C7B933C-9596-4753-ABC0-BCA642F232B0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"loss on measurement to fair value less costs of the property held for sale" 
- gain on a bargain purchase
</t>
        </r>
      </text>
    </comment>
    <comment ref="K70" authorId="0" shapeId="0" xr:uid="{6483D533-EF07-4219-AA44-950CC167CE5A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1189 existing
</t>
        </r>
      </text>
    </comment>
    <comment ref="G75" authorId="0" shapeId="0" xr:uid="{9AE89C6C-99D3-49BB-81F9-2734C7008803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46M Issuance of Common Shares 
</t>
        </r>
      </text>
    </comment>
    <comment ref="H75" authorId="0" shapeId="0" xr:uid="{3ECF1E1C-2B18-4594-BAB3-3016C7A2164D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46M Issuance of Common Shares 
</t>
        </r>
      </text>
    </comment>
    <comment ref="I75" authorId="0" shapeId="0" xr:uid="{012E73CA-F048-4EA8-AB06-46C663C901CC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46M Issuance of Common Shares 
</t>
        </r>
      </text>
    </comment>
    <comment ref="H79" authorId="0" shapeId="0" xr:uid="{599643A3-C881-4AD5-A9FB-BC54AE52B48C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lease incentive 
</t>
        </r>
      </text>
    </comment>
    <comment ref="I79" authorId="0" shapeId="0" xr:uid="{3F0A8382-2378-463B-9332-C9B6C8C27520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lease incentive 
</t>
        </r>
      </text>
    </comment>
    <comment ref="F86" authorId="0" shapeId="0" xr:uid="{8645685E-EFA0-4993-AB69-049F6003A2D6}">
      <text>
        <r>
          <rPr>
            <b/>
            <sz val="9"/>
            <color indexed="81"/>
            <rFont val="Tahoma"/>
            <family val="2"/>
            <charset val="162"/>
          </rPr>
          <t>Elitebook:</t>
        </r>
        <r>
          <rPr>
            <sz val="9"/>
            <color indexed="81"/>
            <rFont val="Tahoma"/>
            <family val="2"/>
            <charset val="162"/>
          </rPr>
          <t xml:space="preserve">
repayment of balaqnce of purchase price
</t>
        </r>
      </text>
    </comment>
    <comment ref="G86" authorId="0" shapeId="0" xr:uid="{E400129C-9C5C-49A8-9E22-55A9AAE6064C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4m CAD
investment in a JV
</t>
        </r>
      </text>
    </comment>
    <comment ref="H86" authorId="0" shapeId="0" xr:uid="{8DE8B356-8457-42BF-9287-87EF32A09E3D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Repayment of balance of purchase pricde of Business acquisition 
nearly 2m
additional 1m CAD investment in JV
</t>
        </r>
      </text>
    </comment>
    <comment ref="I86" authorId="0" shapeId="0" xr:uid="{04CF6781-501D-4A35-8B33-1C2E312EC2E4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Repayment of balance of purchase pricde of Business acquisition 
nearly 2m
additional 1m CAD investment in JV
</t>
        </r>
      </text>
    </comment>
    <comment ref="K92" authorId="0" shapeId="0" xr:uid="{FBD2F253-701E-4FED-918D-92AC3BED0804}">
      <text>
        <r>
          <rPr>
            <b/>
            <sz val="9"/>
            <color indexed="81"/>
            <rFont val="Tahoma"/>
            <charset val="1"/>
          </rPr>
          <t>Elitebook:</t>
        </r>
        <r>
          <rPr>
            <sz val="9"/>
            <color indexed="81"/>
            <rFont val="Tahoma"/>
            <charset val="1"/>
          </rPr>
          <t xml:space="preserve">
-9m CAD
existing</t>
        </r>
      </text>
    </comment>
  </commentList>
</comments>
</file>

<file path=xl/sharedStrings.xml><?xml version="1.0" encoding="utf-8"?>
<sst xmlns="http://schemas.openxmlformats.org/spreadsheetml/2006/main" count="237" uniqueCount="208">
  <si>
    <t>NanoXplore</t>
  </si>
  <si>
    <t>x</t>
  </si>
  <si>
    <t xml:space="preserve">Capital Structure  </t>
  </si>
  <si>
    <t>Price</t>
  </si>
  <si>
    <t>S/O</t>
  </si>
  <si>
    <t>MC</t>
  </si>
  <si>
    <t>Cash</t>
  </si>
  <si>
    <t>Debt</t>
  </si>
  <si>
    <t>EV</t>
  </si>
  <si>
    <t>by CAD$</t>
  </si>
  <si>
    <t>Income Statement</t>
  </si>
  <si>
    <t>Q123A</t>
  </si>
  <si>
    <t>Q223A</t>
  </si>
  <si>
    <t>Q323A</t>
  </si>
  <si>
    <t>Q423A</t>
  </si>
  <si>
    <t>Q124A</t>
  </si>
  <si>
    <t>Q224A</t>
  </si>
  <si>
    <t>Q324A</t>
  </si>
  <si>
    <t>Q424A</t>
  </si>
  <si>
    <t>Q125A</t>
  </si>
  <si>
    <t>Q225A</t>
  </si>
  <si>
    <t>Q325A</t>
  </si>
  <si>
    <t>Q425E</t>
  </si>
  <si>
    <t>FY24</t>
  </si>
  <si>
    <t>FY25E</t>
  </si>
  <si>
    <t>FY26E</t>
  </si>
  <si>
    <t>FY27E</t>
  </si>
  <si>
    <t>FY28E</t>
  </si>
  <si>
    <t>FY29E</t>
  </si>
  <si>
    <t>FY23</t>
  </si>
  <si>
    <t>FA</t>
  </si>
  <si>
    <t xml:space="preserve">Soroush Nazarpour Founder/CEO of NanoXplore </t>
  </si>
  <si>
    <t xml:space="preserve">BoD Benoit Gascon, Director of VoltaXplore ^100% Ownership </t>
  </si>
  <si>
    <t>CEO since 2011</t>
  </si>
  <si>
    <t xml:space="preserve">Graphene Technology From Labrotary to Publication </t>
  </si>
  <si>
    <t>More recently Soroush became the CEO of VoltaXplore an electric battery manifacturing company</t>
  </si>
  <si>
    <t>Former President and CEO of Mason Graphite</t>
  </si>
  <si>
    <t>Former Senior Manager at PwC</t>
  </si>
  <si>
    <t xml:space="preserve">Benoit Gascon </t>
  </si>
  <si>
    <t xml:space="preserve">Soroush Nazarpour ; </t>
  </si>
  <si>
    <t>Revenues</t>
  </si>
  <si>
    <t>From Customers</t>
  </si>
  <si>
    <t>Other</t>
  </si>
  <si>
    <t>Cost of Sales</t>
  </si>
  <si>
    <t>Research &amp; Development</t>
  </si>
  <si>
    <t>Selling, General &amp; Administrative</t>
  </si>
  <si>
    <t>Share Based Compensation Expenses</t>
  </si>
  <si>
    <t>Depreciation (Production)</t>
  </si>
  <si>
    <t>Depreciation Other</t>
  </si>
  <si>
    <t>Depreciation</t>
  </si>
  <si>
    <t xml:space="preserve">Amortization </t>
  </si>
  <si>
    <t>D&amp;A</t>
  </si>
  <si>
    <t>FX</t>
  </si>
  <si>
    <t>OpEx</t>
  </si>
  <si>
    <t>Operating Income/Loss</t>
  </si>
  <si>
    <t>Gain on PP&amp;E</t>
  </si>
  <si>
    <t>Debt Interest</t>
  </si>
  <si>
    <t>Lease Liability Interest</t>
  </si>
  <si>
    <t>Interest Revenue</t>
  </si>
  <si>
    <t>PreTax</t>
  </si>
  <si>
    <t>Net Income</t>
  </si>
  <si>
    <t>Retirement Benefits</t>
  </si>
  <si>
    <t>approx 283m by $US</t>
  </si>
  <si>
    <t xml:space="preserve">Vice Chairman of the Board </t>
  </si>
  <si>
    <t xml:space="preserve">Robert P Wildeboer </t>
  </si>
  <si>
    <t>Approved behalf of BoD, Soroush Nazarpour and Joseph G Peter, Q325, Unaudit</t>
  </si>
  <si>
    <t xml:space="preserve">Joseph G Pter, Retired CFO of Nissan Motor Corp </t>
  </si>
  <si>
    <t>Gross Profit</t>
  </si>
  <si>
    <t>Other Operating Expense/Income</t>
  </si>
  <si>
    <t xml:space="preserve">Tax (Shield/Expense) </t>
  </si>
  <si>
    <t>Shares</t>
  </si>
  <si>
    <t>EPS</t>
  </si>
  <si>
    <t xml:space="preserve">Subsidiaries ; </t>
  </si>
  <si>
    <t>Name</t>
  </si>
  <si>
    <t>Location</t>
  </si>
  <si>
    <t>Information</t>
  </si>
  <si>
    <t>Reporting Segment</t>
  </si>
  <si>
    <t>CEBO Injections</t>
  </si>
  <si>
    <t>Switzerland</t>
  </si>
  <si>
    <t>%100 equity interest</t>
  </si>
  <si>
    <t>%100 equity interest, Merged as at July 1st 2024</t>
  </si>
  <si>
    <t>Advanced Materials, Plastics and Composite Products</t>
  </si>
  <si>
    <t>Sigma Indsutries Inc</t>
  </si>
  <si>
    <t>Canada</t>
  </si>
  <si>
    <t xml:space="preserve">NanoXplore Holdings </t>
  </si>
  <si>
    <t>US</t>
  </si>
  <si>
    <t>RMC Advanced Technologies Inc</t>
  </si>
  <si>
    <t>North Carolina, US</t>
  </si>
  <si>
    <t>FY22</t>
  </si>
  <si>
    <t>Foreign Subsidiaries /FX</t>
  </si>
  <si>
    <t xml:space="preserve">PnL/Paraf </t>
  </si>
  <si>
    <t xml:space="preserve">Deeper Fundamental Points ; </t>
  </si>
  <si>
    <t xml:space="preserve">Seasonality ? </t>
  </si>
  <si>
    <t>Transportation, Packaging, Electronics, Indsutrial sectors</t>
  </si>
  <si>
    <t xml:space="preserve">Storage Markets, Electricle Vehicle, Battery Cells and Materials </t>
  </si>
  <si>
    <t xml:space="preserve">ICP; </t>
  </si>
  <si>
    <t xml:space="preserve">Potential New ICP's ? </t>
  </si>
  <si>
    <t xml:space="preserve">Customer Revenue explanation ? </t>
  </si>
  <si>
    <t xml:space="preserve">Other income contribution channels ? </t>
  </si>
  <si>
    <t>Dave Lee Interview</t>
  </si>
  <si>
    <t>reduced cost of production ; normally a big problem in the graphene/nanotech vertical</t>
  </si>
  <si>
    <t>Q122</t>
  </si>
  <si>
    <t>Q222</t>
  </si>
  <si>
    <t>Q322</t>
  </si>
  <si>
    <t>Q422</t>
  </si>
  <si>
    <t>PE</t>
  </si>
  <si>
    <t>EV/EBITDA</t>
  </si>
  <si>
    <t>Q325</t>
  </si>
  <si>
    <t xml:space="preserve">YoY Return </t>
  </si>
  <si>
    <t>QoQ Return/ Seasonality</t>
  </si>
  <si>
    <t>Cash Flow Statement</t>
  </si>
  <si>
    <t>$GRA</t>
  </si>
  <si>
    <t xml:space="preserve">Depreciation &amp; Amortization </t>
  </si>
  <si>
    <t xml:space="preserve">Share Based Compensation </t>
  </si>
  <si>
    <t>Interest accreation on lease liability</t>
  </si>
  <si>
    <t>Interest accreation on long term debt</t>
  </si>
  <si>
    <t>Disposal of PPE</t>
  </si>
  <si>
    <t>Diff, paid for employee benefits and current period expenses</t>
  </si>
  <si>
    <t>Net change in FV of FX Derivates</t>
  </si>
  <si>
    <t>Unrealized FX</t>
  </si>
  <si>
    <t>AR &amp; Contract Asset</t>
  </si>
  <si>
    <t>Inventory</t>
  </si>
  <si>
    <t>Prepaids, Other</t>
  </si>
  <si>
    <t>AP, Accrued Liabilities</t>
  </si>
  <si>
    <t>Contract Liability</t>
  </si>
  <si>
    <t>CFFF</t>
  </si>
  <si>
    <t>Variation of Operating Loans</t>
  </si>
  <si>
    <t>Repayment of Lease</t>
  </si>
  <si>
    <t xml:space="preserve">Repayment of Long Term Debt </t>
  </si>
  <si>
    <t>CapEx</t>
  </si>
  <si>
    <t xml:space="preserve">Intangible </t>
  </si>
  <si>
    <t>PPE</t>
  </si>
  <si>
    <t>Equipment Deposits</t>
  </si>
  <si>
    <t>FCF</t>
  </si>
  <si>
    <t>Reported SB/NI</t>
  </si>
  <si>
    <t>FY21</t>
  </si>
  <si>
    <t>FY20</t>
  </si>
  <si>
    <t>FY18</t>
  </si>
  <si>
    <t>FY19</t>
  </si>
  <si>
    <t>Listing Expenses Paid by Issuance of Equity</t>
  </si>
  <si>
    <t>Share of loss of a JV</t>
  </si>
  <si>
    <t>Income Taxes Payable</t>
  </si>
  <si>
    <t>Deferred Grant</t>
  </si>
  <si>
    <t>Deferred Revenue</t>
  </si>
  <si>
    <t>Private Placements</t>
  </si>
  <si>
    <t>Issuing Costs</t>
  </si>
  <si>
    <t>Exercise of Options Warrants and Broker Warrants</t>
  </si>
  <si>
    <t>Issuance of Convertible Debentures</t>
  </si>
  <si>
    <t>Issuance of Long term Debt</t>
  </si>
  <si>
    <t>Lease deposit</t>
  </si>
  <si>
    <t>Business Acquisition  Net Cash Acquired</t>
  </si>
  <si>
    <t>NI Recovery &amp; Deferred Income Tax Recovery</t>
  </si>
  <si>
    <t>Net Cash</t>
  </si>
  <si>
    <t>1.10%, 1,19%</t>
  </si>
  <si>
    <t>Model CFFO</t>
  </si>
  <si>
    <t xml:space="preserve">Interest Rate </t>
  </si>
  <si>
    <t xml:space="preserve">Discounted Cash Flow </t>
  </si>
  <si>
    <t xml:space="preserve">10$ per kg production cost aim </t>
  </si>
  <si>
    <t>Revenue</t>
  </si>
  <si>
    <t>Earnings Before Interest and Taxes</t>
  </si>
  <si>
    <t>Taxes</t>
  </si>
  <si>
    <t>Earnings Before Interest after Taxes</t>
  </si>
  <si>
    <t>Capital Expenditure</t>
  </si>
  <si>
    <t>Change in NWC</t>
  </si>
  <si>
    <t>Unlevered Free Cash Flow</t>
  </si>
  <si>
    <t>Present Value of Free Cash Flow</t>
  </si>
  <si>
    <t>Terminal Value</t>
  </si>
  <si>
    <t>Present Value of Terminal Value</t>
  </si>
  <si>
    <t>Enterprise Value</t>
  </si>
  <si>
    <t>Equity Value</t>
  </si>
  <si>
    <t>Shares Outstanding</t>
  </si>
  <si>
    <t>WACC</t>
  </si>
  <si>
    <t>% of Equity</t>
  </si>
  <si>
    <t>Cost of Equity</t>
  </si>
  <si>
    <t>Risk Free Rate</t>
  </si>
  <si>
    <t>Beta</t>
  </si>
  <si>
    <t>Market Risk Premium</t>
  </si>
  <si>
    <t>% of Debt</t>
  </si>
  <si>
    <t>Cost of Debt</t>
  </si>
  <si>
    <t>Tax Rate</t>
  </si>
  <si>
    <t>Total</t>
  </si>
  <si>
    <t>Date</t>
  </si>
  <si>
    <t>Year End</t>
  </si>
  <si>
    <t>Period</t>
  </si>
  <si>
    <t>TGR</t>
  </si>
  <si>
    <t>Gross Margin</t>
  </si>
  <si>
    <t>Adjusted YoY growth 14%</t>
  </si>
  <si>
    <t>Customers %</t>
  </si>
  <si>
    <t xml:space="preserve">Other % </t>
  </si>
  <si>
    <t xml:space="preserve">Q325 YTD June </t>
  </si>
  <si>
    <t>Model Assumption</t>
  </si>
  <si>
    <t xml:space="preserve">worst case scneario </t>
  </si>
  <si>
    <t>normally little to no tax rate</t>
  </si>
  <si>
    <t>0.9 highest aqq</t>
  </si>
  <si>
    <t>Highest</t>
  </si>
  <si>
    <t>Lowest</t>
  </si>
  <si>
    <t>FY29</t>
  </si>
  <si>
    <t>FY28</t>
  </si>
  <si>
    <t>FY27</t>
  </si>
  <si>
    <t>FY26</t>
  </si>
  <si>
    <t>FY25</t>
  </si>
  <si>
    <t>Implied Price</t>
  </si>
  <si>
    <t>Implied Stock Price</t>
  </si>
  <si>
    <t xml:space="preserve">Normally 0-1% </t>
  </si>
  <si>
    <t>Pessimistic Implied Price</t>
  </si>
  <si>
    <t>Ctax Rate in Canada 15%, in US operations roughly 13%, but currently its 0-0.9%</t>
  </si>
  <si>
    <t>ESG Friendly in Canada is 7.5%</t>
  </si>
  <si>
    <t xml:space="preserve">Macro QT,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</si>
</sst>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Times New Roman"/>
      <family val="2"/>
    </font>
    <font>
      <sz val="11"/>
      <color theme="0"/>
      <name val="Times New Roman"/>
      <family val="2"/>
    </font>
    <font>
      <sz val="15"/>
      <color theme="1"/>
      <name val="Times New Roman"/>
      <family val="2"/>
    </font>
    <font>
      <u/>
      <sz val="11"/>
      <color theme="1"/>
      <name val="Times New Roman"/>
      <family val="2"/>
    </font>
    <font>
      <i/>
      <sz val="11"/>
      <color theme="1"/>
      <name val="Times New Roman"/>
      <family val="1"/>
      <charset val="162"/>
    </font>
    <font>
      <u val="singleAccounting"/>
      <sz val="11"/>
      <color theme="1"/>
      <name val="Times New Roman"/>
      <family val="2"/>
    </font>
    <font>
      <b/>
      <i/>
      <sz val="11"/>
      <color theme="1"/>
      <name val="Times New Roman"/>
      <family val="1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 val="singleAccounting"/>
      <sz val="11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3" fontId="1" fillId="0" borderId="0" xfId="0" applyNumberFormat="1" applyFont="1"/>
    <xf numFmtId="43" fontId="2" fillId="0" borderId="0" xfId="0" applyNumberFormat="1" applyFont="1"/>
    <xf numFmtId="43" fontId="0" fillId="0" borderId="0" xfId="0" applyNumberFormat="1"/>
    <xf numFmtId="43" fontId="4" fillId="0" borderId="0" xfId="0" applyNumberFormat="1" applyFont="1"/>
    <xf numFmtId="43" fontId="1" fillId="0" borderId="1" xfId="0" applyNumberFormat="1" applyFont="1" applyBorder="1"/>
    <xf numFmtId="43" fontId="0" fillId="0" borderId="1" xfId="0" applyNumberFormat="1" applyBorder="1"/>
    <xf numFmtId="43" fontId="3" fillId="0" borderId="0" xfId="0" applyNumberFormat="1" applyFont="1"/>
    <xf numFmtId="14" fontId="0" fillId="0" borderId="0" xfId="0" applyNumberFormat="1"/>
    <xf numFmtId="43" fontId="5" fillId="0" borderId="0" xfId="0" applyNumberFormat="1" applyFont="1"/>
    <xf numFmtId="43" fontId="6" fillId="0" borderId="0" xfId="0" applyNumberFormat="1" applyFont="1"/>
    <xf numFmtId="43" fontId="0" fillId="0" borderId="0" xfId="0" applyNumberFormat="1" applyAlignment="1">
      <alignment horizontal="left" vertical="top"/>
    </xf>
    <xf numFmtId="43" fontId="9" fillId="0" borderId="0" xfId="0" applyNumberFormat="1" applyFont="1"/>
    <xf numFmtId="10" fontId="0" fillId="0" borderId="0" xfId="0" applyNumberFormat="1"/>
    <xf numFmtId="43" fontId="10" fillId="0" borderId="0" xfId="0" applyNumberFormat="1" applyFont="1"/>
    <xf numFmtId="43" fontId="0" fillId="0" borderId="0" xfId="0" applyNumberFormat="1" applyAlignment="1">
      <alignment horizontal="right"/>
    </xf>
    <xf numFmtId="43" fontId="0" fillId="2" borderId="0" xfId="0" applyNumberFormat="1" applyFill="1"/>
    <xf numFmtId="43" fontId="13" fillId="0" borderId="0" xfId="0" applyNumberFormat="1" applyFont="1"/>
    <xf numFmtId="43" fontId="0" fillId="0" borderId="2" xfId="0" applyNumberFormat="1" applyBorder="1"/>
    <xf numFmtId="43" fontId="10" fillId="0" borderId="3" xfId="0" applyNumberFormat="1" applyFon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3" fontId="10" fillId="0" borderId="1" xfId="0" applyNumberFormat="1" applyFont="1" applyBorder="1"/>
    <xf numFmtId="9" fontId="0" fillId="0" borderId="0" xfId="0" applyNumberFormat="1"/>
    <xf numFmtId="39" fontId="0" fillId="0" borderId="0" xfId="0" applyNumberFormat="1"/>
    <xf numFmtId="3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6BCB-1814-46BB-8F36-C13D9F24F184}">
  <dimension ref="A2:Q45"/>
  <sheetViews>
    <sheetView showGridLines="0" workbookViewId="0">
      <selection activeCell="C20" sqref="C20"/>
    </sheetView>
  </sheetViews>
  <sheetFormatPr defaultRowHeight="13.8" x14ac:dyDescent="0.25"/>
  <cols>
    <col min="1" max="1" width="2.88671875" style="1" customWidth="1"/>
    <col min="2" max="2" width="30.109375" style="3" bestFit="1" customWidth="1"/>
    <col min="3" max="4" width="18.109375" style="3" bestFit="1" customWidth="1"/>
    <col min="5" max="5" width="42.33203125" style="3" bestFit="1" customWidth="1"/>
    <col min="6" max="6" width="17.77734375" style="3" bestFit="1" customWidth="1"/>
    <col min="7" max="7" width="9.109375" style="3" bestFit="1" customWidth="1"/>
    <col min="8" max="9" width="8.88671875" style="3"/>
    <col min="10" max="10" width="85.44140625" style="3" bestFit="1" customWidth="1"/>
    <col min="11" max="16384" width="8.88671875" style="3"/>
  </cols>
  <sheetData>
    <row r="2" spans="1:17" ht="19.2" x14ac:dyDescent="0.35">
      <c r="A2" s="1" t="s">
        <v>1</v>
      </c>
      <c r="B2" s="2" t="s">
        <v>0</v>
      </c>
      <c r="E2" s="4" t="s">
        <v>9</v>
      </c>
      <c r="G2" s="8">
        <v>45807</v>
      </c>
    </row>
    <row r="4" spans="1:17" s="6" customFormat="1" x14ac:dyDescent="0.25">
      <c r="A4" s="5"/>
    </row>
    <row r="5" spans="1:17" ht="15.6" x14ac:dyDescent="0.4">
      <c r="B5" s="7" t="s">
        <v>2</v>
      </c>
      <c r="J5" s="9" t="s">
        <v>30</v>
      </c>
    </row>
    <row r="6" spans="1:17" x14ac:dyDescent="0.25">
      <c r="Q6" s="3" t="s">
        <v>38</v>
      </c>
    </row>
    <row r="7" spans="1:17" x14ac:dyDescent="0.25">
      <c r="B7" s="3" t="s">
        <v>3</v>
      </c>
      <c r="C7" s="3">
        <v>2.41</v>
      </c>
      <c r="D7" s="3" t="s">
        <v>107</v>
      </c>
      <c r="J7" s="3" t="s">
        <v>31</v>
      </c>
    </row>
    <row r="8" spans="1:17" x14ac:dyDescent="0.25">
      <c r="B8" s="3" t="s">
        <v>4</v>
      </c>
      <c r="C8" s="3">
        <v>170608431</v>
      </c>
      <c r="J8" s="3" t="s">
        <v>32</v>
      </c>
      <c r="Q8" s="4" t="s">
        <v>36</v>
      </c>
    </row>
    <row r="9" spans="1:17" x14ac:dyDescent="0.25">
      <c r="B9" s="3" t="s">
        <v>5</v>
      </c>
      <c r="C9" s="3">
        <f>+C8*C7</f>
        <v>411166318.71000004</v>
      </c>
      <c r="Q9" s="4" t="s">
        <v>37</v>
      </c>
    </row>
    <row r="10" spans="1:17" x14ac:dyDescent="0.25">
      <c r="B10" s="3" t="s">
        <v>6</v>
      </c>
      <c r="C10" s="3">
        <v>20704869</v>
      </c>
      <c r="D10" s="3" t="s">
        <v>107</v>
      </c>
      <c r="J10" s="4" t="s">
        <v>33</v>
      </c>
    </row>
    <row r="11" spans="1:17" x14ac:dyDescent="0.25">
      <c r="B11" s="3" t="s">
        <v>7</v>
      </c>
      <c r="C11" s="3">
        <f>975900+2102390+2838350</f>
        <v>5916640</v>
      </c>
      <c r="D11" s="3" t="s">
        <v>107</v>
      </c>
      <c r="J11" s="3" t="s">
        <v>39</v>
      </c>
    </row>
    <row r="12" spans="1:17" ht="14.4" x14ac:dyDescent="0.3">
      <c r="B12" s="3" t="s">
        <v>8</v>
      </c>
      <c r="C12" s="3">
        <f>+C9-C10+C11</f>
        <v>396378089.71000004</v>
      </c>
      <c r="D12" s="3" t="s">
        <v>107</v>
      </c>
      <c r="J12" s="10" t="s">
        <v>34</v>
      </c>
    </row>
    <row r="13" spans="1:17" x14ac:dyDescent="0.25">
      <c r="J13" s="4" t="s">
        <v>35</v>
      </c>
    </row>
    <row r="14" spans="1:17" x14ac:dyDescent="0.25">
      <c r="B14" s="4" t="s">
        <v>62</v>
      </c>
      <c r="C14" s="13"/>
    </row>
    <row r="16" spans="1:17" x14ac:dyDescent="0.25">
      <c r="B16" s="3" t="s">
        <v>105</v>
      </c>
      <c r="C16" s="3">
        <f>C12/Model!R33</f>
        <v>-254.22818157795663</v>
      </c>
      <c r="J16" s="3" t="s">
        <v>63</v>
      </c>
    </row>
    <row r="17" spans="2:10" x14ac:dyDescent="0.25">
      <c r="B17" s="3" t="s">
        <v>106</v>
      </c>
      <c r="C17" s="3">
        <f>C12/Model!R22</f>
        <v>-176.31771401945653</v>
      </c>
      <c r="J17" s="3" t="s">
        <v>64</v>
      </c>
    </row>
    <row r="19" spans="2:10" x14ac:dyDescent="0.25">
      <c r="B19" s="3" t="s">
        <v>204</v>
      </c>
      <c r="C19" s="3">
        <f>Model!D2</f>
        <v>3.1204904998016709</v>
      </c>
    </row>
    <row r="20" spans="2:10" x14ac:dyDescent="0.25">
      <c r="C20" s="4"/>
      <c r="J20" s="3" t="s">
        <v>65</v>
      </c>
    </row>
    <row r="21" spans="2:10" x14ac:dyDescent="0.25">
      <c r="J21" s="3" t="s">
        <v>66</v>
      </c>
    </row>
    <row r="24" spans="2:10" x14ac:dyDescent="0.25">
      <c r="J24" s="3" t="s">
        <v>91</v>
      </c>
    </row>
    <row r="26" spans="2:10" x14ac:dyDescent="0.25">
      <c r="J26" s="3" t="s">
        <v>97</v>
      </c>
    </row>
    <row r="27" spans="2:10" x14ac:dyDescent="0.25">
      <c r="B27" s="3" t="s">
        <v>72</v>
      </c>
      <c r="J27" s="3" t="s">
        <v>98</v>
      </c>
    </row>
    <row r="28" spans="2:10" x14ac:dyDescent="0.25">
      <c r="J28" s="3" t="s">
        <v>92</v>
      </c>
    </row>
    <row r="29" spans="2:10" x14ac:dyDescent="0.25">
      <c r="B29" s="11" t="s">
        <v>73</v>
      </c>
      <c r="C29" s="11" t="s">
        <v>74</v>
      </c>
      <c r="D29" s="11" t="s">
        <v>75</v>
      </c>
      <c r="E29" s="11" t="s">
        <v>76</v>
      </c>
      <c r="J29" s="3" t="s">
        <v>95</v>
      </c>
    </row>
    <row r="30" spans="2:10" x14ac:dyDescent="0.25">
      <c r="B30" s="3" t="s">
        <v>77</v>
      </c>
      <c r="C30" s="3" t="s">
        <v>78</v>
      </c>
      <c r="D30" s="3" t="s">
        <v>80</v>
      </c>
      <c r="E30" s="3" t="s">
        <v>81</v>
      </c>
      <c r="J30" s="3" t="s">
        <v>93</v>
      </c>
    </row>
    <row r="31" spans="2:10" x14ac:dyDescent="0.25">
      <c r="B31" s="3" t="s">
        <v>84</v>
      </c>
      <c r="C31" s="3" t="s">
        <v>85</v>
      </c>
      <c r="D31" s="3" t="s">
        <v>79</v>
      </c>
      <c r="E31" s="3" t="s">
        <v>81</v>
      </c>
      <c r="J31" s="3" t="s">
        <v>94</v>
      </c>
    </row>
    <row r="32" spans="2:10" x14ac:dyDescent="0.25">
      <c r="B32" s="3" t="s">
        <v>86</v>
      </c>
      <c r="C32" s="3" t="s">
        <v>87</v>
      </c>
    </row>
    <row r="33" spans="2:10" x14ac:dyDescent="0.25">
      <c r="B33" s="3" t="s">
        <v>82</v>
      </c>
      <c r="C33" s="3" t="s">
        <v>83</v>
      </c>
      <c r="J33" s="3" t="s">
        <v>96</v>
      </c>
    </row>
    <row r="36" spans="2:10" ht="15.6" x14ac:dyDescent="0.4">
      <c r="B36" s="13" t="s">
        <v>186</v>
      </c>
      <c r="J36" s="9" t="s">
        <v>99</v>
      </c>
    </row>
    <row r="37" spans="2:10" x14ac:dyDescent="0.25">
      <c r="B37" s="3" t="s">
        <v>155</v>
      </c>
      <c r="C37" s="3" t="s">
        <v>153</v>
      </c>
    </row>
    <row r="38" spans="2:10" x14ac:dyDescent="0.25">
      <c r="J38" s="3" t="s">
        <v>100</v>
      </c>
    </row>
    <row r="39" spans="2:10" x14ac:dyDescent="0.25">
      <c r="B39" s="3" t="s">
        <v>157</v>
      </c>
    </row>
    <row r="41" spans="2:10" ht="15.6" x14ac:dyDescent="0.4">
      <c r="B41" s="9" t="s">
        <v>190</v>
      </c>
    </row>
    <row r="43" spans="2:10" x14ac:dyDescent="0.25">
      <c r="B43" s="3" t="s">
        <v>191</v>
      </c>
    </row>
    <row r="44" spans="2:10" x14ac:dyDescent="0.25">
      <c r="B44" s="3" t="s">
        <v>192</v>
      </c>
    </row>
    <row r="45" spans="2:10" x14ac:dyDescent="0.25">
      <c r="B45" s="3" t="s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641D-B583-48BE-ADA6-4F5EAE8B233F}">
  <dimension ref="A1:AD139"/>
  <sheetViews>
    <sheetView showGridLines="0" tabSelected="1" topLeftCell="A2" workbookViewId="0">
      <selection activeCell="E2" sqref="E2"/>
    </sheetView>
  </sheetViews>
  <sheetFormatPr defaultRowHeight="13.8" x14ac:dyDescent="0.25"/>
  <cols>
    <col min="1" max="1" width="2.77734375" style="3" customWidth="1"/>
    <col min="2" max="2" width="51.88671875" style="3" bestFit="1" customWidth="1"/>
    <col min="3" max="3" width="18.33203125" style="3" bestFit="1" customWidth="1"/>
    <col min="4" max="10" width="15.109375" style="3" bestFit="1" customWidth="1"/>
    <col min="11" max="11" width="15.77734375" style="3" bestFit="1" customWidth="1"/>
    <col min="12" max="19" width="15.109375" style="3" bestFit="1" customWidth="1"/>
    <col min="20" max="21" width="11.44140625" style="3" bestFit="1" customWidth="1"/>
    <col min="22" max="22" width="14.77734375" style="3" bestFit="1" customWidth="1"/>
    <col min="23" max="29" width="15.109375" style="3" bestFit="1" customWidth="1"/>
    <col min="30" max="16384" width="8.88671875" style="3"/>
  </cols>
  <sheetData>
    <row r="1" spans="1:29" x14ac:dyDescent="0.25">
      <c r="A1" s="1"/>
    </row>
    <row r="2" spans="1:29" ht="19.2" x14ac:dyDescent="0.35">
      <c r="A2" s="1" t="s">
        <v>1</v>
      </c>
      <c r="B2" s="2" t="s">
        <v>111</v>
      </c>
      <c r="C2" s="3" t="s">
        <v>202</v>
      </c>
      <c r="D2" s="3">
        <f>H115</f>
        <v>3.1204904998016709</v>
      </c>
      <c r="E2" s="4" t="s">
        <v>9</v>
      </c>
      <c r="F2" s="3" t="s">
        <v>181</v>
      </c>
      <c r="G2" s="8">
        <v>45819</v>
      </c>
      <c r="I2" s="3" t="s">
        <v>207</v>
      </c>
    </row>
    <row r="3" spans="1:29" x14ac:dyDescent="0.25">
      <c r="A3" s="1"/>
    </row>
    <row r="4" spans="1:29" s="6" customFormat="1" x14ac:dyDescent="0.25">
      <c r="A4" s="5"/>
    </row>
    <row r="5" spans="1:29" x14ac:dyDescent="0.25">
      <c r="B5" s="7" t="s">
        <v>10</v>
      </c>
      <c r="D5" s="15" t="s">
        <v>101</v>
      </c>
      <c r="E5" s="15" t="s">
        <v>102</v>
      </c>
      <c r="F5" s="15" t="s">
        <v>103</v>
      </c>
      <c r="G5" s="15" t="s">
        <v>104</v>
      </c>
      <c r="H5" s="15" t="s">
        <v>11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5" t="s">
        <v>17</v>
      </c>
      <c r="O5" s="15" t="s">
        <v>18</v>
      </c>
      <c r="P5" s="15" t="s">
        <v>19</v>
      </c>
      <c r="Q5" s="15" t="s">
        <v>20</v>
      </c>
      <c r="R5" s="15" t="s">
        <v>21</v>
      </c>
      <c r="S5" s="15" t="s">
        <v>22</v>
      </c>
      <c r="T5" s="15"/>
      <c r="U5" s="15"/>
      <c r="V5" s="15" t="s">
        <v>88</v>
      </c>
      <c r="W5" s="15" t="s">
        <v>29</v>
      </c>
      <c r="X5" s="15" t="s">
        <v>23</v>
      </c>
      <c r="Y5" s="15" t="s">
        <v>24</v>
      </c>
      <c r="Z5" s="15" t="s">
        <v>25</v>
      </c>
      <c r="AA5" s="15" t="s">
        <v>26</v>
      </c>
      <c r="AB5" s="15" t="s">
        <v>27</v>
      </c>
      <c r="AC5" s="15" t="s">
        <v>28</v>
      </c>
    </row>
    <row r="7" spans="1:29" x14ac:dyDescent="0.25">
      <c r="B7" s="12" t="s">
        <v>40</v>
      </c>
      <c r="C7" s="12"/>
      <c r="D7" s="12">
        <f>+D8+D9</f>
        <v>18818446</v>
      </c>
      <c r="E7" s="12">
        <f>+E8+E9</f>
        <v>18801487</v>
      </c>
      <c r="F7" s="12">
        <f>+F8+F9</f>
        <v>28406750</v>
      </c>
      <c r="G7" s="12">
        <f t="shared" ref="G7:G33" si="0">V7-SUM(D7:F7)</f>
        <v>28280476</v>
      </c>
      <c r="H7" s="12">
        <f>+H8+H9</f>
        <v>27232525</v>
      </c>
      <c r="I7" s="12">
        <f>+I8+I9</f>
        <v>31725122</v>
      </c>
      <c r="J7" s="12">
        <f>+J8+J9</f>
        <v>31580560</v>
      </c>
      <c r="K7" s="12">
        <f t="shared" ref="K7:K33" si="1">W7-SUM(H7:J7)</f>
        <v>33318964</v>
      </c>
      <c r="L7" s="12">
        <f>+L8+L9</f>
        <v>28936031</v>
      </c>
      <c r="M7" s="12">
        <f>+M8+M9</f>
        <v>29063024</v>
      </c>
      <c r="N7" s="12">
        <f>+N8+N9</f>
        <v>33867167</v>
      </c>
      <c r="O7" s="12">
        <f t="shared" ref="O7:O33" si="2">X7-SUM(L7:N7)</f>
        <v>38126146</v>
      </c>
      <c r="P7" s="12">
        <f>+P8+P9</f>
        <v>33665414</v>
      </c>
      <c r="Q7" s="12">
        <f>+Q8+Q9</f>
        <v>33120886</v>
      </c>
      <c r="R7" s="12">
        <f>+R8+R9</f>
        <v>30446165</v>
      </c>
      <c r="S7" s="3">
        <f>R7*1.0826</f>
        <v>32961018.228999998</v>
      </c>
      <c r="V7" s="12">
        <f>+V8+V9</f>
        <v>94307159</v>
      </c>
      <c r="W7" s="12">
        <f>+W8+W9</f>
        <v>123857171</v>
      </c>
      <c r="X7" s="12">
        <f>+X8+X9</f>
        <v>129992368</v>
      </c>
      <c r="Y7" s="12">
        <f>SUM(P7:S7)</f>
        <v>130193483.229</v>
      </c>
      <c r="Z7" s="12">
        <f>Y7*1.2</f>
        <v>156232179.8748</v>
      </c>
      <c r="AA7" s="12">
        <f>Z7*1.4</f>
        <v>218725051.82472</v>
      </c>
      <c r="AB7" s="12">
        <f>AA7*1.4114</f>
        <v>308708538.14540982</v>
      </c>
      <c r="AC7" s="12">
        <f>AB7*1.37</f>
        <v>422930697.25921148</v>
      </c>
    </row>
    <row r="8" spans="1:29" x14ac:dyDescent="0.25">
      <c r="B8" s="3" t="s">
        <v>41</v>
      </c>
      <c r="D8" s="3">
        <v>17830017</v>
      </c>
      <c r="E8" s="3">
        <v>18425908</v>
      </c>
      <c r="F8" s="3">
        <v>27997816</v>
      </c>
      <c r="G8" s="14">
        <f t="shared" si="0"/>
        <v>28080085</v>
      </c>
      <c r="H8" s="3">
        <v>27147167</v>
      </c>
      <c r="I8" s="3">
        <v>31417369</v>
      </c>
      <c r="J8" s="3">
        <v>31125291</v>
      </c>
      <c r="K8" s="14">
        <f t="shared" si="1"/>
        <v>33010658</v>
      </c>
      <c r="L8" s="3">
        <v>28706752</v>
      </c>
      <c r="M8" s="3">
        <v>28559390</v>
      </c>
      <c r="N8" s="3">
        <v>33617106</v>
      </c>
      <c r="O8" s="14">
        <f t="shared" si="2"/>
        <v>37717688</v>
      </c>
      <c r="P8" s="3">
        <v>33327069</v>
      </c>
      <c r="Q8" s="3">
        <v>32636947</v>
      </c>
      <c r="R8" s="3">
        <v>29239999</v>
      </c>
      <c r="S8" s="3">
        <f>S7*S41</f>
        <v>32228494.121426012</v>
      </c>
      <c r="V8" s="3">
        <v>92333826</v>
      </c>
      <c r="W8" s="3">
        <v>122700485</v>
      </c>
      <c r="X8" s="3">
        <v>128600936</v>
      </c>
      <c r="Y8" s="3">
        <f>SUM(P8:S8)</f>
        <v>127432509.12142602</v>
      </c>
      <c r="Z8" s="3">
        <f>Z7*Z41</f>
        <v>152853587.73106292</v>
      </c>
      <c r="AA8" s="3">
        <f>AA7*AA41</f>
        <v>213190917.89327869</v>
      </c>
      <c r="AB8" s="3">
        <f>AB7*AB41</f>
        <v>299413594.95471466</v>
      </c>
      <c r="AC8" s="3">
        <f>AC7*AC41</f>
        <v>407777151.37542117</v>
      </c>
    </row>
    <row r="9" spans="1:29" x14ac:dyDescent="0.25">
      <c r="B9" s="3" t="s">
        <v>42</v>
      </c>
      <c r="D9" s="3">
        <v>988429</v>
      </c>
      <c r="E9" s="3">
        <v>375579</v>
      </c>
      <c r="F9" s="3">
        <v>408934</v>
      </c>
      <c r="G9" s="14">
        <f t="shared" si="0"/>
        <v>200391</v>
      </c>
      <c r="H9" s="3">
        <v>85358</v>
      </c>
      <c r="I9" s="3">
        <v>307753</v>
      </c>
      <c r="J9" s="3">
        <v>455269</v>
      </c>
      <c r="K9" s="14">
        <f>W9-SUM(H9:J9)</f>
        <v>308306</v>
      </c>
      <c r="L9" s="3">
        <v>229279</v>
      </c>
      <c r="M9" s="3">
        <v>503634</v>
      </c>
      <c r="N9" s="3">
        <v>250061</v>
      </c>
      <c r="O9" s="14">
        <f>X9-SUM(L9:N9)</f>
        <v>408458</v>
      </c>
      <c r="P9" s="3">
        <v>338345</v>
      </c>
      <c r="Q9" s="3">
        <v>483939</v>
      </c>
      <c r="R9" s="3">
        <v>1206166</v>
      </c>
      <c r="S9" s="3">
        <f>S7*S37</f>
        <v>732524.10757398675</v>
      </c>
      <c r="V9" s="3">
        <v>1973333</v>
      </c>
      <c r="W9" s="3">
        <v>1156686</v>
      </c>
      <c r="X9" s="3">
        <v>1391432</v>
      </c>
      <c r="Y9" s="3">
        <f>SUM(P9:S9)</f>
        <v>2760974.107573987</v>
      </c>
      <c r="Z9" s="3">
        <f>Z7*Z37</f>
        <v>3378592.1437370596</v>
      </c>
      <c r="AA9" s="3">
        <f>AA7*AA37</f>
        <v>5534133.9314413033</v>
      </c>
      <c r="AB9" s="3">
        <f>AB7*AB37</f>
        <v>9294943.1906951442</v>
      </c>
      <c r="AC9" s="3">
        <f>AC7*AC37</f>
        <v>15153545.883790294</v>
      </c>
    </row>
    <row r="10" spans="1:29" x14ac:dyDescent="0.25">
      <c r="B10" s="3" t="s">
        <v>43</v>
      </c>
      <c r="D10" s="3">
        <v>17293847</v>
      </c>
      <c r="E10" s="3">
        <v>17009350</v>
      </c>
      <c r="F10" s="3">
        <v>25280807</v>
      </c>
      <c r="G10" s="12">
        <f t="shared" si="0"/>
        <v>23371558</v>
      </c>
      <c r="H10" s="3">
        <v>23986964</v>
      </c>
      <c r="I10" s="3">
        <v>25836971</v>
      </c>
      <c r="J10" s="3">
        <v>25435816</v>
      </c>
      <c r="K10" s="14">
        <f t="shared" si="1"/>
        <v>26154539</v>
      </c>
      <c r="L10" s="3">
        <v>23047454</v>
      </c>
      <c r="M10" s="3">
        <v>23031357</v>
      </c>
      <c r="N10" s="3">
        <v>26595763</v>
      </c>
      <c r="O10" s="14">
        <f t="shared" si="2"/>
        <v>28811991</v>
      </c>
      <c r="P10" s="3">
        <v>26369904</v>
      </c>
      <c r="Q10" s="3">
        <v>25685206</v>
      </c>
      <c r="R10" s="3">
        <v>22677052</v>
      </c>
      <c r="S10" s="3">
        <f>S7*(1-S38)</f>
        <v>25209564.001106311</v>
      </c>
      <c r="V10" s="3">
        <v>82955562</v>
      </c>
      <c r="W10" s="3">
        <v>101414290</v>
      </c>
      <c r="X10" s="3">
        <v>101486565</v>
      </c>
      <c r="Y10" s="3">
        <f>SUM(P10:S10)</f>
        <v>99941726.001106307</v>
      </c>
      <c r="Z10" s="3">
        <f>Z7*(1-Z38)</f>
        <v>119204029.02785811</v>
      </c>
      <c r="AA10" s="3">
        <f>AA7*(1-AA38)</f>
        <v>166367246.52714416</v>
      </c>
      <c r="AB10" s="3">
        <f>AB7*(1-AB38)</f>
        <v>234071753.68444133</v>
      </c>
      <c r="AC10" s="3">
        <f>AC7*(1-AC38)</f>
        <v>318633254.65345407</v>
      </c>
    </row>
    <row r="11" spans="1:29" x14ac:dyDescent="0.25">
      <c r="B11" s="12" t="s">
        <v>67</v>
      </c>
      <c r="C11" s="12"/>
      <c r="D11" s="12">
        <f>+D7-D10</f>
        <v>1524599</v>
      </c>
      <c r="E11" s="12">
        <f>+E7-E10</f>
        <v>1792137</v>
      </c>
      <c r="F11" s="12">
        <f>+F7-F10</f>
        <v>3125943</v>
      </c>
      <c r="G11" s="12">
        <f t="shared" si="0"/>
        <v>4908918</v>
      </c>
      <c r="H11" s="12">
        <f>+H7-H10</f>
        <v>3245561</v>
      </c>
      <c r="I11" s="12">
        <f>+I7-I10</f>
        <v>5888151</v>
      </c>
      <c r="J11" s="12">
        <f>+J7-J10</f>
        <v>6144744</v>
      </c>
      <c r="K11" s="12">
        <f t="shared" si="1"/>
        <v>7164425</v>
      </c>
      <c r="L11" s="12">
        <f>+L7-L10</f>
        <v>5888577</v>
      </c>
      <c r="M11" s="12">
        <f>+M7-M10</f>
        <v>6031667</v>
      </c>
      <c r="N11" s="12">
        <f>+N7-N10</f>
        <v>7271404</v>
      </c>
      <c r="O11" s="12">
        <f t="shared" si="2"/>
        <v>9314155</v>
      </c>
      <c r="P11" s="12">
        <f>+P7-P10</f>
        <v>7295510</v>
      </c>
      <c r="Q11" s="12">
        <f>+Q7-Q10</f>
        <v>7435680</v>
      </c>
      <c r="R11" s="12">
        <f>+R7-R10</f>
        <v>7769113</v>
      </c>
      <c r="S11" s="12">
        <f>+S7-S10</f>
        <v>7751454.2278936878</v>
      </c>
      <c r="V11" s="12">
        <f t="shared" ref="V11:AC11" si="3">+V7-V10</f>
        <v>11351597</v>
      </c>
      <c r="W11" s="12">
        <f t="shared" si="3"/>
        <v>22442881</v>
      </c>
      <c r="X11" s="12">
        <f t="shared" si="3"/>
        <v>28505803</v>
      </c>
      <c r="Y11" s="12">
        <f t="shared" si="3"/>
        <v>30251757.227893695</v>
      </c>
      <c r="Z11" s="12">
        <f t="shared" si="3"/>
        <v>37028150.846941888</v>
      </c>
      <c r="AA11" s="12">
        <f t="shared" si="3"/>
        <v>52357805.297575831</v>
      </c>
      <c r="AB11" s="12">
        <f t="shared" si="3"/>
        <v>74636784.460968494</v>
      </c>
      <c r="AC11" s="12">
        <f t="shared" si="3"/>
        <v>104297442.60575742</v>
      </c>
    </row>
    <row r="12" spans="1:29" x14ac:dyDescent="0.25">
      <c r="B12" s="12" t="s">
        <v>44</v>
      </c>
      <c r="C12" s="12"/>
      <c r="D12" s="12">
        <v>843636</v>
      </c>
      <c r="E12" s="12">
        <v>1017180</v>
      </c>
      <c r="F12" s="12">
        <v>903615</v>
      </c>
      <c r="G12" s="12">
        <f t="shared" si="0"/>
        <v>814291</v>
      </c>
      <c r="H12" s="12">
        <v>721105</v>
      </c>
      <c r="I12" s="12">
        <v>743018</v>
      </c>
      <c r="J12" s="12">
        <v>862958</v>
      </c>
      <c r="K12" s="12">
        <f t="shared" si="1"/>
        <v>1084637</v>
      </c>
      <c r="L12" s="12">
        <v>1281053</v>
      </c>
      <c r="M12" s="12">
        <v>1036648</v>
      </c>
      <c r="N12" s="12">
        <v>1149884</v>
      </c>
      <c r="O12" s="12">
        <f t="shared" si="2"/>
        <v>1376219</v>
      </c>
      <c r="P12" s="12">
        <v>1131593</v>
      </c>
      <c r="Q12" s="12">
        <v>1332451</v>
      </c>
      <c r="R12" s="12">
        <v>1314122</v>
      </c>
      <c r="S12" s="3">
        <f>AVERAGE(O12:R12)*1.03</f>
        <v>1327254.1375</v>
      </c>
      <c r="V12" s="12">
        <v>3578722</v>
      </c>
      <c r="W12" s="12">
        <v>3411718</v>
      </c>
      <c r="X12" s="12">
        <v>4843804</v>
      </c>
      <c r="Y12" s="12">
        <f>SUM(P12:S12)</f>
        <v>5105420.1375000002</v>
      </c>
      <c r="Z12" s="12">
        <f>Y12*1.05</f>
        <v>5360691.1443750001</v>
      </c>
      <c r="AA12" s="12">
        <f>Z12*1.3</f>
        <v>6968898.4876875002</v>
      </c>
      <c r="AB12" s="12">
        <f>AA12*1.3</f>
        <v>9059568.0339937508</v>
      </c>
      <c r="AC12" s="12">
        <f>AB12*1.4</f>
        <v>12683395.24759125</v>
      </c>
    </row>
    <row r="13" spans="1:29" x14ac:dyDescent="0.25">
      <c r="B13" s="3" t="s">
        <v>45</v>
      </c>
      <c r="D13" s="3">
        <v>3642728</v>
      </c>
      <c r="E13" s="3">
        <v>4184801</v>
      </c>
      <c r="F13" s="3">
        <v>4589141</v>
      </c>
      <c r="G13" s="14">
        <f t="shared" si="0"/>
        <v>3981892</v>
      </c>
      <c r="H13" s="3">
        <v>4501488</v>
      </c>
      <c r="I13" s="3">
        <v>5079833</v>
      </c>
      <c r="J13" s="3">
        <v>4870081</v>
      </c>
      <c r="K13" s="14">
        <f t="shared" si="1"/>
        <v>5553648</v>
      </c>
      <c r="L13" s="3">
        <v>5095856</v>
      </c>
      <c r="M13" s="3">
        <v>5127825</v>
      </c>
      <c r="N13" s="3">
        <v>5740132</v>
      </c>
      <c r="O13" s="14">
        <f t="shared" si="2"/>
        <v>5638835</v>
      </c>
      <c r="P13" s="3">
        <v>5079618</v>
      </c>
      <c r="Q13" s="3">
        <v>5116179</v>
      </c>
      <c r="R13" s="3">
        <v>5149436</v>
      </c>
      <c r="S13" s="3">
        <f>S7/6.34</f>
        <v>5198898.7742902208</v>
      </c>
      <c r="V13" s="3">
        <v>16398562</v>
      </c>
      <c r="W13" s="3">
        <v>20005050</v>
      </c>
      <c r="X13" s="3">
        <v>21602648</v>
      </c>
      <c r="Y13" s="3">
        <f>SUM(P13:S13)</f>
        <v>20544131.774290219</v>
      </c>
      <c r="Z13" s="3">
        <f>Z7/7.4</f>
        <v>21112456.739837836</v>
      </c>
      <c r="AA13" s="3">
        <f>Z13*1.14</f>
        <v>24068200.68341513</v>
      </c>
      <c r="AB13" s="3">
        <f>AA13*1.14</f>
        <v>27437748.779093247</v>
      </c>
      <c r="AC13" s="3">
        <f>AB13*1.19</f>
        <v>32650921.047120962</v>
      </c>
    </row>
    <row r="14" spans="1:29" x14ac:dyDescent="0.25">
      <c r="B14" s="3" t="s">
        <v>46</v>
      </c>
      <c r="D14" s="3">
        <v>171941</v>
      </c>
      <c r="E14" s="3">
        <v>179937</v>
      </c>
      <c r="F14" s="3">
        <v>175592</v>
      </c>
      <c r="G14" s="14">
        <f t="shared" si="0"/>
        <v>171415</v>
      </c>
      <c r="H14" s="3">
        <v>222832</v>
      </c>
      <c r="I14" s="3">
        <v>374892</v>
      </c>
      <c r="J14" s="3">
        <v>247138</v>
      </c>
      <c r="K14" s="14">
        <f t="shared" si="1"/>
        <v>273910</v>
      </c>
      <c r="L14" s="3">
        <v>302062</v>
      </c>
      <c r="M14" s="3">
        <v>225416</v>
      </c>
      <c r="N14" s="3">
        <v>531292</v>
      </c>
      <c r="O14" s="14">
        <f t="shared" si="2"/>
        <v>498655</v>
      </c>
      <c r="P14" s="3">
        <v>517536</v>
      </c>
      <c r="Q14" s="3">
        <v>366182</v>
      </c>
      <c r="R14" s="3">
        <v>299769</v>
      </c>
      <c r="S14" s="3">
        <f>AVERAGE(D14:R14)</f>
        <v>303904.59999999998</v>
      </c>
      <c r="V14" s="3">
        <v>698885</v>
      </c>
      <c r="W14" s="3">
        <v>1118772</v>
      </c>
      <c r="X14" s="3">
        <v>1557425</v>
      </c>
      <c r="Y14" s="3">
        <f>SUM(P14:S14)</f>
        <v>1487391.6</v>
      </c>
      <c r="Z14" s="14">
        <f>Y14*1.24</f>
        <v>1844365.584</v>
      </c>
      <c r="AA14" s="14">
        <f>Z14*1.8</f>
        <v>3319858.0512000001</v>
      </c>
      <c r="AB14" s="14">
        <f>AA14*1.8</f>
        <v>5975744.4921599999</v>
      </c>
      <c r="AC14" s="14">
        <f>AB14*1</f>
        <v>5975744.4921599999</v>
      </c>
    </row>
    <row r="15" spans="1:29" x14ac:dyDescent="0.25">
      <c r="B15" s="3" t="s">
        <v>47</v>
      </c>
      <c r="D15" s="3">
        <v>1138020</v>
      </c>
      <c r="E15" s="3">
        <v>1194883</v>
      </c>
      <c r="F15" s="3">
        <v>1385833</v>
      </c>
      <c r="G15" s="14">
        <f t="shared" si="0"/>
        <v>1554303</v>
      </c>
      <c r="H15" s="3">
        <v>1455612</v>
      </c>
      <c r="I15" s="3">
        <v>1408333</v>
      </c>
      <c r="J15" s="3">
        <v>1474763</v>
      </c>
      <c r="K15" s="14">
        <f t="shared" si="1"/>
        <v>1535165</v>
      </c>
      <c r="L15" s="3">
        <v>1517147</v>
      </c>
      <c r="M15" s="3">
        <v>1563699</v>
      </c>
      <c r="N15" s="3">
        <v>1623878</v>
      </c>
      <c r="O15" s="14">
        <f t="shared" si="2"/>
        <v>1657615</v>
      </c>
      <c r="P15" s="3">
        <v>1620181</v>
      </c>
      <c r="Q15" s="3">
        <v>1645083</v>
      </c>
      <c r="R15" s="3">
        <v>1750221</v>
      </c>
      <c r="S15" s="3">
        <f>R15*1.03</f>
        <v>1802727.6300000001</v>
      </c>
      <c r="V15" s="3">
        <v>5273039</v>
      </c>
      <c r="W15" s="3">
        <v>5873873</v>
      </c>
      <c r="X15" s="3">
        <v>6362339</v>
      </c>
      <c r="Y15" s="3">
        <f>SUM(P15:S15)</f>
        <v>6818212.6299999999</v>
      </c>
      <c r="Z15" s="14">
        <f>Y15*1.2</f>
        <v>8181855.1559999995</v>
      </c>
      <c r="AA15" s="14">
        <f>Z15*1.3</f>
        <v>10636411.7028</v>
      </c>
      <c r="AB15" s="14">
        <f>AA15*1.3</f>
        <v>13827335.213640001</v>
      </c>
      <c r="AC15" s="14">
        <f>AB15*1.4</f>
        <v>19358269.299095999</v>
      </c>
    </row>
    <row r="16" spans="1:29" x14ac:dyDescent="0.25">
      <c r="B16" s="3" t="s">
        <v>48</v>
      </c>
      <c r="D16" s="3">
        <v>330563</v>
      </c>
      <c r="E16" s="3">
        <v>331665</v>
      </c>
      <c r="F16" s="3">
        <v>339188</v>
      </c>
      <c r="G16" s="14">
        <f t="shared" si="0"/>
        <v>340309</v>
      </c>
      <c r="H16" s="3">
        <v>259874</v>
      </c>
      <c r="I16" s="3">
        <v>445630</v>
      </c>
      <c r="J16" s="3">
        <v>398678</v>
      </c>
      <c r="K16" s="14">
        <f t="shared" si="1"/>
        <v>680704</v>
      </c>
      <c r="L16" s="3">
        <v>667844</v>
      </c>
      <c r="M16" s="3">
        <v>692528</v>
      </c>
      <c r="N16" s="3">
        <v>708927</v>
      </c>
      <c r="O16" s="14">
        <f t="shared" si="2"/>
        <v>734985</v>
      </c>
      <c r="P16" s="3">
        <v>655684</v>
      </c>
      <c r="Q16" s="3">
        <v>680939</v>
      </c>
      <c r="R16" s="3">
        <v>595988</v>
      </c>
      <c r="S16" s="3">
        <f>AVERAGE(D16:R16)*1.17</f>
        <v>613353.46799999999</v>
      </c>
      <c r="V16" s="3">
        <v>1341725</v>
      </c>
      <c r="W16" s="3">
        <v>1784886</v>
      </c>
      <c r="X16" s="3">
        <v>2804284</v>
      </c>
      <c r="Y16" s="3">
        <f>SUM(P16:S16)</f>
        <v>2545964.4679999999</v>
      </c>
      <c r="Z16" s="14">
        <f>Y16*1.06</f>
        <v>2698722.3360799998</v>
      </c>
      <c r="AA16" s="14">
        <f>Z16*1.1</f>
        <v>2968594.5696880003</v>
      </c>
      <c r="AB16" s="14">
        <f>AA16*1.1</f>
        <v>3265454.0266568004</v>
      </c>
      <c r="AC16" s="14">
        <f>AB16*1.3</f>
        <v>4245090.2346538408</v>
      </c>
    </row>
    <row r="17" spans="2:29" x14ac:dyDescent="0.25">
      <c r="B17" s="3" t="s">
        <v>49</v>
      </c>
      <c r="D17" s="3">
        <f>+D15+D16</f>
        <v>1468583</v>
      </c>
      <c r="E17" s="3">
        <f>+E15+E16</f>
        <v>1526548</v>
      </c>
      <c r="F17" s="3">
        <f>+F15+F16</f>
        <v>1725021</v>
      </c>
      <c r="G17" s="14">
        <f t="shared" si="0"/>
        <v>1894612</v>
      </c>
      <c r="H17" s="3">
        <f>+H15+H16</f>
        <v>1715486</v>
      </c>
      <c r="I17" s="3">
        <f>+I15+I16</f>
        <v>1853963</v>
      </c>
      <c r="J17" s="3">
        <f>+J15+J16</f>
        <v>1873441</v>
      </c>
      <c r="K17" s="14">
        <f t="shared" si="1"/>
        <v>2215869</v>
      </c>
      <c r="L17" s="3">
        <f>+L15+L16</f>
        <v>2184991</v>
      </c>
      <c r="M17" s="3">
        <f>+M15+M16</f>
        <v>2256227</v>
      </c>
      <c r="N17" s="3">
        <f>+N15+N16</f>
        <v>2332805</v>
      </c>
      <c r="O17" s="14">
        <f t="shared" si="2"/>
        <v>2392600</v>
      </c>
      <c r="P17" s="3">
        <f>+P15+P16</f>
        <v>2275865</v>
      </c>
      <c r="Q17" s="3">
        <f>+Q15+Q16</f>
        <v>2326022</v>
      </c>
      <c r="R17" s="3">
        <f>+R15+R16</f>
        <v>2346209</v>
      </c>
      <c r="S17" s="3">
        <f>+S15+S16</f>
        <v>2416081.0980000002</v>
      </c>
      <c r="V17" s="3">
        <f t="shared" ref="V17:AC17" si="4">+V15+V16</f>
        <v>6614764</v>
      </c>
      <c r="W17" s="3">
        <f t="shared" si="4"/>
        <v>7658759</v>
      </c>
      <c r="X17" s="3">
        <f t="shared" si="4"/>
        <v>9166623</v>
      </c>
      <c r="Y17" s="3">
        <f t="shared" si="4"/>
        <v>9364177.0979999993</v>
      </c>
      <c r="Z17" s="3">
        <f t="shared" si="4"/>
        <v>10880577.492079999</v>
      </c>
      <c r="AA17" s="3">
        <f t="shared" si="4"/>
        <v>13605006.272488</v>
      </c>
      <c r="AB17" s="3">
        <f t="shared" si="4"/>
        <v>17092789.2402968</v>
      </c>
      <c r="AC17" s="3">
        <f t="shared" si="4"/>
        <v>23603359.533749841</v>
      </c>
    </row>
    <row r="18" spans="2:29" x14ac:dyDescent="0.25">
      <c r="B18" s="3" t="s">
        <v>50</v>
      </c>
      <c r="D18" s="3">
        <v>133124</v>
      </c>
      <c r="E18" s="3">
        <v>126467</v>
      </c>
      <c r="F18" s="3">
        <v>125727</v>
      </c>
      <c r="G18" s="14">
        <f t="shared" si="0"/>
        <v>375980</v>
      </c>
      <c r="H18" s="3">
        <v>245210</v>
      </c>
      <c r="I18" s="3">
        <v>270112</v>
      </c>
      <c r="J18" s="3">
        <v>261827</v>
      </c>
      <c r="K18" s="14">
        <f>W18-SUM(H18:J18)</f>
        <v>454524</v>
      </c>
      <c r="L18" s="3">
        <v>452699</v>
      </c>
      <c r="M18" s="3">
        <v>467619</v>
      </c>
      <c r="N18" s="3">
        <v>467619</v>
      </c>
      <c r="O18" s="14">
        <f>X18-SUM(L18:N18)</f>
        <v>455740</v>
      </c>
      <c r="P18" s="3">
        <v>466372</v>
      </c>
      <c r="Q18" s="3">
        <v>469512</v>
      </c>
      <c r="R18" s="3">
        <v>474553</v>
      </c>
      <c r="S18" s="3">
        <f>AVERAGE(K18:R18)*1.05</f>
        <v>486758.73750000005</v>
      </c>
      <c r="V18" s="3">
        <v>761298</v>
      </c>
      <c r="W18" s="3">
        <v>1231673</v>
      </c>
      <c r="X18" s="3">
        <v>1843677</v>
      </c>
      <c r="Y18" s="3">
        <f>SUM(P18:S18)</f>
        <v>1897195.7375</v>
      </c>
      <c r="Z18" s="14">
        <f>Y18*1.3</f>
        <v>2466354.4587500002</v>
      </c>
      <c r="AA18" s="14">
        <f>Z18*1.2</f>
        <v>2959625.3505000002</v>
      </c>
      <c r="AB18" s="14">
        <f>AA18*1.2</f>
        <v>3551550.4206000003</v>
      </c>
      <c r="AC18" s="14">
        <f>AB18*1.3</f>
        <v>4617015.5467800004</v>
      </c>
    </row>
    <row r="19" spans="2:29" x14ac:dyDescent="0.25">
      <c r="B19" s="3" t="s">
        <v>51</v>
      </c>
      <c r="D19" s="3">
        <f>+D18+D17</f>
        <v>1601707</v>
      </c>
      <c r="E19" s="3">
        <f>+E18+E17</f>
        <v>1653015</v>
      </c>
      <c r="F19" s="3">
        <f>+F18+F17</f>
        <v>1850748</v>
      </c>
      <c r="G19" s="14">
        <f t="shared" si="0"/>
        <v>2270592</v>
      </c>
      <c r="H19" s="3">
        <f>+H18+H17</f>
        <v>1960696</v>
      </c>
      <c r="I19" s="3">
        <f>+I18+I17</f>
        <v>2124075</v>
      </c>
      <c r="J19" s="3">
        <f>+J18+J17</f>
        <v>2135268</v>
      </c>
      <c r="K19" s="14">
        <f t="shared" si="1"/>
        <v>2670393</v>
      </c>
      <c r="L19" s="3">
        <f>+L18+L17</f>
        <v>2637690</v>
      </c>
      <c r="M19" s="3">
        <f>+M18+M17</f>
        <v>2723846</v>
      </c>
      <c r="N19" s="3">
        <f>+N18+N17</f>
        <v>2800424</v>
      </c>
      <c r="O19" s="14">
        <f t="shared" si="2"/>
        <v>2848340</v>
      </c>
      <c r="P19" s="3">
        <f>+P18+P17</f>
        <v>2742237</v>
      </c>
      <c r="Q19" s="3">
        <f>+Q18+Q17</f>
        <v>2795534</v>
      </c>
      <c r="R19" s="3">
        <f>+R18+R17</f>
        <v>2820762</v>
      </c>
      <c r="S19" s="3">
        <f>+S18+S17</f>
        <v>2902839.8355</v>
      </c>
      <c r="V19" s="3">
        <f t="shared" ref="V19:AC19" si="5">+V18+V17</f>
        <v>7376062</v>
      </c>
      <c r="W19" s="3">
        <f t="shared" si="5"/>
        <v>8890432</v>
      </c>
      <c r="X19" s="3">
        <f t="shared" si="5"/>
        <v>11010300</v>
      </c>
      <c r="Y19" s="3">
        <f t="shared" si="5"/>
        <v>11261372.8355</v>
      </c>
      <c r="Z19" s="3">
        <f t="shared" si="5"/>
        <v>13346931.95083</v>
      </c>
      <c r="AA19" s="3">
        <f t="shared" si="5"/>
        <v>16564631.622988001</v>
      </c>
      <c r="AB19" s="3">
        <f t="shared" si="5"/>
        <v>20644339.6608968</v>
      </c>
      <c r="AC19" s="3">
        <f t="shared" si="5"/>
        <v>28220375.080529843</v>
      </c>
    </row>
    <row r="20" spans="2:29" x14ac:dyDescent="0.25">
      <c r="B20" s="3" t="s">
        <v>52</v>
      </c>
      <c r="D20" s="3">
        <v>82524</v>
      </c>
      <c r="E20" s="3">
        <v>-25890</v>
      </c>
      <c r="F20" s="3">
        <v>-189108</v>
      </c>
      <c r="G20" s="14">
        <f t="shared" si="0"/>
        <v>365977</v>
      </c>
      <c r="H20" s="3">
        <v>1614040</v>
      </c>
      <c r="I20" s="3">
        <v>-683939</v>
      </c>
      <c r="J20" s="3">
        <v>124908</v>
      </c>
      <c r="K20" s="14">
        <f t="shared" si="1"/>
        <v>-329788</v>
      </c>
      <c r="L20" s="3">
        <v>572596</v>
      </c>
      <c r="M20" s="3">
        <v>-518778</v>
      </c>
      <c r="N20" s="3">
        <v>-518778</v>
      </c>
      <c r="O20" s="14">
        <f t="shared" si="2"/>
        <v>752262</v>
      </c>
      <c r="P20" s="3">
        <v>30082</v>
      </c>
      <c r="Q20" s="3">
        <v>201920</v>
      </c>
      <c r="R20" s="3">
        <v>433114</v>
      </c>
      <c r="S20" s="3">
        <f>AVERAGE(D20:R20)*5</f>
        <v>637047.33333333326</v>
      </c>
      <c r="V20" s="3">
        <v>233503</v>
      </c>
      <c r="W20" s="3">
        <v>725221</v>
      </c>
      <c r="X20" s="3">
        <v>287302</v>
      </c>
      <c r="Y20" s="3">
        <f>SUM(P20:S20)</f>
        <v>1302163.3333333333</v>
      </c>
      <c r="Z20" s="14">
        <f>AVERAGE(V20:Y20)</f>
        <v>637047.33333333326</v>
      </c>
      <c r="AA20" s="14">
        <f>AVERAGE(W20:Z20)*1.14</f>
        <v>841244.09499999974</v>
      </c>
      <c r="AB20" s="14">
        <f>AVERAGE(X20:AA20)*1.14</f>
        <v>874310.67707499978</v>
      </c>
      <c r="AC20" s="14">
        <f>AVERAGE(Y20:AB20)*1.14</f>
        <v>1041608.1500413748</v>
      </c>
    </row>
    <row r="21" spans="2:29" x14ac:dyDescent="0.25">
      <c r="B21" s="3" t="s">
        <v>53</v>
      </c>
      <c r="D21" s="3">
        <f>+D20+D19+D14+D13+D12</f>
        <v>6342536</v>
      </c>
      <c r="E21" s="3">
        <f>+E20+E19+E14+E13+E12</f>
        <v>7009043</v>
      </c>
      <c r="F21" s="3">
        <f>+F20+F19+F14+F13+F12</f>
        <v>7329988</v>
      </c>
      <c r="G21" s="14">
        <f t="shared" si="0"/>
        <v>7604167</v>
      </c>
      <c r="H21" s="3">
        <f>+H20+H19+H14+H13+H12</f>
        <v>9020161</v>
      </c>
      <c r="I21" s="3">
        <f>+I20+I19+I14+I13+I12</f>
        <v>7637879</v>
      </c>
      <c r="J21" s="3">
        <f>+J20+J19+J14+J13+J12</f>
        <v>8240353</v>
      </c>
      <c r="K21" s="14">
        <f t="shared" si="1"/>
        <v>9252800</v>
      </c>
      <c r="L21" s="3">
        <f>+L20+L19+L14+L13+L12</f>
        <v>9889257</v>
      </c>
      <c r="M21" s="3">
        <f>+M20+M19+M14+M13+M12</f>
        <v>8594957</v>
      </c>
      <c r="N21" s="3">
        <f>+N20+N19+N14+N13+N12</f>
        <v>9702954</v>
      </c>
      <c r="O21" s="14">
        <f t="shared" si="2"/>
        <v>11114311</v>
      </c>
      <c r="P21" s="3">
        <f>+P20+P19+P14+P13+P12</f>
        <v>9501066</v>
      </c>
      <c r="Q21" s="3">
        <f>+Q20+Q19+Q14+Q13+Q12</f>
        <v>9812266</v>
      </c>
      <c r="R21" s="3">
        <f>+R20+R19+R14+R13+R12</f>
        <v>10017203</v>
      </c>
      <c r="S21" s="3">
        <f>+S20+S19+S14+S13+S12</f>
        <v>10369944.680623554</v>
      </c>
      <c r="V21" s="3">
        <f t="shared" ref="V21:AC21" si="6">+V20+V19+V14+V13+V12</f>
        <v>28285734</v>
      </c>
      <c r="W21" s="3">
        <f t="shared" si="6"/>
        <v>34151193</v>
      </c>
      <c r="X21" s="3">
        <f t="shared" si="6"/>
        <v>39301479</v>
      </c>
      <c r="Y21" s="3">
        <f t="shared" si="6"/>
        <v>39700479.680623554</v>
      </c>
      <c r="Z21" s="3">
        <f t="shared" si="6"/>
        <v>42301492.752376169</v>
      </c>
      <c r="AA21" s="3">
        <f t="shared" si="6"/>
        <v>51762832.94029063</v>
      </c>
      <c r="AB21" s="3">
        <f t="shared" si="6"/>
        <v>63991711.6432188</v>
      </c>
      <c r="AC21" s="3">
        <f t="shared" si="6"/>
        <v>80572044.017443419</v>
      </c>
    </row>
    <row r="22" spans="2:29" x14ac:dyDescent="0.25">
      <c r="B22" s="12" t="s">
        <v>54</v>
      </c>
      <c r="C22" s="12"/>
      <c r="D22" s="12">
        <f>+D11-D21</f>
        <v>-4817937</v>
      </c>
      <c r="E22" s="12">
        <f>+E11-E21</f>
        <v>-5216906</v>
      </c>
      <c r="F22" s="12">
        <f>+F11-F21</f>
        <v>-4204045</v>
      </c>
      <c r="G22" s="12">
        <f t="shared" si="0"/>
        <v>-2695249</v>
      </c>
      <c r="H22" s="12">
        <f>+H11-H21</f>
        <v>-5774600</v>
      </c>
      <c r="I22" s="12">
        <f>+I11-I21</f>
        <v>-1749728</v>
      </c>
      <c r="J22" s="12">
        <f>+J11-J21</f>
        <v>-2095609</v>
      </c>
      <c r="K22" s="12">
        <f t="shared" si="1"/>
        <v>-2088375</v>
      </c>
      <c r="L22" s="12">
        <f>+L11-L21</f>
        <v>-4000680</v>
      </c>
      <c r="M22" s="12">
        <f>+M11-M21</f>
        <v>-2563290</v>
      </c>
      <c r="N22" s="12">
        <f>+N11-N21</f>
        <v>-2431550</v>
      </c>
      <c r="O22" s="12">
        <f t="shared" si="2"/>
        <v>-1800156</v>
      </c>
      <c r="P22" s="12">
        <f>+P11-P21</f>
        <v>-2205556</v>
      </c>
      <c r="Q22" s="12">
        <f>+Q11-Q21</f>
        <v>-2376586</v>
      </c>
      <c r="R22" s="12">
        <f>+R11-R21</f>
        <v>-2248090</v>
      </c>
      <c r="S22" s="12">
        <f>+S11-S21</f>
        <v>-2618490.4527298659</v>
      </c>
      <c r="V22" s="12">
        <f t="shared" ref="V22:AC22" si="7">+V11-V21</f>
        <v>-16934137</v>
      </c>
      <c r="W22" s="12">
        <f t="shared" si="7"/>
        <v>-11708312</v>
      </c>
      <c r="X22" s="12">
        <f t="shared" si="7"/>
        <v>-10795676</v>
      </c>
      <c r="Y22" s="12">
        <f t="shared" si="7"/>
        <v>-9448722.4527298585</v>
      </c>
      <c r="Z22" s="12">
        <f t="shared" si="7"/>
        <v>-5273341.9054342806</v>
      </c>
      <c r="AA22" s="12">
        <f t="shared" si="7"/>
        <v>594972.35728520155</v>
      </c>
      <c r="AB22" s="12">
        <f t="shared" si="7"/>
        <v>10645072.817749694</v>
      </c>
      <c r="AC22" s="12">
        <f t="shared" si="7"/>
        <v>23725398.588313997</v>
      </c>
    </row>
    <row r="23" spans="2:29" x14ac:dyDescent="0.25">
      <c r="B23" s="3" t="s">
        <v>55</v>
      </c>
      <c r="D23" s="3">
        <v>322081</v>
      </c>
      <c r="E23" s="3">
        <v>1601271</v>
      </c>
      <c r="F23" s="3">
        <v>0</v>
      </c>
      <c r="G23" s="14">
        <f t="shared" si="0"/>
        <v>0</v>
      </c>
      <c r="H23" s="3">
        <v>0</v>
      </c>
      <c r="I23" s="3">
        <v>0</v>
      </c>
      <c r="J23" s="3">
        <v>0</v>
      </c>
      <c r="K23" s="14">
        <f t="shared" si="1"/>
        <v>-131974</v>
      </c>
      <c r="L23" s="3">
        <v>18260</v>
      </c>
      <c r="M23" s="3">
        <v>0</v>
      </c>
      <c r="N23" s="3">
        <v>0</v>
      </c>
      <c r="O23" s="14">
        <f t="shared" si="2"/>
        <v>193</v>
      </c>
      <c r="P23" s="3">
        <v>0</v>
      </c>
      <c r="Q23" s="3">
        <v>0</v>
      </c>
      <c r="R23" s="3">
        <v>0</v>
      </c>
      <c r="S23" s="3">
        <v>0</v>
      </c>
      <c r="V23" s="3">
        <v>1923352</v>
      </c>
      <c r="W23" s="3">
        <v>-131974</v>
      </c>
      <c r="X23" s="3">
        <v>18453</v>
      </c>
      <c r="Y23" s="3">
        <f>SUM(P23:S23)</f>
        <v>0</v>
      </c>
      <c r="Z23" s="3">
        <f>AVERAGE(V23:Y23)*0.3</f>
        <v>135737.32499999998</v>
      </c>
      <c r="AA23" s="3">
        <v>0</v>
      </c>
      <c r="AB23" s="3">
        <v>0</v>
      </c>
      <c r="AC23" s="3">
        <v>0</v>
      </c>
    </row>
    <row r="24" spans="2:29" x14ac:dyDescent="0.25">
      <c r="B24" s="3" t="s">
        <v>56</v>
      </c>
      <c r="D24" s="3">
        <v>-188326</v>
      </c>
      <c r="E24" s="3">
        <v>-130862</v>
      </c>
      <c r="F24" s="3">
        <v>-157704</v>
      </c>
      <c r="G24" s="14">
        <f t="shared" si="0"/>
        <v>-132068</v>
      </c>
      <c r="H24" s="3">
        <v>-210059</v>
      </c>
      <c r="I24" s="3">
        <v>-240907</v>
      </c>
      <c r="J24" s="3">
        <v>-183415</v>
      </c>
      <c r="K24" s="14">
        <f t="shared" si="1"/>
        <v>-211730</v>
      </c>
      <c r="L24" s="3">
        <v>-167400</v>
      </c>
      <c r="M24" s="3">
        <v>-126513</v>
      </c>
      <c r="N24" s="3">
        <v>-126513</v>
      </c>
      <c r="O24" s="14">
        <f t="shared" si="2"/>
        <v>-62761</v>
      </c>
      <c r="P24" s="3">
        <v>-44385</v>
      </c>
      <c r="Q24" s="3">
        <v>-167523</v>
      </c>
      <c r="R24" s="3">
        <v>-72265</v>
      </c>
      <c r="S24" s="3">
        <f>AVERAGE(D24:R24)*0.75</f>
        <v>-111121.55000000002</v>
      </c>
      <c r="V24" s="3">
        <v>-608960</v>
      </c>
      <c r="W24" s="3">
        <v>-846111</v>
      </c>
      <c r="X24" s="3">
        <v>-483187</v>
      </c>
      <c r="Y24" s="3">
        <f>SUM(P24:S24)</f>
        <v>-395294.55000000005</v>
      </c>
      <c r="Z24" s="14">
        <f>AVERAGE(V24:Y24)*0.5</f>
        <v>-291694.06874999998</v>
      </c>
      <c r="AA24" s="14">
        <f>AVERAGE(W24:Z24)*0.4</f>
        <v>-201628.66187499999</v>
      </c>
      <c r="AB24" s="14">
        <f>AVERAGE(X24:AA24)*0.4</f>
        <v>-137180.4280625</v>
      </c>
      <c r="AC24" s="14">
        <f>AVERAGE(Y24:AB24)*0.4</f>
        <v>-102579.77086875</v>
      </c>
    </row>
    <row r="25" spans="2:29" x14ac:dyDescent="0.25">
      <c r="B25" s="3" t="s">
        <v>57</v>
      </c>
      <c r="D25" s="3">
        <v>-113351</v>
      </c>
      <c r="E25" s="3">
        <v>-150816</v>
      </c>
      <c r="F25" s="3">
        <v>-161868</v>
      </c>
      <c r="G25" s="14">
        <f t="shared" si="0"/>
        <v>-184850</v>
      </c>
      <c r="H25" s="3">
        <v>-152041</v>
      </c>
      <c r="I25" s="3">
        <v>-152087</v>
      </c>
      <c r="J25" s="3">
        <v>-156952</v>
      </c>
      <c r="K25" s="14">
        <f t="shared" si="1"/>
        <v>-165595</v>
      </c>
      <c r="L25" s="3">
        <v>-159067</v>
      </c>
      <c r="M25" s="3">
        <v>-152785</v>
      </c>
      <c r="N25" s="3">
        <v>-152785</v>
      </c>
      <c r="O25" s="14">
        <f t="shared" si="2"/>
        <v>-179125</v>
      </c>
      <c r="P25" s="3">
        <v>-243762</v>
      </c>
      <c r="Q25" s="3">
        <v>-125011</v>
      </c>
      <c r="R25" s="3">
        <v>-209656</v>
      </c>
      <c r="S25" s="3">
        <f>AVERAGE(D25:R25)*0.95</f>
        <v>-155784.22999999998</v>
      </c>
      <c r="V25" s="3">
        <v>-610885</v>
      </c>
      <c r="W25" s="3">
        <v>-626675</v>
      </c>
      <c r="X25" s="3">
        <v>-643762</v>
      </c>
      <c r="Y25" s="3">
        <f>SUM(P25:S25)</f>
        <v>-734213.23</v>
      </c>
      <c r="Z25" s="14">
        <f>AVERAGE(V25:Y25)*1.2</f>
        <v>-784660.56900000002</v>
      </c>
      <c r="AA25" s="14">
        <f>AVERAGE(W25:Z25)*1.1</f>
        <v>-767060.46972500009</v>
      </c>
      <c r="AB25" s="14">
        <f>AVERAGE(X25:AA25)*1.1</f>
        <v>-805666.47389937518</v>
      </c>
      <c r="AC25" s="14">
        <f>AVERAGE(Y25:AB25)*1.1</f>
        <v>-850190.20422170334</v>
      </c>
    </row>
    <row r="26" spans="2:29" x14ac:dyDescent="0.25">
      <c r="B26" s="3" t="s">
        <v>58</v>
      </c>
      <c r="D26" s="3">
        <f>81241-57741</f>
        <v>23500</v>
      </c>
      <c r="E26" s="3">
        <f>107422-173734</f>
        <v>-66312</v>
      </c>
      <c r="F26" s="3">
        <f>45013-171807</f>
        <v>-126794</v>
      </c>
      <c r="G26" s="14">
        <f t="shared" si="0"/>
        <v>-116435</v>
      </c>
      <c r="H26" s="3">
        <f>306447-311430</f>
        <v>-4983</v>
      </c>
      <c r="I26" s="3">
        <f>451208-334066</f>
        <v>117142</v>
      </c>
      <c r="J26" s="3">
        <f>424072-414384</f>
        <v>9688</v>
      </c>
      <c r="K26" s="14">
        <f t="shared" si="1"/>
        <v>354401</v>
      </c>
      <c r="L26" s="3">
        <v>356380</v>
      </c>
      <c r="M26" s="3">
        <v>297330</v>
      </c>
      <c r="N26" s="3">
        <v>297330</v>
      </c>
      <c r="O26" s="14">
        <f>X26-SUM(L26:N26)</f>
        <v>254703</v>
      </c>
      <c r="P26" s="3">
        <v>249305</v>
      </c>
      <c r="Q26" s="3">
        <v>174353</v>
      </c>
      <c r="R26" s="3">
        <v>143459</v>
      </c>
      <c r="S26" s="3">
        <f>AVERAGE(D26:R26)</f>
        <v>130871.13333333333</v>
      </c>
      <c r="V26" s="3">
        <f>458244-744285</f>
        <v>-286041</v>
      </c>
      <c r="W26" s="3">
        <f>1536128-1059880</f>
        <v>476248</v>
      </c>
      <c r="X26" s="3">
        <v>1205743</v>
      </c>
      <c r="Y26" s="3">
        <f>SUM(P26:S26)</f>
        <v>697988.1333333333</v>
      </c>
      <c r="Z26" s="14">
        <f>AVERAGE(V26:Y26)*1.7</f>
        <v>889923.70666666667</v>
      </c>
      <c r="AA26" s="14">
        <f>AVERAGE(W26:Z26)*1.4</f>
        <v>1144465.9939999999</v>
      </c>
      <c r="AB26" s="14">
        <f>AVERAGE(X26:AA26)*1.4</f>
        <v>1378342.2918999998</v>
      </c>
      <c r="AC26" s="14">
        <f>AVERAGE(Y26:AB26)*1.4</f>
        <v>1438752.0440649998</v>
      </c>
    </row>
    <row r="27" spans="2:29" x14ac:dyDescent="0.25">
      <c r="B27" s="3" t="s">
        <v>68</v>
      </c>
      <c r="D27" s="3">
        <f>SUM(D23:D26)</f>
        <v>43904</v>
      </c>
      <c r="E27" s="3">
        <f>SUM(E23:E26)</f>
        <v>1253281</v>
      </c>
      <c r="F27" s="3">
        <f>SUM(F23:F26)</f>
        <v>-446366</v>
      </c>
      <c r="G27" s="14">
        <f t="shared" si="0"/>
        <v>-433353</v>
      </c>
      <c r="H27" s="3">
        <f>SUM(H23:H26)</f>
        <v>-367083</v>
      </c>
      <c r="I27" s="3">
        <f>SUM(I23:I26)</f>
        <v>-275852</v>
      </c>
      <c r="J27" s="3">
        <f>SUM(J23:J26)</f>
        <v>-330679</v>
      </c>
      <c r="K27" s="14">
        <f t="shared" si="1"/>
        <v>-154898</v>
      </c>
      <c r="L27" s="3">
        <f>SUM(L23:L26)</f>
        <v>48173</v>
      </c>
      <c r="M27" s="3">
        <f>SUM(M23:M26)</f>
        <v>18032</v>
      </c>
      <c r="N27" s="3">
        <f>SUM(N23:N26)</f>
        <v>18032</v>
      </c>
      <c r="O27" s="14">
        <f t="shared" si="2"/>
        <v>13010</v>
      </c>
      <c r="P27" s="3">
        <f>SUM(P23:P26)</f>
        <v>-38842</v>
      </c>
      <c r="Q27" s="3">
        <f>SUM(Q23:Q26)</f>
        <v>-118181</v>
      </c>
      <c r="R27" s="3">
        <f>SUM(R23:R26)</f>
        <v>-138462</v>
      </c>
      <c r="S27" s="3">
        <f>SUM(S23:S26)</f>
        <v>-136034.6466666667</v>
      </c>
      <c r="V27" s="3">
        <f t="shared" ref="V27:AC27" si="8">SUM(V23:V26)</f>
        <v>417466</v>
      </c>
      <c r="W27" s="3">
        <f t="shared" si="8"/>
        <v>-1128512</v>
      </c>
      <c r="X27" s="3">
        <f t="shared" si="8"/>
        <v>97247</v>
      </c>
      <c r="Y27" s="3">
        <f t="shared" si="8"/>
        <v>-431519.64666666673</v>
      </c>
      <c r="Z27" s="3">
        <f t="shared" si="8"/>
        <v>-50693.606083333376</v>
      </c>
      <c r="AA27" s="3">
        <f t="shared" si="8"/>
        <v>175776.86239999987</v>
      </c>
      <c r="AB27" s="3">
        <f t="shared" si="8"/>
        <v>435495.38993812469</v>
      </c>
      <c r="AC27" s="3">
        <f t="shared" si="8"/>
        <v>485982.06897454639</v>
      </c>
    </row>
    <row r="28" spans="2:29" x14ac:dyDescent="0.25">
      <c r="B28" s="3" t="s">
        <v>59</v>
      </c>
      <c r="D28" s="3">
        <f>+D22+D27</f>
        <v>-4774033</v>
      </c>
      <c r="E28" s="3">
        <f>+E22+E27</f>
        <v>-3963625</v>
      </c>
      <c r="F28" s="3">
        <f>+F22+F27</f>
        <v>-4650411</v>
      </c>
      <c r="G28" s="14">
        <f t="shared" si="0"/>
        <v>-3128602</v>
      </c>
      <c r="H28" s="3">
        <f>+H22+H27</f>
        <v>-6141683</v>
      </c>
      <c r="I28" s="3">
        <f>+I22+I27</f>
        <v>-2025580</v>
      </c>
      <c r="J28" s="3">
        <f>+J22+J27</f>
        <v>-2426288</v>
      </c>
      <c r="K28" s="14">
        <f t="shared" si="1"/>
        <v>-2243273</v>
      </c>
      <c r="L28" s="3">
        <f>+L22+L27</f>
        <v>-3952507</v>
      </c>
      <c r="M28" s="3">
        <f>+M22+M27</f>
        <v>-2545258</v>
      </c>
      <c r="N28" s="3">
        <f>+N22+N27</f>
        <v>-2413518</v>
      </c>
      <c r="O28" s="14">
        <f t="shared" si="2"/>
        <v>-1787146</v>
      </c>
      <c r="P28" s="3">
        <f>+P22+P27</f>
        <v>-2244398</v>
      </c>
      <c r="Q28" s="3">
        <f>+Q22+Q27</f>
        <v>-2494767</v>
      </c>
      <c r="R28" s="3">
        <f>+R22+R27</f>
        <v>-2386552</v>
      </c>
      <c r="S28" s="3">
        <f>+S22+S27</f>
        <v>-2754525.0993965324</v>
      </c>
      <c r="V28" s="3">
        <f t="shared" ref="V28:AC28" si="9">+V22+V27</f>
        <v>-16516671</v>
      </c>
      <c r="W28" s="3">
        <f t="shared" si="9"/>
        <v>-12836824</v>
      </c>
      <c r="X28" s="3">
        <f t="shared" si="9"/>
        <v>-10698429</v>
      </c>
      <c r="Y28" s="3">
        <f t="shared" si="9"/>
        <v>-9880242.099396525</v>
      </c>
      <c r="Z28" s="3">
        <f t="shared" si="9"/>
        <v>-5324035.5115176141</v>
      </c>
      <c r="AA28" s="3">
        <f t="shared" si="9"/>
        <v>770749.21968520142</v>
      </c>
      <c r="AB28" s="3">
        <f t="shared" si="9"/>
        <v>11080568.207687819</v>
      </c>
      <c r="AC28" s="3">
        <f t="shared" si="9"/>
        <v>24211380.657288544</v>
      </c>
    </row>
    <row r="29" spans="2:29" x14ac:dyDescent="0.25">
      <c r="B29" s="3" t="s">
        <v>69</v>
      </c>
      <c r="D29" s="3">
        <f>-79366+122768</f>
        <v>43402</v>
      </c>
      <c r="E29" s="3">
        <f>76421+302024</f>
        <v>378445</v>
      </c>
      <c r="F29" s="3">
        <f>4529+129774</f>
        <v>134303</v>
      </c>
      <c r="G29" s="14">
        <f>V29-SUM(D29:F29)</f>
        <v>419927</v>
      </c>
      <c r="H29" s="3">
        <f>-46408+264019</f>
        <v>217611</v>
      </c>
      <c r="I29" s="3">
        <f>-40161-357208</f>
        <v>-397369</v>
      </c>
      <c r="J29" s="3">
        <f>5668-26984</f>
        <v>-21316</v>
      </c>
      <c r="K29" s="14">
        <f>W29-SUM(H29:J29)</f>
        <v>239724</v>
      </c>
      <c r="L29" s="3">
        <f>130306+96123</f>
        <v>226429</v>
      </c>
      <c r="M29" s="3">
        <f>-136310+253180</f>
        <v>116870</v>
      </c>
      <c r="N29" s="3">
        <f>-136310+253180</f>
        <v>116870</v>
      </c>
      <c r="O29" s="14">
        <f>X29-SUM(L29:N29)</f>
        <v>-1426746</v>
      </c>
      <c r="P29" s="3">
        <f>-508094+33480</f>
        <v>-474614</v>
      </c>
      <c r="Q29" s="3">
        <f>-508357+108202</f>
        <v>-400155</v>
      </c>
      <c r="R29" s="3">
        <f>-107293+746131</f>
        <v>638838</v>
      </c>
      <c r="S29" s="3">
        <f>AVERAGE(D29:R29)*5</f>
        <v>-62593.666666666672</v>
      </c>
      <c r="V29" s="3">
        <f>-40540+1016617</f>
        <v>976077</v>
      </c>
      <c r="W29" s="3">
        <f>-80901+119551</f>
        <v>38650</v>
      </c>
      <c r="X29" s="3">
        <f>-5598-960979</f>
        <v>-966577</v>
      </c>
      <c r="Y29" s="3">
        <f>SUM(P29:S29)</f>
        <v>-298524.66666666669</v>
      </c>
      <c r="Z29" s="14">
        <f>(AVERAGE(V29:Y29))*1.38</f>
        <v>-86379.26</v>
      </c>
      <c r="AA29" s="14">
        <f>AA28*0.075</f>
        <v>57806.191476390108</v>
      </c>
      <c r="AB29" s="14">
        <f>AB28*0.075</f>
        <v>831042.61557658645</v>
      </c>
      <c r="AC29" s="14">
        <f>AC28*0.075</f>
        <v>1815853.5492966408</v>
      </c>
    </row>
    <row r="30" spans="2:29" x14ac:dyDescent="0.25">
      <c r="B30" s="3" t="s">
        <v>90</v>
      </c>
      <c r="D30" s="3">
        <f>+D28+D29</f>
        <v>-4730631</v>
      </c>
      <c r="E30" s="3">
        <f>+E28+E29</f>
        <v>-3585180</v>
      </c>
      <c r="F30" s="3">
        <f>+F28+F29</f>
        <v>-4516108</v>
      </c>
      <c r="G30" s="14">
        <f t="shared" si="0"/>
        <v>-2708675</v>
      </c>
      <c r="H30" s="3">
        <f>+H28+H29</f>
        <v>-5924072</v>
      </c>
      <c r="I30" s="3">
        <f>+I28+I29</f>
        <v>-2422949</v>
      </c>
      <c r="J30" s="3">
        <f>+J28+J29</f>
        <v>-2447604</v>
      </c>
      <c r="K30" s="14">
        <f t="shared" si="1"/>
        <v>-2003549</v>
      </c>
      <c r="L30" s="3">
        <f>+L28+L29</f>
        <v>-3726078</v>
      </c>
      <c r="M30" s="3">
        <f>+M28+M29</f>
        <v>-2428388</v>
      </c>
      <c r="N30" s="3">
        <f>+N28+N29</f>
        <v>-2296648</v>
      </c>
      <c r="O30" s="14">
        <f t="shared" si="2"/>
        <v>-3213892</v>
      </c>
      <c r="P30" s="3">
        <f>+P28+P29</f>
        <v>-2719012</v>
      </c>
      <c r="Q30" s="3">
        <f>+Q28+Q29</f>
        <v>-2894922</v>
      </c>
      <c r="R30" s="3">
        <f>+R28+R29</f>
        <v>-1747714</v>
      </c>
      <c r="S30" s="3">
        <f>+S28+S29</f>
        <v>-2817118.7660631989</v>
      </c>
      <c r="V30" s="3">
        <f>+V28+V29</f>
        <v>-15540594</v>
      </c>
      <c r="W30" s="3">
        <f>+W28+W29</f>
        <v>-12798174</v>
      </c>
      <c r="X30" s="3">
        <f>+X28+X29</f>
        <v>-11665006</v>
      </c>
      <c r="Y30" s="3">
        <f>+Y28+Y29</f>
        <v>-10178766.766063191</v>
      </c>
      <c r="Z30" s="3">
        <f>+Z28+Z29</f>
        <v>-5410414.7715176139</v>
      </c>
      <c r="AA30" s="3">
        <f>+AA28-AA29</f>
        <v>712943.0282088113</v>
      </c>
      <c r="AB30" s="3">
        <f>+AB28-AB29</f>
        <v>10249525.592111234</v>
      </c>
      <c r="AC30" s="3">
        <f>+AC28-AC29</f>
        <v>22395527.107991904</v>
      </c>
    </row>
    <row r="31" spans="2:29" x14ac:dyDescent="0.25">
      <c r="B31" s="3" t="s">
        <v>89</v>
      </c>
      <c r="D31" s="3">
        <v>-9842</v>
      </c>
      <c r="E31" s="3">
        <v>-47150</v>
      </c>
      <c r="F31" s="3">
        <v>-17844</v>
      </c>
      <c r="G31" s="14">
        <f t="shared" si="0"/>
        <v>-1267</v>
      </c>
      <c r="H31" s="3">
        <v>-162801</v>
      </c>
      <c r="I31" s="3">
        <v>63089</v>
      </c>
      <c r="J31" s="3">
        <v>16870</v>
      </c>
      <c r="K31" s="14">
        <f t="shared" si="1"/>
        <v>105324</v>
      </c>
      <c r="L31" s="3">
        <v>-94635</v>
      </c>
      <c r="M31" s="3">
        <v>200988</v>
      </c>
      <c r="N31" s="3">
        <v>200988</v>
      </c>
      <c r="O31" s="14">
        <f t="shared" si="2"/>
        <v>-504793</v>
      </c>
      <c r="P31" s="3">
        <v>196055</v>
      </c>
      <c r="Q31" s="3">
        <v>-784949</v>
      </c>
      <c r="R31" s="3">
        <v>165871</v>
      </c>
      <c r="S31" s="3">
        <f>AVERAGE(D31:R31)</f>
        <v>-44939.73333333333</v>
      </c>
      <c r="V31" s="3">
        <v>-76103</v>
      </c>
      <c r="W31" s="3">
        <v>22482</v>
      </c>
      <c r="X31" s="3">
        <v>-197452</v>
      </c>
      <c r="Y31" s="3">
        <f>SUM(P31:S31)</f>
        <v>-467962.73333333334</v>
      </c>
      <c r="Z31" s="12">
        <f>Y31*1.1</f>
        <v>-514759.00666666671</v>
      </c>
      <c r="AA31" s="12">
        <f>Z31*0.65</f>
        <v>-334593.35433333338</v>
      </c>
      <c r="AB31" s="12">
        <f>AA31*0.65</f>
        <v>-217485.68031666669</v>
      </c>
      <c r="AC31" s="12">
        <f>AB31*0.65</f>
        <v>-141365.69220583336</v>
      </c>
    </row>
    <row r="32" spans="2:29" x14ac:dyDescent="0.25">
      <c r="B32" s="3" t="s">
        <v>61</v>
      </c>
      <c r="D32" s="3">
        <v>105421</v>
      </c>
      <c r="E32" s="3">
        <v>-48137</v>
      </c>
      <c r="F32" s="3">
        <v>1459365</v>
      </c>
      <c r="G32" s="14">
        <f t="shared" si="0"/>
        <v>-947005</v>
      </c>
      <c r="H32" s="3">
        <v>-44244</v>
      </c>
      <c r="I32" s="3">
        <v>-113090</v>
      </c>
      <c r="J32" s="3">
        <v>-49422</v>
      </c>
      <c r="K32" s="14">
        <f t="shared" si="1"/>
        <v>-41785</v>
      </c>
      <c r="L32" s="3">
        <v>31303</v>
      </c>
      <c r="M32" s="3">
        <v>-253907</v>
      </c>
      <c r="N32" s="3">
        <v>-253907</v>
      </c>
      <c r="O32" s="14">
        <f t="shared" si="2"/>
        <v>482546</v>
      </c>
      <c r="P32" s="3">
        <v>-147563</v>
      </c>
      <c r="Q32" s="3">
        <v>34021</v>
      </c>
      <c r="R32" s="3">
        <v>22700</v>
      </c>
      <c r="S32" s="3">
        <f>AVERAGE(D32:R32)</f>
        <v>15753.066666666668</v>
      </c>
      <c r="V32" s="3">
        <v>569644</v>
      </c>
      <c r="W32" s="3">
        <v>-248541</v>
      </c>
      <c r="X32" s="3">
        <v>6035</v>
      </c>
      <c r="Y32" s="3">
        <f>SUM(P32:S32)</f>
        <v>-75088.933333333334</v>
      </c>
      <c r="Z32" s="12">
        <f>Y32*1.1</f>
        <v>-82597.826666666675</v>
      </c>
      <c r="AA32" s="12">
        <f>Z32*1.1</f>
        <v>-90857.609333333356</v>
      </c>
      <c r="AB32" s="12">
        <f>AA32*1.07</f>
        <v>-97217.641986666698</v>
      </c>
      <c r="AC32" s="12">
        <f>AB32*1.03</f>
        <v>-100134.17124626671</v>
      </c>
    </row>
    <row r="33" spans="1:30" x14ac:dyDescent="0.25">
      <c r="B33" s="12" t="s">
        <v>60</v>
      </c>
      <c r="C33" s="12"/>
      <c r="D33" s="12">
        <f>+D30+D31+D32</f>
        <v>-4635052</v>
      </c>
      <c r="E33" s="12">
        <f>+E30+E31+E32</f>
        <v>-3680467</v>
      </c>
      <c r="F33" s="12">
        <f>+F30+F31+F32</f>
        <v>-3074587</v>
      </c>
      <c r="G33" s="12">
        <f t="shared" si="0"/>
        <v>-3656947</v>
      </c>
      <c r="H33" s="12">
        <f>+H30+H31+H32</f>
        <v>-6131117</v>
      </c>
      <c r="I33" s="12">
        <f>+I30+I31+I32</f>
        <v>-2472950</v>
      </c>
      <c r="J33" s="12">
        <f>+J30+J31+J32</f>
        <v>-2480156</v>
      </c>
      <c r="K33" s="12">
        <f t="shared" si="1"/>
        <v>-1940010</v>
      </c>
      <c r="L33" s="12">
        <f>+L30+L31+L32</f>
        <v>-3789410</v>
      </c>
      <c r="M33" s="12">
        <f>+M30+M31+M32</f>
        <v>-2481307</v>
      </c>
      <c r="N33" s="12">
        <f>+N30+N31+N32</f>
        <v>-2349567</v>
      </c>
      <c r="O33" s="12">
        <f t="shared" si="2"/>
        <v>-3236139</v>
      </c>
      <c r="P33" s="12">
        <f>+P30+P31+P32</f>
        <v>-2670520</v>
      </c>
      <c r="Q33" s="12">
        <f>+Q30+Q31+Q32</f>
        <v>-3645850</v>
      </c>
      <c r="R33" s="12">
        <f>+R30+R31+R32</f>
        <v>-1559143</v>
      </c>
      <c r="S33" s="12">
        <f>+S30+S31+S32</f>
        <v>-2846305.4327298654</v>
      </c>
      <c r="V33" s="12">
        <f t="shared" ref="V33:AC33" si="10">+V30+V31+V32</f>
        <v>-15047053</v>
      </c>
      <c r="W33" s="12">
        <f t="shared" si="10"/>
        <v>-13024233</v>
      </c>
      <c r="X33" s="12">
        <f t="shared" si="10"/>
        <v>-11856423</v>
      </c>
      <c r="Y33" s="12">
        <f t="shared" si="10"/>
        <v>-10721818.432729857</v>
      </c>
      <c r="Z33" s="12">
        <f t="shared" si="10"/>
        <v>-6007771.6048509479</v>
      </c>
      <c r="AA33" s="12">
        <f t="shared" si="10"/>
        <v>287492.06454214454</v>
      </c>
      <c r="AB33" s="12">
        <f t="shared" si="10"/>
        <v>9934822.2698079012</v>
      </c>
      <c r="AC33" s="12">
        <f t="shared" si="10"/>
        <v>22154027.244539801</v>
      </c>
    </row>
    <row r="34" spans="1:30" x14ac:dyDescent="0.25">
      <c r="K34" s="12"/>
    </row>
    <row r="35" spans="1:30" x14ac:dyDescent="0.25">
      <c r="B35" s="3" t="s">
        <v>70</v>
      </c>
      <c r="D35" s="3">
        <v>157947054</v>
      </c>
      <c r="E35" s="3">
        <v>158194206</v>
      </c>
      <c r="F35" s="3">
        <v>160977348</v>
      </c>
      <c r="G35" s="3">
        <f>V35</f>
        <v>160559612</v>
      </c>
      <c r="H35" s="3">
        <v>165442612</v>
      </c>
      <c r="I35" s="3">
        <v>165590199</v>
      </c>
      <c r="J35" s="3">
        <v>166047112</v>
      </c>
      <c r="K35" s="14">
        <f>W35</f>
        <v>166602592</v>
      </c>
      <c r="L35" s="3">
        <v>169378431</v>
      </c>
      <c r="M35" s="3">
        <v>169433866</v>
      </c>
      <c r="N35" s="3">
        <v>169433866</v>
      </c>
      <c r="O35" s="3">
        <f>W35</f>
        <v>166602592</v>
      </c>
      <c r="P35" s="3">
        <v>170608431</v>
      </c>
      <c r="Q35" s="3">
        <v>170608431</v>
      </c>
      <c r="R35" s="3">
        <v>170608431</v>
      </c>
      <c r="S35" s="3">
        <f>R35</f>
        <v>170608431</v>
      </c>
      <c r="V35" s="3">
        <v>160559612</v>
      </c>
      <c r="W35" s="3">
        <v>166602592</v>
      </c>
      <c r="X35" s="3">
        <v>169910256</v>
      </c>
      <c r="Y35" s="3">
        <f>AVERAGE(P35:S35)</f>
        <v>170608431</v>
      </c>
      <c r="Z35" s="3">
        <f>Y35</f>
        <v>170608431</v>
      </c>
      <c r="AA35" s="3">
        <f>Z35</f>
        <v>170608431</v>
      </c>
      <c r="AB35" s="3">
        <f>AA35</f>
        <v>170608431</v>
      </c>
      <c r="AC35" s="3">
        <f>AB35</f>
        <v>170608431</v>
      </c>
    </row>
    <row r="36" spans="1:30" x14ac:dyDescent="0.25">
      <c r="B36" s="3" t="s">
        <v>71</v>
      </c>
      <c r="D36" s="3">
        <f t="shared" ref="D36:Q36" si="11">+D33/D35</f>
        <v>-2.9345605901582691E-2</v>
      </c>
      <c r="E36" s="3">
        <f t="shared" si="11"/>
        <v>-2.3265498105537442E-2</v>
      </c>
      <c r="F36" s="3">
        <f t="shared" si="11"/>
        <v>-1.9099500881328967E-2</v>
      </c>
      <c r="G36" s="3">
        <f t="shared" si="11"/>
        <v>-2.2776257082634206E-2</v>
      </c>
      <c r="H36" s="3">
        <f t="shared" si="11"/>
        <v>-3.7058874529858121E-2</v>
      </c>
      <c r="I36" s="3">
        <f t="shared" si="11"/>
        <v>-1.4934156821684839E-2</v>
      </c>
      <c r="J36" s="3">
        <f t="shared" si="11"/>
        <v>-1.4936459719937798E-2</v>
      </c>
      <c r="K36" s="3">
        <f t="shared" si="11"/>
        <v>-1.164453671885249E-2</v>
      </c>
      <c r="L36" s="3">
        <f t="shared" si="11"/>
        <v>-2.2372447174221374E-2</v>
      </c>
      <c r="M36" s="3">
        <f t="shared" si="11"/>
        <v>-1.464469328699612E-2</v>
      </c>
      <c r="N36" s="3">
        <f t="shared" si="11"/>
        <v>-1.386716277842589E-2</v>
      </c>
      <c r="O36" s="3">
        <f t="shared" si="11"/>
        <v>-1.9424301633914554E-2</v>
      </c>
      <c r="P36" s="3">
        <f t="shared" si="11"/>
        <v>-1.5652919286269034E-2</v>
      </c>
      <c r="Q36" s="3">
        <f t="shared" si="11"/>
        <v>-2.1369694209309033E-2</v>
      </c>
      <c r="R36" s="3">
        <f>+R33/R35</f>
        <v>-9.138721872426106E-3</v>
      </c>
      <c r="S36" s="3">
        <f>+S33/S35</f>
        <v>-1.6683263635018514E-2</v>
      </c>
      <c r="V36" s="3">
        <f t="shared" ref="V36:AC36" si="12">+V33/V35</f>
        <v>-9.3716301456931772E-2</v>
      </c>
      <c r="W36" s="3">
        <f t="shared" si="12"/>
        <v>-7.8175452396322856E-2</v>
      </c>
      <c r="X36" s="3">
        <f t="shared" si="12"/>
        <v>-6.9780502243490236E-2</v>
      </c>
      <c r="Y36" s="3">
        <f t="shared" si="12"/>
        <v>-6.2844599003022639E-2</v>
      </c>
      <c r="Z36" s="3">
        <f t="shared" si="12"/>
        <v>-3.5213802563197755E-2</v>
      </c>
      <c r="AA36" s="3">
        <f t="shared" si="12"/>
        <v>1.6850988128608048E-3</v>
      </c>
      <c r="AB36" s="3">
        <f t="shared" si="12"/>
        <v>5.8231719332838251E-2</v>
      </c>
      <c r="AC36" s="3">
        <f t="shared" si="12"/>
        <v>0.12985306244648484</v>
      </c>
    </row>
    <row r="37" spans="1:30" x14ac:dyDescent="0.25">
      <c r="B37" s="3" t="s">
        <v>188</v>
      </c>
      <c r="D37" s="13">
        <f t="shared" ref="D37:R37" si="13">D9/D7</f>
        <v>5.2524475187802434E-2</v>
      </c>
      <c r="E37" s="13">
        <f t="shared" si="13"/>
        <v>1.9976026364297676E-2</v>
      </c>
      <c r="F37" s="13">
        <f t="shared" si="13"/>
        <v>1.4395663002631417E-2</v>
      </c>
      <c r="G37" s="13">
        <f t="shared" si="13"/>
        <v>7.0858425438100831E-3</v>
      </c>
      <c r="H37" s="13">
        <f t="shared" si="13"/>
        <v>3.1344137203582847E-3</v>
      </c>
      <c r="I37" s="13">
        <f t="shared" si="13"/>
        <v>9.700608873939082E-3</v>
      </c>
      <c r="J37" s="13">
        <f t="shared" si="13"/>
        <v>1.4416115483702632E-2</v>
      </c>
      <c r="K37" s="13">
        <f t="shared" si="13"/>
        <v>9.2531688560304574E-3</v>
      </c>
      <c r="L37" s="13">
        <f t="shared" si="13"/>
        <v>7.9236506209161856E-3</v>
      </c>
      <c r="M37" s="13">
        <f t="shared" si="13"/>
        <v>1.7329029491218808E-2</v>
      </c>
      <c r="N37" s="13">
        <f t="shared" si="13"/>
        <v>7.3835818626340963E-3</v>
      </c>
      <c r="O37" s="13">
        <f t="shared" si="13"/>
        <v>1.0713330426841465E-2</v>
      </c>
      <c r="P37" s="13">
        <f t="shared" si="13"/>
        <v>1.0050225433140374E-2</v>
      </c>
      <c r="Q37" s="13">
        <f t="shared" si="13"/>
        <v>1.4611293912850036E-2</v>
      </c>
      <c r="R37" s="13">
        <f t="shared" si="13"/>
        <v>3.9616352338627869E-2</v>
      </c>
      <c r="S37" s="13">
        <f>AVERAGE(D37:R37)*1.4</f>
        <v>2.2223952624421419E-2</v>
      </c>
      <c r="V37" s="13">
        <f>V9/V7</f>
        <v>2.0924530236352469E-2</v>
      </c>
      <c r="W37" s="13">
        <f>W9/W7</f>
        <v>9.3388698503375309E-3</v>
      </c>
      <c r="X37" s="13">
        <f>X9/X7</f>
        <v>1.0703951481213113E-2</v>
      </c>
      <c r="Y37" s="13">
        <f>Y9/Y7</f>
        <v>2.1206699744853227E-2</v>
      </c>
      <c r="Z37" s="13">
        <f>AVERAGE(P37:S37)</f>
        <v>2.1625456077259925E-2</v>
      </c>
      <c r="AA37" s="13">
        <f>Z37*1.17</f>
        <v>2.5301783610394112E-2</v>
      </c>
      <c r="AB37" s="13">
        <f>AA37*1.19</f>
        <v>3.0109122496368993E-2</v>
      </c>
      <c r="AC37" s="13">
        <f>AB37*1.19</f>
        <v>3.5829855770679098E-2</v>
      </c>
    </row>
    <row r="38" spans="1:30" x14ac:dyDescent="0.25">
      <c r="B38" s="3" t="s">
        <v>185</v>
      </c>
      <c r="D38" s="13">
        <f t="shared" ref="D38:R38" si="14">D11/D7</f>
        <v>8.1016200806379016E-2</v>
      </c>
      <c r="E38" s="13">
        <f t="shared" si="14"/>
        <v>9.5318896851084176E-2</v>
      </c>
      <c r="F38" s="13">
        <f t="shared" si="14"/>
        <v>0.11004226108231319</v>
      </c>
      <c r="G38" s="13">
        <f t="shared" si="14"/>
        <v>0.1735797516279429</v>
      </c>
      <c r="H38" s="13">
        <f t="shared" si="14"/>
        <v>0.11917958397173968</v>
      </c>
      <c r="I38" s="13">
        <f t="shared" si="14"/>
        <v>0.18559900258224382</v>
      </c>
      <c r="J38" s="13">
        <f t="shared" si="14"/>
        <v>0.19457362377361262</v>
      </c>
      <c r="K38" s="13">
        <f t="shared" si="14"/>
        <v>0.21502544316804087</v>
      </c>
      <c r="L38" s="13">
        <f t="shared" si="14"/>
        <v>0.20350327244258204</v>
      </c>
      <c r="M38" s="13">
        <f t="shared" si="14"/>
        <v>0.20753748818429907</v>
      </c>
      <c r="N38" s="13">
        <f t="shared" si="14"/>
        <v>0.21470363907320622</v>
      </c>
      <c r="O38" s="13">
        <f t="shared" si="14"/>
        <v>0.24429836154957807</v>
      </c>
      <c r="P38" s="13">
        <f t="shared" si="14"/>
        <v>0.2167063800255063</v>
      </c>
      <c r="Q38" s="13">
        <f t="shared" si="14"/>
        <v>0.22450124069748617</v>
      </c>
      <c r="R38" s="13">
        <f t="shared" si="14"/>
        <v>0.25517542192916581</v>
      </c>
      <c r="S38" s="13">
        <f>AVERAGE(O38:R38)</f>
        <v>0.2351703510504341</v>
      </c>
      <c r="T38" s="13"/>
      <c r="U38" s="13"/>
      <c r="V38" s="13">
        <f>V11/V7</f>
        <v>0.12036834870616768</v>
      </c>
      <c r="W38" s="13">
        <f>W11/W7</f>
        <v>0.18119969008496084</v>
      </c>
      <c r="X38" s="13">
        <f>X11/X7</f>
        <v>0.21928828160127062</v>
      </c>
      <c r="Y38" s="13">
        <f>Y11/Y7</f>
        <v>0.23235999588922016</v>
      </c>
      <c r="Z38" s="13">
        <f>Y38*1.02</f>
        <v>0.23700719580700455</v>
      </c>
      <c r="AA38" s="13">
        <f>Z38*1.01</f>
        <v>0.23937726776507459</v>
      </c>
      <c r="AB38" s="13">
        <f>AA38*1.01</f>
        <v>0.24177104044272535</v>
      </c>
      <c r="AC38" s="13">
        <f>AB38*1.02</f>
        <v>0.24660646125157987</v>
      </c>
    </row>
    <row r="39" spans="1:30" x14ac:dyDescent="0.25">
      <c r="B39" s="3" t="s">
        <v>109</v>
      </c>
      <c r="E39" s="13">
        <f t="shared" ref="E39:S39" si="15">E7/D7-1</f>
        <v>-9.0119024705870299E-4</v>
      </c>
      <c r="F39" s="13">
        <f t="shared" si="15"/>
        <v>0.51087783641793871</v>
      </c>
      <c r="G39" s="13">
        <f t="shared" si="15"/>
        <v>-4.445211085393419E-3</v>
      </c>
      <c r="H39" s="13">
        <f t="shared" si="15"/>
        <v>-3.7055635131459597E-2</v>
      </c>
      <c r="I39" s="13">
        <f t="shared" si="15"/>
        <v>0.16497173875723981</v>
      </c>
      <c r="J39" s="13">
        <f t="shared" si="15"/>
        <v>-4.5567043051875089E-3</v>
      </c>
      <c r="K39" s="13">
        <f t="shared" si="15"/>
        <v>5.5046648951126986E-2</v>
      </c>
      <c r="L39" s="13">
        <f t="shared" si="15"/>
        <v>-0.13154469628767573</v>
      </c>
      <c r="M39" s="13">
        <f t="shared" si="15"/>
        <v>4.3887497908750017E-3</v>
      </c>
      <c r="N39" s="13">
        <f t="shared" si="15"/>
        <v>0.16530086476892425</v>
      </c>
      <c r="O39" s="13">
        <f t="shared" si="15"/>
        <v>0.12575539607431585</v>
      </c>
      <c r="P39" s="13">
        <f t="shared" si="15"/>
        <v>-0.11699928967381068</v>
      </c>
      <c r="Q39" s="13">
        <f t="shared" si="15"/>
        <v>-1.6174700836888545E-2</v>
      </c>
      <c r="R39" s="13">
        <f t="shared" si="15"/>
        <v>-8.0756323970318955E-2</v>
      </c>
      <c r="S39" s="13">
        <f t="shared" si="15"/>
        <v>8.2600000000000007E-2</v>
      </c>
    </row>
    <row r="40" spans="1:30" x14ac:dyDescent="0.25">
      <c r="B40" s="3" t="s">
        <v>108</v>
      </c>
      <c r="H40" s="13">
        <f t="shared" ref="H40:S40" si="16">H7/D7-1</f>
        <v>0.44711869407282623</v>
      </c>
      <c r="I40" s="13">
        <f t="shared" si="16"/>
        <v>0.68737302533570888</v>
      </c>
      <c r="J40" s="13">
        <f t="shared" si="16"/>
        <v>0.11172731833103056</v>
      </c>
      <c r="K40" s="13">
        <f t="shared" si="16"/>
        <v>0.1781613576801182</v>
      </c>
      <c r="L40" s="13">
        <f t="shared" si="16"/>
        <v>6.2554096617922772E-2</v>
      </c>
      <c r="M40" s="13">
        <f t="shared" si="16"/>
        <v>-8.3911355801878362E-2</v>
      </c>
      <c r="N40" s="13">
        <f t="shared" si="16"/>
        <v>7.2405524157899581E-2</v>
      </c>
      <c r="O40" s="13">
        <f t="shared" si="16"/>
        <v>0.14427765521160851</v>
      </c>
      <c r="P40" s="13">
        <f t="shared" si="16"/>
        <v>0.16344269882763118</v>
      </c>
      <c r="Q40" s="13">
        <f t="shared" si="16"/>
        <v>0.13962284172493544</v>
      </c>
      <c r="R40" s="13">
        <f t="shared" si="16"/>
        <v>-0.10101234626445132</v>
      </c>
      <c r="S40" s="13">
        <f t="shared" si="16"/>
        <v>-0.13547468897066073</v>
      </c>
      <c r="W40" s="13">
        <f t="shared" ref="W40:AC40" si="17">W7/V7-1</f>
        <v>0.31333795136379838</v>
      </c>
      <c r="X40" s="13">
        <f t="shared" si="17"/>
        <v>4.9534451259184653E-2</v>
      </c>
      <c r="Y40" s="13">
        <f t="shared" si="17"/>
        <v>1.5471310515706715E-3</v>
      </c>
      <c r="Z40" s="13">
        <f>Z7/Y7-1</f>
        <v>0.19999999999999996</v>
      </c>
      <c r="AA40" s="13">
        <f>AA7/Z7-1</f>
        <v>0.39999999999999991</v>
      </c>
      <c r="AB40" s="13">
        <f t="shared" si="17"/>
        <v>0.41139999999999999</v>
      </c>
      <c r="AC40" s="13">
        <f t="shared" si="17"/>
        <v>0.37000000000000011</v>
      </c>
      <c r="AD40" s="13"/>
    </row>
    <row r="41" spans="1:30" x14ac:dyDescent="0.25">
      <c r="B41" s="3" t="s">
        <v>187</v>
      </c>
      <c r="D41" s="13">
        <f>1-D37</f>
        <v>0.94747552481219754</v>
      </c>
      <c r="E41" s="13">
        <f>1-E37</f>
        <v>0.98002397363570237</v>
      </c>
      <c r="F41" s="13">
        <f>1-F37</f>
        <v>0.9856043369973686</v>
      </c>
      <c r="G41" s="13">
        <f>1-G37</f>
        <v>0.99291415745618994</v>
      </c>
      <c r="H41" s="13">
        <f>1-H37</f>
        <v>0.99686558627964172</v>
      </c>
      <c r="I41" s="13">
        <f t="shared" ref="I41:R41" si="18">1-I37</f>
        <v>0.99029939112606091</v>
      </c>
      <c r="J41" s="13">
        <f t="shared" si="18"/>
        <v>0.98558388451629741</v>
      </c>
      <c r="K41" s="13">
        <f t="shared" si="18"/>
        <v>0.99074683114396955</v>
      </c>
      <c r="L41" s="13">
        <f t="shared" si="18"/>
        <v>0.99207634937908384</v>
      </c>
      <c r="M41" s="13">
        <f t="shared" si="18"/>
        <v>0.98267097050878116</v>
      </c>
      <c r="N41" s="13">
        <f t="shared" si="18"/>
        <v>0.9926164181373659</v>
      </c>
      <c r="O41" s="13">
        <f t="shared" si="18"/>
        <v>0.98928666957315858</v>
      </c>
      <c r="P41" s="13">
        <f t="shared" si="18"/>
        <v>0.98994977456685962</v>
      </c>
      <c r="Q41" s="13">
        <f t="shared" si="18"/>
        <v>0.98538870608715001</v>
      </c>
      <c r="R41" s="13">
        <f t="shared" si="18"/>
        <v>0.96038364766137208</v>
      </c>
      <c r="S41" s="13">
        <f>1-S37</f>
        <v>0.97777604737557855</v>
      </c>
      <c r="V41" s="13">
        <f t="shared" ref="V41:AC41" si="19">1-V37</f>
        <v>0.97907546976364757</v>
      </c>
      <c r="W41" s="13">
        <f t="shared" si="19"/>
        <v>0.99066113014966251</v>
      </c>
      <c r="X41" s="13">
        <f t="shared" si="19"/>
        <v>0.98929604851878694</v>
      </c>
      <c r="Y41" s="13">
        <f t="shared" si="19"/>
        <v>0.97879330025514677</v>
      </c>
      <c r="Z41" s="13">
        <f t="shared" si="19"/>
        <v>0.97837454392274004</v>
      </c>
      <c r="AA41" s="13">
        <f t="shared" si="19"/>
        <v>0.97469821638960585</v>
      </c>
      <c r="AB41" s="13">
        <f t="shared" si="19"/>
        <v>0.96989087750363101</v>
      </c>
      <c r="AC41" s="13">
        <f t="shared" si="19"/>
        <v>0.9641701442293209</v>
      </c>
    </row>
    <row r="42" spans="1:30" x14ac:dyDescent="0.25">
      <c r="Q42" s="13"/>
    </row>
    <row r="43" spans="1:30" x14ac:dyDescent="0.25">
      <c r="B43" s="7" t="s">
        <v>110</v>
      </c>
      <c r="D43" s="3" t="s">
        <v>137</v>
      </c>
      <c r="E43" s="3" t="s">
        <v>138</v>
      </c>
      <c r="F43" s="3" t="s">
        <v>136</v>
      </c>
      <c r="G43" s="3" t="s">
        <v>135</v>
      </c>
      <c r="H43" s="3" t="s">
        <v>88</v>
      </c>
      <c r="I43" s="3" t="s">
        <v>29</v>
      </c>
      <c r="J43" s="3" t="s">
        <v>23</v>
      </c>
      <c r="K43" s="3" t="s">
        <v>24</v>
      </c>
      <c r="L43" s="3" t="s">
        <v>25</v>
      </c>
      <c r="M43" s="3" t="s">
        <v>26</v>
      </c>
      <c r="N43" s="3" t="s">
        <v>27</v>
      </c>
      <c r="O43" s="3" t="s">
        <v>28</v>
      </c>
    </row>
    <row r="45" spans="1:30" s="12" customFormat="1" x14ac:dyDescent="0.25">
      <c r="A45" s="3"/>
      <c r="B45" s="14" t="s">
        <v>152</v>
      </c>
      <c r="E45" s="14">
        <v>12543184</v>
      </c>
      <c r="F45" s="14">
        <v>5951648</v>
      </c>
      <c r="G45" s="14">
        <v>16807237</v>
      </c>
      <c r="H45" s="14">
        <v>692362</v>
      </c>
    </row>
    <row r="47" spans="1:30" x14ac:dyDescent="0.25">
      <c r="B47" s="12" t="s">
        <v>134</v>
      </c>
      <c r="C47" s="12"/>
      <c r="D47" s="12">
        <v>-6123913</v>
      </c>
      <c r="E47" s="12">
        <v>-10603365</v>
      </c>
      <c r="F47" s="12">
        <v>-8272800</v>
      </c>
      <c r="G47" s="12">
        <v>-11807661</v>
      </c>
      <c r="H47" s="12">
        <v>-15540594</v>
      </c>
      <c r="I47" s="12"/>
      <c r="J47" s="12"/>
    </row>
    <row r="48" spans="1:30" x14ac:dyDescent="0.25">
      <c r="B48" s="3" t="s">
        <v>139</v>
      </c>
      <c r="D48" s="3">
        <v>1126798</v>
      </c>
      <c r="E48" s="3">
        <v>0</v>
      </c>
      <c r="F48" s="3">
        <v>0</v>
      </c>
      <c r="G48" s="3">
        <v>0</v>
      </c>
      <c r="H48" s="3">
        <v>0</v>
      </c>
    </row>
    <row r="49" spans="1:15" x14ac:dyDescent="0.25">
      <c r="B49" s="3" t="s">
        <v>112</v>
      </c>
      <c r="D49" s="3">
        <f>782889+37114</f>
        <v>820003</v>
      </c>
      <c r="E49" s="3">
        <v>3615039</v>
      </c>
      <c r="F49" s="3">
        <v>4791844</v>
      </c>
      <c r="G49" s="3">
        <v>6200193</v>
      </c>
      <c r="H49" s="3">
        <v>7376062</v>
      </c>
    </row>
    <row r="50" spans="1:15" x14ac:dyDescent="0.25">
      <c r="B50" s="3" t="s">
        <v>113</v>
      </c>
      <c r="D50" s="3">
        <v>305267</v>
      </c>
      <c r="E50" s="3">
        <v>875988</v>
      </c>
      <c r="F50" s="3">
        <v>633390</v>
      </c>
      <c r="G50" s="3">
        <v>673415</v>
      </c>
      <c r="H50" s="3">
        <v>698885</v>
      </c>
    </row>
    <row r="51" spans="1:15" x14ac:dyDescent="0.25">
      <c r="B51" s="3" t="s">
        <v>140</v>
      </c>
      <c r="D51" s="3">
        <v>3392</v>
      </c>
      <c r="E51" s="3">
        <v>0</v>
      </c>
      <c r="F51" s="3">
        <v>0</v>
      </c>
      <c r="G51" s="3">
        <v>51941</v>
      </c>
      <c r="H51" s="3">
        <v>744285</v>
      </c>
    </row>
    <row r="52" spans="1:15" x14ac:dyDescent="0.25">
      <c r="B52" s="3" t="s">
        <v>114</v>
      </c>
      <c r="D52" s="3">
        <f>16304+14321</f>
        <v>30625</v>
      </c>
      <c r="E52" s="3">
        <f>203915+209807</f>
        <v>413722</v>
      </c>
      <c r="F52" s="3">
        <v>0</v>
      </c>
      <c r="G52" s="3">
        <v>501981</v>
      </c>
      <c r="H52" s="3">
        <v>610885</v>
      </c>
    </row>
    <row r="53" spans="1:15" x14ac:dyDescent="0.25">
      <c r="B53" s="3" t="s">
        <v>115</v>
      </c>
      <c r="D53" s="3">
        <v>0</v>
      </c>
      <c r="E53" s="3">
        <v>0</v>
      </c>
      <c r="F53" s="3">
        <v>461845</v>
      </c>
      <c r="G53" s="3">
        <v>252351</v>
      </c>
      <c r="H53" s="3">
        <v>225341</v>
      </c>
    </row>
    <row r="54" spans="1:15" x14ac:dyDescent="0.25">
      <c r="B54" s="3" t="s">
        <v>42</v>
      </c>
      <c r="D54" s="3">
        <v>14988</v>
      </c>
      <c r="E54" s="3">
        <v>81888</v>
      </c>
      <c r="F54" s="3">
        <v>121295</v>
      </c>
      <c r="G54" s="3">
        <v>375200</v>
      </c>
      <c r="H54" s="3">
        <v>26173</v>
      </c>
    </row>
    <row r="55" spans="1:15" x14ac:dyDescent="0.25">
      <c r="B55" s="3" t="s">
        <v>151</v>
      </c>
      <c r="D55" s="3">
        <f>-49768+45822</f>
        <v>-3946</v>
      </c>
      <c r="E55" s="3">
        <f>9188-272173</f>
        <v>-262985</v>
      </c>
      <c r="F55" s="3">
        <v>-512856</v>
      </c>
      <c r="G55" s="3">
        <v>-1056874</v>
      </c>
      <c r="H55" s="3">
        <v>-1016617</v>
      </c>
    </row>
    <row r="56" spans="1:15" x14ac:dyDescent="0.25">
      <c r="B56" s="3" t="s">
        <v>116</v>
      </c>
      <c r="D56" s="3">
        <v>0</v>
      </c>
      <c r="E56" s="3">
        <v>738524</v>
      </c>
      <c r="F56" s="3">
        <v>0</v>
      </c>
      <c r="G56" s="3">
        <f>734994-1125450</f>
        <v>-390456</v>
      </c>
      <c r="H56" s="3">
        <v>-1923352</v>
      </c>
    </row>
    <row r="57" spans="1:15" x14ac:dyDescent="0.25">
      <c r="B57" s="3" t="s">
        <v>117</v>
      </c>
      <c r="D57" s="3">
        <v>13912</v>
      </c>
      <c r="E57" s="3">
        <v>106920</v>
      </c>
      <c r="F57" s="3">
        <v>92737</v>
      </c>
      <c r="G57" s="3">
        <v>108429</v>
      </c>
      <c r="H57" s="3">
        <v>52433</v>
      </c>
    </row>
    <row r="58" spans="1:15" x14ac:dyDescent="0.25">
      <c r="B58" s="3" t="s">
        <v>118</v>
      </c>
      <c r="D58" s="3">
        <v>0</v>
      </c>
      <c r="E58" s="3">
        <v>-129292</v>
      </c>
      <c r="F58" s="3">
        <v>117464</v>
      </c>
      <c r="G58" s="3">
        <v>-677376</v>
      </c>
      <c r="H58" s="3">
        <v>605498</v>
      </c>
    </row>
    <row r="59" spans="1:15" x14ac:dyDescent="0.25">
      <c r="B59" s="3" t="s">
        <v>119</v>
      </c>
      <c r="D59" s="3">
        <v>25312</v>
      </c>
      <c r="E59" s="3">
        <v>-20184</v>
      </c>
      <c r="F59" s="3">
        <v>-191227</v>
      </c>
      <c r="G59" s="3">
        <v>428475</v>
      </c>
      <c r="H59" s="3">
        <v>-274972</v>
      </c>
    </row>
    <row r="61" spans="1:15" s="12" customFormat="1" x14ac:dyDescent="0.25">
      <c r="A61" s="18"/>
      <c r="B61" s="6" t="s">
        <v>120</v>
      </c>
      <c r="C61" s="6"/>
      <c r="D61" s="6">
        <v>-48660</v>
      </c>
      <c r="E61" s="6">
        <v>-1643955</v>
      </c>
      <c r="F61" s="6">
        <v>3950418</v>
      </c>
      <c r="G61" s="6">
        <v>-145414</v>
      </c>
      <c r="H61" s="25">
        <v>-4556084</v>
      </c>
      <c r="I61" s="25">
        <v>822158</v>
      </c>
      <c r="J61" s="6">
        <v>-3149429</v>
      </c>
      <c r="K61" s="25"/>
      <c r="L61" s="25"/>
      <c r="M61" s="25"/>
      <c r="N61" s="25"/>
      <c r="O61" s="19"/>
    </row>
    <row r="62" spans="1:15" x14ac:dyDescent="0.25">
      <c r="A62" s="20"/>
      <c r="B62" s="3" t="s">
        <v>121</v>
      </c>
      <c r="D62" s="3">
        <v>54142</v>
      </c>
      <c r="E62" s="3">
        <v>-42623</v>
      </c>
      <c r="F62" s="3">
        <v>554444</v>
      </c>
      <c r="G62" s="3">
        <v>-2966194</v>
      </c>
      <c r="H62" s="3">
        <v>-4085353</v>
      </c>
      <c r="I62" s="3">
        <v>420876</v>
      </c>
      <c r="J62" s="3">
        <v>295438</v>
      </c>
      <c r="O62" s="21"/>
    </row>
    <row r="63" spans="1:15" x14ac:dyDescent="0.25">
      <c r="A63" s="20"/>
      <c r="B63" s="3" t="s">
        <v>122</v>
      </c>
      <c r="D63" s="14">
        <v>-154163</v>
      </c>
      <c r="E63" s="14">
        <v>-185418</v>
      </c>
      <c r="F63" s="14">
        <v>349282</v>
      </c>
      <c r="G63" s="14">
        <v>-68132</v>
      </c>
      <c r="H63" s="3">
        <v>-442903</v>
      </c>
      <c r="I63" s="3">
        <v>-100419</v>
      </c>
      <c r="J63" s="14">
        <v>-255967</v>
      </c>
      <c r="O63" s="21"/>
    </row>
    <row r="64" spans="1:15" x14ac:dyDescent="0.25">
      <c r="A64" s="20"/>
      <c r="B64" s="3" t="s">
        <v>123</v>
      </c>
      <c r="C64" s="12"/>
      <c r="D64" s="3">
        <v>452256</v>
      </c>
      <c r="E64" s="3">
        <v>3315751</v>
      </c>
      <c r="F64" s="3">
        <v>-3910065</v>
      </c>
      <c r="G64" s="3">
        <v>2182849</v>
      </c>
      <c r="H64" s="3">
        <v>-948180</v>
      </c>
      <c r="I64" s="3">
        <v>2442185</v>
      </c>
      <c r="J64" s="3">
        <v>3082471</v>
      </c>
      <c r="O64" s="21"/>
    </row>
    <row r="65" spans="1:15" x14ac:dyDescent="0.25">
      <c r="A65" s="20"/>
      <c r="B65" s="3" t="s">
        <v>141</v>
      </c>
      <c r="D65" s="3">
        <v>-54632</v>
      </c>
      <c r="E65" s="3">
        <v>65156</v>
      </c>
      <c r="F65" s="3">
        <v>37664</v>
      </c>
      <c r="G65" s="3">
        <v>-326882</v>
      </c>
      <c r="H65" s="3">
        <v>-461315</v>
      </c>
      <c r="I65" s="3">
        <v>0</v>
      </c>
      <c r="J65" s="3">
        <v>0</v>
      </c>
      <c r="O65" s="21"/>
    </row>
    <row r="66" spans="1:15" x14ac:dyDescent="0.25">
      <c r="A66" s="20"/>
      <c r="B66" s="3" t="s">
        <v>142</v>
      </c>
      <c r="D66" s="3">
        <v>164940</v>
      </c>
      <c r="E66" s="3">
        <v>66805</v>
      </c>
      <c r="F66" s="3">
        <v>44597</v>
      </c>
      <c r="G66" s="3">
        <v>-276342</v>
      </c>
      <c r="H66" s="3">
        <v>0</v>
      </c>
      <c r="I66" s="3">
        <v>0</v>
      </c>
      <c r="J66" s="3">
        <v>0</v>
      </c>
      <c r="O66" s="21"/>
    </row>
    <row r="67" spans="1:15" x14ac:dyDescent="0.25">
      <c r="A67" s="20"/>
      <c r="B67" s="3" t="s">
        <v>143</v>
      </c>
      <c r="D67" s="3">
        <v>40775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O67" s="21"/>
    </row>
    <row r="68" spans="1:15" x14ac:dyDescent="0.25">
      <c r="A68" s="22"/>
      <c r="B68" s="23" t="s">
        <v>124</v>
      </c>
      <c r="C68" s="23"/>
      <c r="D68" s="23">
        <v>0</v>
      </c>
      <c r="E68" s="23">
        <v>-413174</v>
      </c>
      <c r="F68" s="23">
        <v>-1570470</v>
      </c>
      <c r="G68" s="23">
        <v>798744</v>
      </c>
      <c r="H68" s="23">
        <v>-1204773</v>
      </c>
      <c r="I68" s="23">
        <v>459798</v>
      </c>
      <c r="J68" s="3">
        <v>1960525</v>
      </c>
      <c r="K68" s="23"/>
      <c r="L68" s="23"/>
      <c r="M68" s="23"/>
      <c r="N68" s="23"/>
      <c r="O68" s="24"/>
    </row>
    <row r="69" spans="1:15" x14ac:dyDescent="0.25">
      <c r="B69" s="12"/>
      <c r="J69" s="6"/>
    </row>
    <row r="70" spans="1:15" x14ac:dyDescent="0.25">
      <c r="B70" s="3" t="s">
        <v>163</v>
      </c>
      <c r="D70" s="3">
        <f t="shared" ref="D70:J70" si="20">SUM(D61:D68)</f>
        <v>454658</v>
      </c>
      <c r="E70" s="3">
        <f t="shared" si="20"/>
        <v>1162542</v>
      </c>
      <c r="F70" s="3">
        <f t="shared" si="20"/>
        <v>-544130</v>
      </c>
      <c r="G70" s="3">
        <f t="shared" si="20"/>
        <v>-801371</v>
      </c>
      <c r="H70" s="3">
        <f t="shared" si="20"/>
        <v>-11698608</v>
      </c>
      <c r="I70" s="3">
        <f t="shared" si="20"/>
        <v>4044598</v>
      </c>
      <c r="J70" s="3">
        <f t="shared" si="20"/>
        <v>1933038</v>
      </c>
      <c r="K70" s="3">
        <f>1889204-800000</f>
        <v>1089204</v>
      </c>
      <c r="L70" s="3">
        <f>AVERAGE(I70:K70)</f>
        <v>2355613.3333333335</v>
      </c>
      <c r="M70" s="3">
        <f>AVERAGE(J70:L70)</f>
        <v>1792618.4444444447</v>
      </c>
      <c r="N70" s="3">
        <f>AVERAGE(K70:M70)</f>
        <v>1745811.9259259261</v>
      </c>
      <c r="O70" s="3">
        <f>AVERAGE(L70:N70)</f>
        <v>1964681.2345679014</v>
      </c>
    </row>
    <row r="72" spans="1:15" x14ac:dyDescent="0.25">
      <c r="B72" s="12" t="s">
        <v>154</v>
      </c>
      <c r="D72" s="3">
        <f>D47+SUM(D48:D68)</f>
        <v>-3332904</v>
      </c>
      <c r="E72" s="3">
        <f>E47+SUM(E48:E68)</f>
        <v>-4021203</v>
      </c>
      <c r="F72" s="3">
        <f>F47+SUM(F48:F68)</f>
        <v>-3302438</v>
      </c>
      <c r="G72" s="3">
        <f>G47+SUM(G48:G68)</f>
        <v>-6141753</v>
      </c>
      <c r="H72" s="3">
        <f>H47+SUM(H48:H68)</f>
        <v>-20114581</v>
      </c>
    </row>
    <row r="74" spans="1:15" x14ac:dyDescent="0.25">
      <c r="B74" s="3" t="s">
        <v>144</v>
      </c>
      <c r="D74" s="3">
        <v>19697237</v>
      </c>
      <c r="E74" s="3">
        <v>20988240</v>
      </c>
      <c r="F74" s="3">
        <v>25000040</v>
      </c>
      <c r="G74" s="3">
        <v>0</v>
      </c>
      <c r="H74" s="3">
        <v>0</v>
      </c>
    </row>
    <row r="75" spans="1:15" x14ac:dyDescent="0.25">
      <c r="B75" s="3" t="s">
        <v>145</v>
      </c>
      <c r="D75" s="3">
        <v>-1510718</v>
      </c>
      <c r="E75" s="3">
        <v>-917234</v>
      </c>
      <c r="F75" s="3">
        <v>-700011</v>
      </c>
      <c r="G75" s="16">
        <f>46000000-2617433</f>
        <v>43382567</v>
      </c>
      <c r="H75" s="16">
        <f>30001200-2004968</f>
        <v>27996232</v>
      </c>
      <c r="I75" s="16"/>
    </row>
    <row r="76" spans="1:15" x14ac:dyDescent="0.25">
      <c r="B76" s="3" t="s">
        <v>146</v>
      </c>
      <c r="D76" s="3">
        <v>837003</v>
      </c>
      <c r="E76" s="3">
        <v>1235076</v>
      </c>
      <c r="F76" s="3">
        <v>6442041</v>
      </c>
      <c r="G76" s="3">
        <v>864901</v>
      </c>
      <c r="H76" s="3">
        <v>896409</v>
      </c>
    </row>
    <row r="77" spans="1:15" x14ac:dyDescent="0.25">
      <c r="B77" s="3" t="s">
        <v>147</v>
      </c>
      <c r="D77" s="3">
        <v>0</v>
      </c>
      <c r="E77" s="3">
        <v>10000000</v>
      </c>
      <c r="F77" s="3">
        <v>0</v>
      </c>
      <c r="G77" s="3">
        <v>0</v>
      </c>
      <c r="H77" s="3">
        <v>0</v>
      </c>
    </row>
    <row r="78" spans="1:15" x14ac:dyDescent="0.25">
      <c r="B78" s="3" t="s">
        <v>126</v>
      </c>
      <c r="D78" s="3">
        <v>-215000</v>
      </c>
      <c r="E78" s="3">
        <v>-3663003</v>
      </c>
      <c r="F78" s="3">
        <v>711858</v>
      </c>
      <c r="G78" s="3">
        <v>-731340</v>
      </c>
      <c r="H78" s="3">
        <v>2955000</v>
      </c>
    </row>
    <row r="79" spans="1:15" x14ac:dyDescent="0.25">
      <c r="B79" s="3" t="s">
        <v>127</v>
      </c>
      <c r="D79" s="3">
        <v>-264941</v>
      </c>
      <c r="E79" s="3">
        <v>-1486983</v>
      </c>
      <c r="F79" s="3">
        <v>-2087197</v>
      </c>
      <c r="G79" s="3">
        <v>-2547522</v>
      </c>
      <c r="H79" s="16">
        <f>-2878424+1253921</f>
        <v>-1624503</v>
      </c>
      <c r="I79" s="16"/>
    </row>
    <row r="80" spans="1:15" x14ac:dyDescent="0.25">
      <c r="B80" s="3" t="s">
        <v>148</v>
      </c>
      <c r="D80" s="3">
        <v>1457273</v>
      </c>
      <c r="E80" s="3">
        <v>8300958</v>
      </c>
      <c r="F80" s="3">
        <v>720355</v>
      </c>
      <c r="G80" s="3">
        <v>0</v>
      </c>
      <c r="H80" s="3">
        <v>1539094</v>
      </c>
    </row>
    <row r="81" spans="2:15" x14ac:dyDescent="0.25">
      <c r="B81" s="3" t="s">
        <v>128</v>
      </c>
      <c r="D81" s="3">
        <v>-147453</v>
      </c>
      <c r="E81" s="3">
        <v>-2030489</v>
      </c>
      <c r="F81" s="3">
        <v>-1480032</v>
      </c>
      <c r="G81" s="3">
        <v>-2881268</v>
      </c>
      <c r="H81" s="3">
        <v>-5215070</v>
      </c>
    </row>
    <row r="83" spans="2:15" x14ac:dyDescent="0.25">
      <c r="B83" s="12" t="s">
        <v>125</v>
      </c>
      <c r="D83" s="3">
        <f>SUM(D74:D81)</f>
        <v>19853401</v>
      </c>
      <c r="E83" s="3">
        <f>SUM(E74:E81)</f>
        <v>32426565</v>
      </c>
      <c r="F83" s="3">
        <f>SUM(F74:F81)</f>
        <v>28607054</v>
      </c>
      <c r="G83" s="3">
        <f>SUM(G74:G81)</f>
        <v>38087338</v>
      </c>
      <c r="H83" s="3">
        <f>SUM(H74:H81)</f>
        <v>26547162</v>
      </c>
    </row>
    <row r="85" spans="2:15" x14ac:dyDescent="0.25">
      <c r="B85" s="3" t="s">
        <v>149</v>
      </c>
      <c r="D85" s="3">
        <v>0</v>
      </c>
      <c r="E85" s="3">
        <v>-74943</v>
      </c>
      <c r="F85" s="3">
        <v>7450</v>
      </c>
      <c r="G85" s="3">
        <v>0</v>
      </c>
      <c r="H85" s="3">
        <v>-124748</v>
      </c>
    </row>
    <row r="86" spans="2:15" x14ac:dyDescent="0.25">
      <c r="B86" s="3" t="s">
        <v>150</v>
      </c>
      <c r="D86" s="3">
        <v>-1207237</v>
      </c>
      <c r="E86" s="3">
        <f>-7300496-535792</f>
        <v>-7836288</v>
      </c>
      <c r="F86" s="3">
        <f>0-538188</f>
        <v>-538188</v>
      </c>
      <c r="G86" s="16">
        <f>-2303450-4000000</f>
        <v>-6303450</v>
      </c>
      <c r="H86" s="16">
        <f>-6830534-2051304-1000000</f>
        <v>-9881838</v>
      </c>
      <c r="I86" s="16"/>
    </row>
    <row r="87" spans="2:15" x14ac:dyDescent="0.25">
      <c r="B87" s="3" t="s">
        <v>130</v>
      </c>
      <c r="D87" s="3">
        <v>0</v>
      </c>
      <c r="E87" s="3">
        <v>0</v>
      </c>
      <c r="F87" s="3">
        <v>-106960</v>
      </c>
      <c r="G87" s="3">
        <v>-126119</v>
      </c>
      <c r="H87" s="3">
        <v>-761072</v>
      </c>
    </row>
    <row r="88" spans="2:15" x14ac:dyDescent="0.25">
      <c r="B88" s="3" t="s">
        <v>131</v>
      </c>
      <c r="D88" s="3">
        <v>-538142</v>
      </c>
      <c r="E88" s="3">
        <v>-9652426</v>
      </c>
      <c r="F88" s="3">
        <v>-18648394</v>
      </c>
      <c r="G88" s="3">
        <v>-8816940</v>
      </c>
      <c r="H88" s="3">
        <v>-3297613</v>
      </c>
    </row>
    <row r="89" spans="2:15" x14ac:dyDescent="0.25">
      <c r="B89" s="3" t="s">
        <v>132</v>
      </c>
      <c r="D89" s="3">
        <v>0</v>
      </c>
      <c r="E89" s="3">
        <v>1019479</v>
      </c>
      <c r="F89" s="3">
        <v>-438699</v>
      </c>
      <c r="G89" s="3">
        <v>0</v>
      </c>
      <c r="H89" s="3">
        <v>0</v>
      </c>
    </row>
    <row r="90" spans="2:15" x14ac:dyDescent="0.25">
      <c r="B90" s="3" t="s">
        <v>116</v>
      </c>
      <c r="D90" s="3">
        <v>0</v>
      </c>
      <c r="E90" s="3">
        <v>600000</v>
      </c>
      <c r="F90" s="3">
        <v>0</v>
      </c>
      <c r="G90" s="3">
        <v>101161</v>
      </c>
      <c r="H90" s="3">
        <v>8325052</v>
      </c>
    </row>
    <row r="92" spans="2:15" x14ac:dyDescent="0.25">
      <c r="B92" s="12" t="s">
        <v>129</v>
      </c>
      <c r="D92" s="3">
        <f>SUM(D85:D90)</f>
        <v>-1745379</v>
      </c>
      <c r="E92" s="3">
        <f>SUM(E85:E90)</f>
        <v>-15944178</v>
      </c>
      <c r="F92" s="3">
        <f>SUM(F85:F90)</f>
        <v>-19724791</v>
      </c>
      <c r="G92" s="3">
        <f>SUM(G85:G90)</f>
        <v>-15145348</v>
      </c>
      <c r="H92" s="3">
        <f>SUM(H85:H90)</f>
        <v>-5740219</v>
      </c>
      <c r="I92" s="3">
        <v>-9835372</v>
      </c>
      <c r="J92" s="3">
        <v>-10648231</v>
      </c>
      <c r="K92" s="3">
        <f>-9037220-1500000</f>
        <v>-10537220</v>
      </c>
      <c r="L92" s="3">
        <f>K92*1.1</f>
        <v>-11590942.000000002</v>
      </c>
      <c r="M92" s="3">
        <f>L92*1.2</f>
        <v>-13909130.400000002</v>
      </c>
      <c r="N92" s="3">
        <f>M92*1.25</f>
        <v>-17386413.000000004</v>
      </c>
      <c r="O92" s="3">
        <f>N92*1.3</f>
        <v>-22602336.900000006</v>
      </c>
    </row>
    <row r="94" spans="2:15" x14ac:dyDescent="0.25">
      <c r="B94" s="12" t="s">
        <v>133</v>
      </c>
      <c r="D94" s="3">
        <f>+D72-D92</f>
        <v>-1587525</v>
      </c>
      <c r="E94" s="3">
        <f>+E72-E92</f>
        <v>11922975</v>
      </c>
      <c r="F94" s="3">
        <f>+F72-F92</f>
        <v>16422353</v>
      </c>
      <c r="G94" s="3">
        <f>+G72-G92</f>
        <v>9003595</v>
      </c>
      <c r="H94" s="3">
        <f>+H72-H92</f>
        <v>-14374362</v>
      </c>
    </row>
    <row r="96" spans="2:15" ht="17.399999999999999" x14ac:dyDescent="0.55000000000000004">
      <c r="B96" s="17" t="s">
        <v>156</v>
      </c>
      <c r="D96" s="3" t="s">
        <v>24</v>
      </c>
      <c r="E96" s="3" t="s">
        <v>25</v>
      </c>
      <c r="F96" s="3" t="s">
        <v>26</v>
      </c>
      <c r="G96" s="3" t="s">
        <v>27</v>
      </c>
      <c r="H96" s="3" t="s">
        <v>28</v>
      </c>
    </row>
    <row r="98" spans="2:11" x14ac:dyDescent="0.25">
      <c r="B98" s="3" t="s">
        <v>158</v>
      </c>
      <c r="D98" s="3">
        <f>Y7</f>
        <v>130193483.229</v>
      </c>
      <c r="E98" s="3">
        <f>Z7</f>
        <v>156232179.8748</v>
      </c>
      <c r="F98" s="3">
        <f>AA7</f>
        <v>218725051.82472</v>
      </c>
      <c r="G98" s="3">
        <f>AB7</f>
        <v>308708538.14540982</v>
      </c>
      <c r="H98" s="3">
        <f>AC7</f>
        <v>422930697.25921148</v>
      </c>
    </row>
    <row r="99" spans="2:11" x14ac:dyDescent="0.25">
      <c r="B99" s="3" t="s">
        <v>159</v>
      </c>
      <c r="D99" s="3">
        <f>Y22</f>
        <v>-9448722.4527298585</v>
      </c>
      <c r="E99" s="3">
        <f>Z22</f>
        <v>-5273341.9054342806</v>
      </c>
      <c r="F99" s="3">
        <f>AA22</f>
        <v>594972.35728520155</v>
      </c>
      <c r="G99" s="3">
        <f>AB22</f>
        <v>10645072.817749694</v>
      </c>
      <c r="H99" s="3">
        <f>AC22</f>
        <v>23725398.588313997</v>
      </c>
    </row>
    <row r="100" spans="2:11" x14ac:dyDescent="0.25">
      <c r="B100" s="3" t="s">
        <v>160</v>
      </c>
      <c r="D100" s="3">
        <f>Y29</f>
        <v>-298524.66666666669</v>
      </c>
      <c r="E100" s="3">
        <f>Z29</f>
        <v>-86379.26</v>
      </c>
      <c r="F100" s="3">
        <f>AA29</f>
        <v>57806.191476390108</v>
      </c>
      <c r="G100" s="3">
        <f>AB29</f>
        <v>831042.61557658645</v>
      </c>
      <c r="H100" s="3">
        <f>AC29</f>
        <v>1815853.5492966408</v>
      </c>
    </row>
    <row r="101" spans="2:11" x14ac:dyDescent="0.25">
      <c r="B101" s="3" t="s">
        <v>161</v>
      </c>
      <c r="D101" s="3">
        <f>D99-D100</f>
        <v>-9150197.7860631924</v>
      </c>
      <c r="E101" s="3">
        <f>E99-E100</f>
        <v>-5186962.6454342809</v>
      </c>
      <c r="F101" s="3">
        <f>F99-F100</f>
        <v>537166.16580881143</v>
      </c>
      <c r="G101" s="3">
        <f>G99-G100</f>
        <v>9814030.2021731082</v>
      </c>
      <c r="H101" s="3">
        <f>H99-H100</f>
        <v>21909545.039017357</v>
      </c>
    </row>
    <row r="102" spans="2:11" x14ac:dyDescent="0.25">
      <c r="B102" s="3" t="s">
        <v>112</v>
      </c>
      <c r="D102" s="3">
        <f>Y19</f>
        <v>11261372.8355</v>
      </c>
      <c r="E102" s="3">
        <f>Z19</f>
        <v>13346931.95083</v>
      </c>
      <c r="F102" s="3">
        <f>AA19</f>
        <v>16564631.622988001</v>
      </c>
      <c r="G102" s="3">
        <f>AB19</f>
        <v>20644339.6608968</v>
      </c>
      <c r="H102" s="3">
        <f>AC19</f>
        <v>28220375.080529843</v>
      </c>
      <c r="J102" s="3">
        <f>D99/D103</f>
        <v>0.89669974174686096</v>
      </c>
      <c r="K102" s="3">
        <f>E99/E103</f>
        <v>0.45495369620814941</v>
      </c>
    </row>
    <row r="103" spans="2:11" x14ac:dyDescent="0.25">
      <c r="B103" s="3" t="s">
        <v>162</v>
      </c>
      <c r="D103" s="3">
        <f>K92</f>
        <v>-10537220</v>
      </c>
      <c r="E103" s="3">
        <f>L92</f>
        <v>-11590942.000000002</v>
      </c>
      <c r="F103" s="3">
        <f>M92</f>
        <v>-13909130.400000002</v>
      </c>
      <c r="G103" s="3">
        <f>N92</f>
        <v>-17386413.000000004</v>
      </c>
      <c r="H103" s="3">
        <f>O92</f>
        <v>-22602336.900000006</v>
      </c>
    </row>
    <row r="104" spans="2:11" x14ac:dyDescent="0.25">
      <c r="B104" s="3" t="s">
        <v>163</v>
      </c>
      <c r="D104" s="3">
        <f>K70</f>
        <v>1089204</v>
      </c>
      <c r="E104" s="3">
        <f>L70</f>
        <v>2355613.3333333335</v>
      </c>
      <c r="F104" s="3">
        <f>M70</f>
        <v>1792618.4444444447</v>
      </c>
      <c r="G104" s="3">
        <f>N70</f>
        <v>1745811.9259259261</v>
      </c>
      <c r="H104" s="3">
        <f>O70</f>
        <v>1964681.2345679014</v>
      </c>
    </row>
    <row r="106" spans="2:11" x14ac:dyDescent="0.25">
      <c r="B106" s="3" t="s">
        <v>164</v>
      </c>
      <c r="D106" s="3">
        <f>SUM(D101:D104)</f>
        <v>-7336840.9505631924</v>
      </c>
      <c r="E106" s="3">
        <f>SUM(E101:E104)</f>
        <v>-1075359.3612709497</v>
      </c>
      <c r="F106" s="3">
        <f>SUM(F101:F104)</f>
        <v>4985285.833241255</v>
      </c>
      <c r="G106" s="3">
        <f>SUM(G101:G104)</f>
        <v>14817768.788995828</v>
      </c>
      <c r="H106" s="3">
        <f>SUM(H101:H104)</f>
        <v>29492264.4541151</v>
      </c>
    </row>
    <row r="107" spans="2:11" x14ac:dyDescent="0.25">
      <c r="B107" s="3" t="s">
        <v>165</v>
      </c>
      <c r="D107" s="27">
        <f>D106/(1+$C$132)^C139</f>
        <v>-7017287.4244733788</v>
      </c>
      <c r="E107" s="27">
        <f>E106/(1+$C$132)^D139</f>
        <v>-949296.91748906788</v>
      </c>
      <c r="F107" s="27">
        <f>F106/(1+$C$132)^E139</f>
        <v>4061877.3352785651</v>
      </c>
      <c r="G107" s="27">
        <f>G106/(1+$C$132)^F139</f>
        <v>11143146.589900708</v>
      </c>
      <c r="H107" s="27">
        <f>H106/(1+$C$132)^G139</f>
        <v>20470169.510553006</v>
      </c>
    </row>
    <row r="108" spans="2:11" x14ac:dyDescent="0.25">
      <c r="B108" s="3" t="s">
        <v>166</v>
      </c>
      <c r="H108" s="3">
        <f>H106*(1+C133)/(C132-C133)</f>
        <v>705798864.50453675</v>
      </c>
    </row>
    <row r="109" spans="2:11" x14ac:dyDescent="0.25">
      <c r="B109" s="3" t="s">
        <v>167</v>
      </c>
      <c r="H109" s="3">
        <f>H108/(1+C132)^G139</f>
        <v>489885150.02779901</v>
      </c>
    </row>
    <row r="110" spans="2:11" x14ac:dyDescent="0.25">
      <c r="B110" s="3" t="s">
        <v>168</v>
      </c>
      <c r="H110" s="3">
        <f>SUM(D107:H107)+H109</f>
        <v>517593759.12156886</v>
      </c>
    </row>
    <row r="111" spans="2:11" x14ac:dyDescent="0.25">
      <c r="B111" s="3" t="s">
        <v>6</v>
      </c>
      <c r="H111" s="3">
        <f>Main!C10</f>
        <v>20704869</v>
      </c>
    </row>
    <row r="112" spans="2:11" x14ac:dyDescent="0.25">
      <c r="B112" s="3" t="s">
        <v>7</v>
      </c>
      <c r="H112" s="3">
        <f>Main!C11</f>
        <v>5916640</v>
      </c>
    </row>
    <row r="113" spans="2:8" x14ac:dyDescent="0.25">
      <c r="B113" s="3" t="s">
        <v>169</v>
      </c>
      <c r="H113" s="3">
        <f>H110+H111-H112</f>
        <v>532381988.12156892</v>
      </c>
    </row>
    <row r="114" spans="2:8" x14ac:dyDescent="0.25">
      <c r="B114" s="3" t="s">
        <v>170</v>
      </c>
      <c r="E114" s="12"/>
      <c r="H114" s="3">
        <f>Main!C8</f>
        <v>170608431</v>
      </c>
    </row>
    <row r="115" spans="2:8" x14ac:dyDescent="0.25">
      <c r="B115" s="3" t="s">
        <v>201</v>
      </c>
      <c r="H115" s="3">
        <f>H113/H114</f>
        <v>3.1204904998016709</v>
      </c>
    </row>
    <row r="117" spans="2:8" ht="15.6" x14ac:dyDescent="0.4">
      <c r="B117" s="9" t="s">
        <v>171</v>
      </c>
      <c r="E117" s="12"/>
    </row>
    <row r="119" spans="2:8" x14ac:dyDescent="0.25">
      <c r="B119" s="3" t="s">
        <v>5</v>
      </c>
      <c r="C119" s="3">
        <f>Main!C9</f>
        <v>411166318.71000004</v>
      </c>
    </row>
    <row r="120" spans="2:8" x14ac:dyDescent="0.25">
      <c r="B120" s="3" t="s">
        <v>172</v>
      </c>
      <c r="C120" s="13">
        <f>C119/(C119+C125)</f>
        <v>0.98581423700862858</v>
      </c>
      <c r="E120" s="13"/>
    </row>
    <row r="121" spans="2:8" x14ac:dyDescent="0.25">
      <c r="B121" s="3" t="s">
        <v>173</v>
      </c>
      <c r="C121" s="13">
        <f>C122+C123*C124</f>
        <v>8.3254999999999996E-2</v>
      </c>
    </row>
    <row r="122" spans="2:8" x14ac:dyDescent="0.25">
      <c r="B122" s="3" t="s">
        <v>174</v>
      </c>
      <c r="C122" s="13">
        <v>3.3459999999999997E-2</v>
      </c>
    </row>
    <row r="123" spans="2:8" x14ac:dyDescent="0.25">
      <c r="B123" s="3" t="s">
        <v>175</v>
      </c>
      <c r="C123" s="3">
        <v>1.1499999999999999</v>
      </c>
    </row>
    <row r="124" spans="2:8" x14ac:dyDescent="0.25">
      <c r="B124" s="3" t="s">
        <v>176</v>
      </c>
      <c r="C124" s="13">
        <v>4.3299999999999998E-2</v>
      </c>
    </row>
    <row r="125" spans="2:8" x14ac:dyDescent="0.25">
      <c r="B125" s="3" t="s">
        <v>7</v>
      </c>
      <c r="C125" s="3">
        <f>Main!C11</f>
        <v>5916640</v>
      </c>
    </row>
    <row r="126" spans="2:8" x14ac:dyDescent="0.25">
      <c r="B126" s="3" t="s">
        <v>177</v>
      </c>
      <c r="C126" s="13">
        <f>C125/(C125+C119)</f>
        <v>1.4185762991371391E-2</v>
      </c>
    </row>
    <row r="127" spans="2:8" x14ac:dyDescent="0.25">
      <c r="B127" s="3" t="s">
        <v>178</v>
      </c>
      <c r="C127" s="13">
        <v>9.7500000000000003E-2</v>
      </c>
    </row>
    <row r="128" spans="2:8" x14ac:dyDescent="0.25">
      <c r="B128" s="3" t="s">
        <v>179</v>
      </c>
      <c r="C128" s="26">
        <v>0</v>
      </c>
      <c r="D128" s="3" t="s">
        <v>203</v>
      </c>
      <c r="E128" s="3" t="s">
        <v>205</v>
      </c>
    </row>
    <row r="129" spans="2:8" x14ac:dyDescent="0.25">
      <c r="H129" s="3" t="s">
        <v>206</v>
      </c>
    </row>
    <row r="130" spans="2:8" x14ac:dyDescent="0.25">
      <c r="B130" s="3" t="s">
        <v>180</v>
      </c>
      <c r="C130" s="3">
        <f>+C119+C125</f>
        <v>417082958.71000004</v>
      </c>
      <c r="D130" s="3" t="s">
        <v>189</v>
      </c>
    </row>
    <row r="132" spans="2:8" x14ac:dyDescent="0.25">
      <c r="B132" s="3" t="s">
        <v>171</v>
      </c>
      <c r="C132" s="13">
        <f>C121*C120+(C126*C127*(1-C128))</f>
        <v>8.3457076193812083E-2</v>
      </c>
      <c r="D132" s="3" t="s">
        <v>194</v>
      </c>
    </row>
    <row r="133" spans="2:8" x14ac:dyDescent="0.25">
      <c r="B133" s="3" t="s">
        <v>184</v>
      </c>
      <c r="C133" s="26">
        <v>0.04</v>
      </c>
      <c r="D133" s="3" t="s">
        <v>195</v>
      </c>
    </row>
    <row r="135" spans="2:8" x14ac:dyDescent="0.25">
      <c r="B135" s="3" t="s">
        <v>181</v>
      </c>
      <c r="C135" s="8">
        <v>45819</v>
      </c>
    </row>
    <row r="136" spans="2:8" x14ac:dyDescent="0.25">
      <c r="B136" s="3" t="s">
        <v>182</v>
      </c>
      <c r="C136" s="8">
        <v>46022</v>
      </c>
    </row>
    <row r="138" spans="2:8" x14ac:dyDescent="0.25">
      <c r="C138" s="28" t="s">
        <v>200</v>
      </c>
      <c r="D138" s="28" t="s">
        <v>199</v>
      </c>
      <c r="E138" s="28" t="s">
        <v>198</v>
      </c>
      <c r="F138" s="28" t="s">
        <v>197</v>
      </c>
      <c r="G138" s="28" t="s">
        <v>196</v>
      </c>
    </row>
    <row r="139" spans="2:8" x14ac:dyDescent="0.25">
      <c r="B139" s="3" t="s">
        <v>183</v>
      </c>
      <c r="C139" s="3">
        <f>YEARFRAC(C135,C136)</f>
        <v>0.55555555555555558</v>
      </c>
      <c r="D139" s="3">
        <f>C139+1</f>
        <v>1.5555555555555556</v>
      </c>
      <c r="E139" s="3">
        <f>D139+1</f>
        <v>2.5555555555555554</v>
      </c>
      <c r="F139" s="3">
        <f>E139+1</f>
        <v>3.5555555555555554</v>
      </c>
      <c r="G139" s="3">
        <f>F139+1</f>
        <v>4.5555555555555554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Günel</dc:creator>
  <cp:lastModifiedBy>Eray Günel</cp:lastModifiedBy>
  <dcterms:created xsi:type="dcterms:W3CDTF">2025-05-17T18:36:19Z</dcterms:created>
  <dcterms:modified xsi:type="dcterms:W3CDTF">2025-08-13T11:55:18Z</dcterms:modified>
</cp:coreProperties>
</file>