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tebook\Desktop\"/>
    </mc:Choice>
  </mc:AlternateContent>
  <xr:revisionPtr revIDLastSave="0" documentId="8_{875E12E2-8917-463E-BFDD-410E36190661}" xr6:coauthVersionLast="47" xr6:coauthVersionMax="47" xr10:uidLastSave="{00000000-0000-0000-0000-000000000000}"/>
  <bookViews>
    <workbookView xWindow="-108" yWindow="-108" windowWidth="23256" windowHeight="12456" xr2:uid="{ED751832-787B-40FA-92E7-A41966F91A1F}"/>
  </bookViews>
  <sheets>
    <sheet name="Main" sheetId="1" r:id="rId1"/>
    <sheet name="Modu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3" i="2" l="1"/>
  <c r="L143" i="2"/>
  <c r="K143" i="2"/>
  <c r="J143" i="2"/>
  <c r="M142" i="2"/>
  <c r="L142" i="2"/>
  <c r="K142" i="2"/>
  <c r="K140" i="2" s="1"/>
  <c r="K141" i="2"/>
  <c r="N163" i="2"/>
  <c r="N160" i="2"/>
  <c r="N159" i="2"/>
  <c r="N141" i="2"/>
  <c r="M141" i="2"/>
  <c r="L141" i="2"/>
  <c r="J141" i="2"/>
  <c r="N138" i="2"/>
  <c r="M138" i="2"/>
  <c r="N137" i="2"/>
  <c r="M137" i="2"/>
  <c r="L137" i="2"/>
  <c r="L147" i="2"/>
  <c r="M147" i="2" s="1"/>
  <c r="N147" i="2" s="1"/>
  <c r="K147" i="2"/>
  <c r="J147" i="2"/>
  <c r="N146" i="2"/>
  <c r="M146" i="2"/>
  <c r="L146" i="2"/>
  <c r="K146" i="2"/>
  <c r="J146" i="2"/>
  <c r="I146" i="2"/>
  <c r="N154" i="2"/>
  <c r="J140" i="2"/>
  <c r="K137" i="2"/>
  <c r="J137" i="2"/>
  <c r="K138" i="2"/>
  <c r="J138" i="2"/>
  <c r="J136" i="2"/>
  <c r="K136" i="2"/>
  <c r="N136" i="2"/>
  <c r="M136" i="2"/>
  <c r="L136" i="2"/>
  <c r="J154" i="2"/>
  <c r="J153" i="2"/>
  <c r="P122" i="2"/>
  <c r="N148" i="2"/>
  <c r="M148" i="2"/>
  <c r="L148" i="2"/>
  <c r="K148" i="2"/>
  <c r="J148" i="2"/>
  <c r="K154" i="2"/>
  <c r="L154" i="2" s="1"/>
  <c r="M154" i="2" s="1"/>
  <c r="I148" i="2"/>
  <c r="G145" i="2"/>
  <c r="F145" i="2"/>
  <c r="E145" i="2"/>
  <c r="D145" i="2"/>
  <c r="C145" i="2"/>
  <c r="L128" i="2"/>
  <c r="C128" i="2" s="1"/>
  <c r="C174" i="2"/>
  <c r="C170" i="2"/>
  <c r="L140" i="2" l="1"/>
  <c r="H148" i="2" l="1"/>
  <c r="G148" i="2"/>
  <c r="F103" i="2"/>
  <c r="G135" i="2"/>
  <c r="F148" i="2"/>
  <c r="E148" i="2"/>
  <c r="D148" i="2"/>
  <c r="C148" i="2"/>
  <c r="F135" i="2"/>
  <c r="D146" i="2"/>
  <c r="E135" i="2"/>
  <c r="C146" i="2"/>
  <c r="F109" i="2" l="1"/>
  <c r="F96" i="2"/>
  <c r="G107" i="2"/>
  <c r="J90" i="2"/>
  <c r="J89" i="2"/>
  <c r="J83" i="2"/>
  <c r="H112" i="2"/>
  <c r="E92" i="2"/>
  <c r="F92" i="2" s="1"/>
  <c r="K107" i="2"/>
  <c r="H77" i="2"/>
  <c r="D77" i="2"/>
  <c r="E77" i="2" s="1"/>
  <c r="D112" i="2"/>
  <c r="E112" i="2" s="1"/>
  <c r="D111" i="2"/>
  <c r="E111" i="2" s="1"/>
  <c r="D110" i="2"/>
  <c r="E110" i="2" s="1"/>
  <c r="D102" i="2"/>
  <c r="D97" i="2"/>
  <c r="E97" i="2" s="1"/>
  <c r="D95" i="2"/>
  <c r="E95" i="2" s="1"/>
  <c r="D94" i="2"/>
  <c r="D93" i="2"/>
  <c r="E93" i="2" s="1"/>
  <c r="F93" i="2" s="1"/>
  <c r="D91" i="2"/>
  <c r="E91" i="2" s="1"/>
  <c r="D88" i="2"/>
  <c r="E88" i="2" s="1"/>
  <c r="D87" i="2"/>
  <c r="E87" i="2" s="1"/>
  <c r="D86" i="2"/>
  <c r="E86" i="2" s="1"/>
  <c r="D85" i="2"/>
  <c r="E85" i="2" s="1"/>
  <c r="D84" i="2"/>
  <c r="E84" i="2" s="1"/>
  <c r="D82" i="2"/>
  <c r="D81" i="2"/>
  <c r="D80" i="2"/>
  <c r="E80" i="2" s="1"/>
  <c r="D79" i="2"/>
  <c r="E79" i="2" s="1"/>
  <c r="C107" i="2"/>
  <c r="C101" i="2"/>
  <c r="C99" i="2"/>
  <c r="H111" i="2"/>
  <c r="I111" i="2" s="1"/>
  <c r="H110" i="2"/>
  <c r="I110" i="2" s="1"/>
  <c r="H103" i="2"/>
  <c r="I103" i="2" s="1"/>
  <c r="H102" i="2"/>
  <c r="H101" i="2"/>
  <c r="H97" i="2"/>
  <c r="I97" i="2" s="1"/>
  <c r="H96" i="2"/>
  <c r="I96" i="2" s="1"/>
  <c r="H95" i="2"/>
  <c r="H94" i="2"/>
  <c r="I94" i="2" s="1"/>
  <c r="J94" i="2" s="1"/>
  <c r="H92" i="2"/>
  <c r="I92" i="2" s="1"/>
  <c r="H91" i="2"/>
  <c r="I91" i="2" s="1"/>
  <c r="H88" i="2"/>
  <c r="I88" i="2" s="1"/>
  <c r="H87" i="2"/>
  <c r="H86" i="2"/>
  <c r="I86" i="2" s="1"/>
  <c r="H85" i="2"/>
  <c r="H84" i="2"/>
  <c r="I84" i="2" s="1"/>
  <c r="H82" i="2"/>
  <c r="I82" i="2" s="1"/>
  <c r="J82" i="2" s="1"/>
  <c r="H81" i="2"/>
  <c r="H80" i="2"/>
  <c r="H79" i="2"/>
  <c r="I79" i="2" s="1"/>
  <c r="G101" i="2"/>
  <c r="K99" i="2"/>
  <c r="G93" i="2"/>
  <c r="G99" i="2" s="1"/>
  <c r="K101" i="2"/>
  <c r="K105" i="2" l="1"/>
  <c r="G105" i="2"/>
  <c r="J86" i="2"/>
  <c r="J88" i="2"/>
  <c r="J91" i="2"/>
  <c r="E81" i="2"/>
  <c r="I102" i="2"/>
  <c r="J102" i="2" s="1"/>
  <c r="I81" i="2"/>
  <c r="J81" i="2" s="1"/>
  <c r="J96" i="2"/>
  <c r="D101" i="2"/>
  <c r="J79" i="2"/>
  <c r="J103" i="2"/>
  <c r="I80" i="2"/>
  <c r="J80" i="2" s="1"/>
  <c r="I85" i="2"/>
  <c r="J85" i="2" s="1"/>
  <c r="I95" i="2"/>
  <c r="J95" i="2" s="1"/>
  <c r="E82" i="2"/>
  <c r="F82" i="2" s="1"/>
  <c r="J97" i="2"/>
  <c r="I112" i="2"/>
  <c r="J112" i="2" s="1"/>
  <c r="F91" i="2"/>
  <c r="I77" i="2"/>
  <c r="J77" i="2" s="1"/>
  <c r="I87" i="2"/>
  <c r="J87" i="2" s="1"/>
  <c r="E94" i="2"/>
  <c r="F94" i="2" s="1"/>
  <c r="J111" i="2"/>
  <c r="F84" i="2"/>
  <c r="J110" i="2"/>
  <c r="C105" i="2"/>
  <c r="J84" i="2"/>
  <c r="J92" i="2"/>
  <c r="F85" i="2"/>
  <c r="F95" i="2"/>
  <c r="F110" i="2"/>
  <c r="F86" i="2"/>
  <c r="F111" i="2"/>
  <c r="H107" i="2"/>
  <c r="F77" i="2"/>
  <c r="F87" i="2"/>
  <c r="F97" i="2"/>
  <c r="F112" i="2"/>
  <c r="F79" i="2"/>
  <c r="F88" i="2"/>
  <c r="F80" i="2"/>
  <c r="E102" i="2"/>
  <c r="E101" i="2" s="1"/>
  <c r="I107" i="2"/>
  <c r="E107" i="2"/>
  <c r="H93" i="2"/>
  <c r="I93" i="2" s="1"/>
  <c r="J93" i="2" s="1"/>
  <c r="D107" i="2"/>
  <c r="D99" i="2"/>
  <c r="J101" i="2" l="1"/>
  <c r="J107" i="2"/>
  <c r="I101" i="2"/>
  <c r="I147" i="2" s="1"/>
  <c r="E99" i="2"/>
  <c r="E105" i="2" s="1"/>
  <c r="D105" i="2"/>
  <c r="F107" i="2"/>
  <c r="J99" i="2"/>
  <c r="J105" i="2" s="1"/>
  <c r="F102" i="2"/>
  <c r="F101" i="2" s="1"/>
  <c r="H147" i="2" s="1"/>
  <c r="F81" i="2"/>
  <c r="H146" i="2" s="1"/>
  <c r="I99" i="2"/>
  <c r="I105" i="2" s="1"/>
  <c r="H99" i="2"/>
  <c r="K71" i="2"/>
  <c r="J71" i="2"/>
  <c r="I71" i="2"/>
  <c r="H71" i="2"/>
  <c r="G71" i="2"/>
  <c r="F71" i="2"/>
  <c r="C10" i="1"/>
  <c r="C9" i="1"/>
  <c r="C65" i="2"/>
  <c r="C66" i="2" s="1"/>
  <c r="C61" i="2"/>
  <c r="C54" i="2"/>
  <c r="C46" i="2"/>
  <c r="D65" i="2"/>
  <c r="D66" i="2" s="1"/>
  <c r="D61" i="2"/>
  <c r="D54" i="2"/>
  <c r="D46" i="2"/>
  <c r="E65" i="2"/>
  <c r="E66" i="2" s="1"/>
  <c r="F66" i="2"/>
  <c r="E61" i="2"/>
  <c r="E46" i="2"/>
  <c r="E50" i="2"/>
  <c r="E54" i="2" s="1"/>
  <c r="G66" i="2"/>
  <c r="G61" i="2"/>
  <c r="G54" i="2"/>
  <c r="G46" i="2"/>
  <c r="H66" i="2"/>
  <c r="I66" i="2"/>
  <c r="H61" i="2"/>
  <c r="H54" i="2"/>
  <c r="H46" i="2"/>
  <c r="J66" i="2"/>
  <c r="I61" i="2"/>
  <c r="I54" i="2"/>
  <c r="I46" i="2"/>
  <c r="F61" i="2"/>
  <c r="F54" i="2"/>
  <c r="F46" i="2"/>
  <c r="J61" i="2"/>
  <c r="J54" i="2"/>
  <c r="J46" i="2"/>
  <c r="K66" i="2"/>
  <c r="K61" i="2"/>
  <c r="K54" i="2"/>
  <c r="K46" i="2"/>
  <c r="P29" i="2"/>
  <c r="Q33" i="2"/>
  <c r="P33" i="2"/>
  <c r="K33" i="2"/>
  <c r="I33" i="2"/>
  <c r="H33" i="2"/>
  <c r="G33" i="2"/>
  <c r="E33" i="2"/>
  <c r="D33" i="2"/>
  <c r="C33" i="2"/>
  <c r="K7" i="2"/>
  <c r="I7" i="2"/>
  <c r="H72" i="2" l="1"/>
  <c r="F72" i="2"/>
  <c r="E55" i="2"/>
  <c r="E72" i="2"/>
  <c r="F73" i="2" s="1"/>
  <c r="F99" i="2"/>
  <c r="F105" i="2" s="1"/>
  <c r="C67" i="2"/>
  <c r="G55" i="2"/>
  <c r="D72" i="2"/>
  <c r="G67" i="2"/>
  <c r="H105" i="2"/>
  <c r="C114" i="2"/>
  <c r="I72" i="2"/>
  <c r="D67" i="2"/>
  <c r="E71" i="2"/>
  <c r="C55" i="2"/>
  <c r="C69" i="2" s="1"/>
  <c r="C72" i="2"/>
  <c r="I55" i="2"/>
  <c r="G72" i="2"/>
  <c r="H73" i="2" s="1"/>
  <c r="J72" i="2"/>
  <c r="K72" i="2"/>
  <c r="D55" i="2"/>
  <c r="C71" i="2"/>
  <c r="J55" i="2"/>
  <c r="D71" i="2"/>
  <c r="F67" i="2"/>
  <c r="E67" i="2"/>
  <c r="E69" i="2" s="1"/>
  <c r="H55" i="2"/>
  <c r="H67" i="2"/>
  <c r="I67" i="2"/>
  <c r="F55" i="2"/>
  <c r="J67" i="2"/>
  <c r="J69" i="2" s="1"/>
  <c r="K67" i="2"/>
  <c r="K55" i="2"/>
  <c r="P17" i="2"/>
  <c r="J11" i="2"/>
  <c r="F11" i="2"/>
  <c r="P26" i="2"/>
  <c r="E26" i="2"/>
  <c r="F22" i="2"/>
  <c r="F23" i="2"/>
  <c r="F20" i="2"/>
  <c r="F19" i="2"/>
  <c r="F18" i="2"/>
  <c r="F16" i="2"/>
  <c r="F15" i="2"/>
  <c r="F14" i="2"/>
  <c r="F12" i="2"/>
  <c r="F10" i="2"/>
  <c r="F9" i="2"/>
  <c r="F8" i="2"/>
  <c r="J8" i="2"/>
  <c r="E7" i="2"/>
  <c r="C26" i="2"/>
  <c r="C13" i="2"/>
  <c r="C24" i="2"/>
  <c r="C34" i="2" s="1"/>
  <c r="C17" i="2"/>
  <c r="C21" i="2" s="1"/>
  <c r="C7" i="2"/>
  <c r="D26" i="2"/>
  <c r="D24" i="2"/>
  <c r="D34" i="2" s="1"/>
  <c r="D17" i="2"/>
  <c r="D21" i="2" s="1"/>
  <c r="D7" i="2"/>
  <c r="J29" i="2"/>
  <c r="J22" i="2"/>
  <c r="J23" i="2"/>
  <c r="J20" i="2"/>
  <c r="J19" i="2"/>
  <c r="J18" i="2"/>
  <c r="J16" i="2"/>
  <c r="J15" i="2"/>
  <c r="J14" i="2"/>
  <c r="J12" i="2"/>
  <c r="J10" i="2"/>
  <c r="J9" i="2"/>
  <c r="H26" i="2"/>
  <c r="H24" i="2"/>
  <c r="H34" i="2" s="1"/>
  <c r="H17" i="2"/>
  <c r="D13" i="2"/>
  <c r="H13" i="2"/>
  <c r="H7" i="2"/>
  <c r="E24" i="2"/>
  <c r="E34" i="2" s="1"/>
  <c r="I26" i="2"/>
  <c r="I24" i="2"/>
  <c r="I34" i="2" s="1"/>
  <c r="I17" i="2"/>
  <c r="E17" i="2"/>
  <c r="E21" i="2" s="1"/>
  <c r="E13" i="2"/>
  <c r="I13" i="2"/>
  <c r="P24" i="2"/>
  <c r="P34" i="2" s="1"/>
  <c r="P13" i="2"/>
  <c r="P7" i="2"/>
  <c r="Q26" i="2"/>
  <c r="Q24" i="2"/>
  <c r="Q34" i="2" s="1"/>
  <c r="Q17" i="2"/>
  <c r="I134" i="2" s="1"/>
  <c r="Q13" i="2"/>
  <c r="Q7" i="2"/>
  <c r="G13" i="2"/>
  <c r="G17" i="2"/>
  <c r="G26" i="2"/>
  <c r="G7" i="2"/>
  <c r="K13" i="2"/>
  <c r="K26" i="2"/>
  <c r="K24" i="2"/>
  <c r="K34" i="2" s="1"/>
  <c r="K17" i="2"/>
  <c r="G24" i="2"/>
  <c r="G34" i="2" s="1"/>
  <c r="E73" i="2" l="1"/>
  <c r="D25" i="2"/>
  <c r="C25" i="2"/>
  <c r="D73" i="2"/>
  <c r="G69" i="2"/>
  <c r="G73" i="2"/>
  <c r="D69" i="2"/>
  <c r="J73" i="2"/>
  <c r="F69" i="2"/>
  <c r="E25" i="2"/>
  <c r="Q32" i="2"/>
  <c r="P21" i="2"/>
  <c r="P25" i="2" s="1"/>
  <c r="H134" i="2"/>
  <c r="J26" i="2"/>
  <c r="I73" i="2"/>
  <c r="F26" i="2"/>
  <c r="I69" i="2"/>
  <c r="K73" i="2"/>
  <c r="K32" i="2"/>
  <c r="C27" i="2"/>
  <c r="C30" i="2" s="1"/>
  <c r="E27" i="2"/>
  <c r="E30" i="2" s="1"/>
  <c r="J7" i="2"/>
  <c r="I32" i="2"/>
  <c r="K69" i="2"/>
  <c r="H69" i="2"/>
  <c r="F33" i="2"/>
  <c r="J33" i="2"/>
  <c r="H21" i="2"/>
  <c r="H25" i="2" s="1"/>
  <c r="H27" i="2" s="1"/>
  <c r="H30" i="2" s="1"/>
  <c r="H32" i="2"/>
  <c r="J24" i="2"/>
  <c r="J34" i="2" s="1"/>
  <c r="G21" i="2"/>
  <c r="G25" i="2" s="1"/>
  <c r="G32" i="2"/>
  <c r="I21" i="2"/>
  <c r="I25" i="2" s="1"/>
  <c r="I27" i="2" s="1"/>
  <c r="I30" i="2" s="1"/>
  <c r="F24" i="2"/>
  <c r="F34" i="2" s="1"/>
  <c r="Q21" i="2"/>
  <c r="Q25" i="2" s="1"/>
  <c r="I139" i="2" s="1"/>
  <c r="F17" i="2"/>
  <c r="F21" i="2" s="1"/>
  <c r="F13" i="2"/>
  <c r="F7" i="2"/>
  <c r="D27" i="2"/>
  <c r="D30" i="2" s="1"/>
  <c r="J17" i="2"/>
  <c r="J21" i="2" s="1"/>
  <c r="J13" i="2"/>
  <c r="K21" i="2"/>
  <c r="K25" i="2" s="1"/>
  <c r="K27" i="2" s="1"/>
  <c r="C8" i="1"/>
  <c r="C168" i="2" l="1"/>
  <c r="C11" i="1"/>
  <c r="I145" i="2"/>
  <c r="H135" i="2"/>
  <c r="P27" i="2"/>
  <c r="P30" i="2" s="1"/>
  <c r="H139" i="2"/>
  <c r="H145" i="2" s="1"/>
  <c r="Q27" i="2"/>
  <c r="Q30" i="2" s="1"/>
  <c r="I135" i="2"/>
  <c r="F25" i="2"/>
  <c r="F27" i="2" s="1"/>
  <c r="F30" i="2" s="1"/>
  <c r="J25" i="2"/>
  <c r="J27" i="2" s="1"/>
  <c r="J30" i="2" s="1"/>
  <c r="G27" i="2"/>
  <c r="G30" i="2" s="1"/>
  <c r="K30" i="2"/>
  <c r="C179" i="2" l="1"/>
  <c r="C175" i="2"/>
  <c r="C169" i="2"/>
  <c r="N140" i="2"/>
  <c r="M140" i="2"/>
  <c r="J135" i="2"/>
  <c r="J134" i="2" s="1"/>
  <c r="N135" i="2"/>
  <c r="M135" i="2"/>
  <c r="K135" i="2"/>
  <c r="L135" i="2"/>
  <c r="C181" i="2" l="1"/>
  <c r="L127" i="2" s="1"/>
  <c r="C127" i="2" s="1"/>
  <c r="K134" i="2"/>
  <c r="K139" i="2" s="1"/>
  <c r="J139" i="2"/>
  <c r="J145" i="2" s="1"/>
  <c r="J150" i="2" s="1"/>
  <c r="J151" i="2" s="1"/>
  <c r="L134" i="2" l="1"/>
  <c r="K145" i="2"/>
  <c r="K150" i="2" s="1"/>
  <c r="K151" i="2" s="1"/>
  <c r="L139" i="2" l="1"/>
  <c r="L145" i="2" s="1"/>
  <c r="L150" i="2" s="1"/>
  <c r="L151" i="2" s="1"/>
  <c r="M134" i="2"/>
  <c r="N134" i="2" l="1"/>
  <c r="N139" i="2" s="1"/>
  <c r="N145" i="2" s="1"/>
  <c r="N150" i="2" s="1"/>
  <c r="M139" i="2"/>
  <c r="M145" i="2" s="1"/>
  <c r="M150" i="2" s="1"/>
  <c r="M151" i="2" s="1"/>
  <c r="N156" i="2" l="1"/>
  <c r="N157" i="2" s="1"/>
  <c r="N151" i="2"/>
  <c r="N158" i="2" l="1"/>
  <c r="N161" i="2" s="1"/>
  <c r="N16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Elitebook</author>
  </authors>
  <commentList>
    <comment ref="G12" authorId="0" shapeId="0" xr:uid="{91D47514-76EF-4E16-BFA2-0895AE03034F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"AAV-RPE65"</t>
        </r>
      </text>
    </comment>
    <comment ref="B26" authorId="0" shapeId="0" xr:uid="{38CE9840-95A2-482A-B4CC-3F990CC3B753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Including; 
FX currency gain/loss
interst income
interest expense
FX translation 
</t>
        </r>
      </text>
    </comment>
    <comment ref="C26" authorId="0" shapeId="0" xr:uid="{5B079A29-C972-4FDE-B967-E40A3439F170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Gain on sales of non financial asset
</t>
        </r>
      </text>
    </comment>
    <comment ref="G26" authorId="0" shapeId="0" xr:uid="{4A0C873C-6DD0-4CB6-8105-D1B84F5EB221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Gain on sales of non financial asset
</t>
        </r>
      </text>
    </comment>
    <comment ref="P26" authorId="0" shapeId="0" xr:uid="{060EE2FA-CF88-4A49-8176-99D3957B562B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54k Gain on sales of nonfinancial asset
</t>
        </r>
      </text>
    </comment>
    <comment ref="J84" authorId="0" shapeId="0" xr:uid="{2C14CC8A-80E8-4DB8-81FE-1F27FD2F71AB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+loss on equity method investment 
</t>
        </r>
      </text>
    </comment>
    <comment ref="H147" authorId="0" shapeId="0" xr:uid="{616A1F29-59A3-4E81-A59F-E436506974DD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sale of non-financial asset
</t>
        </r>
      </text>
    </comment>
  </commentList>
</comments>
</file>

<file path=xl/sharedStrings.xml><?xml version="1.0" encoding="utf-8"?>
<sst xmlns="http://schemas.openxmlformats.org/spreadsheetml/2006/main" count="386" uniqueCount="275">
  <si>
    <t>$MGTX</t>
  </si>
  <si>
    <t>x</t>
  </si>
  <si>
    <t>Capital Structure</t>
  </si>
  <si>
    <t>Price</t>
  </si>
  <si>
    <t>SO</t>
  </si>
  <si>
    <t>MC</t>
  </si>
  <si>
    <t>Cash</t>
  </si>
  <si>
    <t>Debt</t>
  </si>
  <si>
    <t>EV</t>
  </si>
  <si>
    <t>Q124</t>
  </si>
  <si>
    <t>ARO</t>
  </si>
  <si>
    <t>(Asset Retirement Obligation)</t>
  </si>
  <si>
    <t xml:space="preserve">Cash and cash reserves, restricted cash </t>
  </si>
  <si>
    <t>in thousands $</t>
  </si>
  <si>
    <t>Pipeline</t>
  </si>
  <si>
    <t>Name</t>
  </si>
  <si>
    <t>Indication</t>
  </si>
  <si>
    <t>Phase</t>
  </si>
  <si>
    <t>Economics</t>
  </si>
  <si>
    <t>AAV-GAD</t>
  </si>
  <si>
    <t>PD</t>
  </si>
  <si>
    <t xml:space="preserve">AAV-UPF1 </t>
  </si>
  <si>
    <t>ALS</t>
  </si>
  <si>
    <t>Pre Clinic</t>
  </si>
  <si>
    <t>BDNF-MC4R</t>
  </si>
  <si>
    <t>Metabolic</t>
  </si>
  <si>
    <t>GLP-1 GIP Myokine combinations</t>
  </si>
  <si>
    <t>Ribo-CAR-T</t>
  </si>
  <si>
    <t>Oncology</t>
  </si>
  <si>
    <t>Other prevalent indications</t>
  </si>
  <si>
    <t>X-linked RP</t>
  </si>
  <si>
    <t>IIB</t>
  </si>
  <si>
    <t>Additional</t>
  </si>
  <si>
    <t>RMAT</t>
  </si>
  <si>
    <t>PRIME, Fast Track,  Orphan Drug</t>
  </si>
  <si>
    <t xml:space="preserve">Xerostamia, Sjogren's Disease </t>
  </si>
  <si>
    <t>RMAT, Orphan Drug, (B as in Pivotal)</t>
  </si>
  <si>
    <t>AAV-RPE65</t>
  </si>
  <si>
    <t>RPE-65 Associated Retinal Dystrophy</t>
  </si>
  <si>
    <t>IIA</t>
  </si>
  <si>
    <t>Filing</t>
  </si>
  <si>
    <t>RPDD, Orphan Drug</t>
  </si>
  <si>
    <t>AAV-CNGB3</t>
  </si>
  <si>
    <t>Achromatopsia</t>
  </si>
  <si>
    <t>RPDD, PRIME, Fast Track,  Orphan Drug</t>
  </si>
  <si>
    <t>AAV-CNGA3</t>
  </si>
  <si>
    <t>IIA (1.5)</t>
  </si>
  <si>
    <t>RPDD, Fast Track,  Orphan Drug</t>
  </si>
  <si>
    <t>AAV-AIPL1</t>
  </si>
  <si>
    <t>LCA4</t>
  </si>
  <si>
    <t>?</t>
  </si>
  <si>
    <t xml:space="preserve">RPDD, MHRA Specials License ,  Orphan Status in US &amp; EU </t>
  </si>
  <si>
    <t>A007, A008</t>
  </si>
  <si>
    <t xml:space="preserve">RDH12, BBS10, Stargardt, KCNV2 </t>
  </si>
  <si>
    <t>RPDD</t>
  </si>
  <si>
    <t>I</t>
  </si>
  <si>
    <t>Wetg &amp; Dry AMD, Glaucoma, Uveitis</t>
  </si>
  <si>
    <t>I (0.7)</t>
  </si>
  <si>
    <t>Remaining interests in program sold to Janssen in December 2023; MeiraGTx to receive up to an aggregate of $350.0 million upon achievement of milestones and will manufacture and supply commercial product for Janssen.</t>
  </si>
  <si>
    <t>Fundamental</t>
  </si>
  <si>
    <t>Founded 2015</t>
  </si>
  <si>
    <t xml:space="preserve">2019: JNJ Collab, paid $100m upfront </t>
  </si>
  <si>
    <t>PPE</t>
  </si>
  <si>
    <t>Legally enforcable so I will count it as a debt, and note payable</t>
  </si>
  <si>
    <r>
      <rPr>
        <sz val="11"/>
        <color theme="1"/>
        <rFont val="Times New Roman"/>
        <family val="1"/>
        <charset val="162"/>
      </rPr>
      <t xml:space="preserve">PIC </t>
    </r>
    <r>
      <rPr>
        <i/>
        <sz val="11"/>
        <color theme="1"/>
        <rFont val="Times New Roman"/>
        <family val="1"/>
        <charset val="162"/>
      </rPr>
      <t>( Capital in excess of Par Value)</t>
    </r>
  </si>
  <si>
    <t>AD ( Accumulated Deficit)</t>
  </si>
  <si>
    <t>Botaretigene sparoparvovec (AAV-RPGR)</t>
  </si>
  <si>
    <t>III (Failed)</t>
  </si>
  <si>
    <t>AAV5-RDH12</t>
  </si>
  <si>
    <t>RDH12 retinal systrophy</t>
  </si>
  <si>
    <t>AAV8-RK-BBS10</t>
  </si>
  <si>
    <t>Bardet-Biedl Syndrome</t>
  </si>
  <si>
    <t>obesity</t>
  </si>
  <si>
    <t>FIH2025</t>
  </si>
  <si>
    <t>SNY  ROFR (First Right to Acquire)</t>
  </si>
  <si>
    <t>JNJ</t>
  </si>
  <si>
    <t>100% Investing Heavily</t>
  </si>
  <si>
    <t xml:space="preserve">AAV-AQP1 </t>
  </si>
  <si>
    <t>AAV-hAQP1</t>
  </si>
  <si>
    <t xml:space="preserve">Hologen AI, Strategic Collab </t>
  </si>
  <si>
    <t>Income Statement</t>
  </si>
  <si>
    <t xml:space="preserve">Service Revenue </t>
  </si>
  <si>
    <t>Hologen AI Strategic Collab 200m upfront payment, JV, Hologen Neuro AI Ltd further 230m capital commited to focus on expediting Phase III clinical development of AAV- GAD for PD</t>
  </si>
  <si>
    <t>https://investors.meiragtx.com/node/10136/pdf</t>
  </si>
  <si>
    <t>Positive data from AAV-GAD</t>
  </si>
  <si>
    <t>https://www.thelancet.com/journals/lancet/article/PIIS0140-6736(24)02812-5/fulltext</t>
  </si>
  <si>
    <t>LCA4, intends to submit MAA</t>
  </si>
  <si>
    <t>First Neuro AI clinical drug development, CNS circuitry</t>
  </si>
  <si>
    <t>OpEx</t>
  </si>
  <si>
    <t>Cost of Service</t>
  </si>
  <si>
    <t>General &amp; Admin</t>
  </si>
  <si>
    <t>Research &amp; Development</t>
  </si>
  <si>
    <t>Gross Profit</t>
  </si>
  <si>
    <t>Other</t>
  </si>
  <si>
    <t>Net Income/Loss</t>
  </si>
  <si>
    <t>Shares Outstanding</t>
  </si>
  <si>
    <t>EPS</t>
  </si>
  <si>
    <t>Q123</t>
  </si>
  <si>
    <t>Q223</t>
  </si>
  <si>
    <t>Q323</t>
  </si>
  <si>
    <t>Q423</t>
  </si>
  <si>
    <t>Q224</t>
  </si>
  <si>
    <t>Q324</t>
  </si>
  <si>
    <t>Q424</t>
  </si>
  <si>
    <t>Q125</t>
  </si>
  <si>
    <t>Q225E</t>
  </si>
  <si>
    <t>Q325E</t>
  </si>
  <si>
    <t>Q425E</t>
  </si>
  <si>
    <t>FY23</t>
  </si>
  <si>
    <t>FY24</t>
  </si>
  <si>
    <t>FY25E</t>
  </si>
  <si>
    <t>FY26E</t>
  </si>
  <si>
    <t>FY27E</t>
  </si>
  <si>
    <t>FY28E</t>
  </si>
  <si>
    <t>FY29E</t>
  </si>
  <si>
    <t>OpInc/Loss</t>
  </si>
  <si>
    <t>License Revenue</t>
  </si>
  <si>
    <t>Total Revenue</t>
  </si>
  <si>
    <t>n</t>
  </si>
  <si>
    <t>Cash Flow Statement</t>
  </si>
  <si>
    <t xml:space="preserve">"AAV BNDF" </t>
  </si>
  <si>
    <t>https://lifescievents.com/event/meiragtx-3/</t>
  </si>
  <si>
    <t>Botaretigene Sparoparvovec</t>
  </si>
  <si>
    <t>AAV-CNGB3/AAV-CNGA3</t>
  </si>
  <si>
    <t>Clinical Programs Costs</t>
  </si>
  <si>
    <t>Preclinical Program Costs</t>
  </si>
  <si>
    <t>Gene Regulation</t>
  </si>
  <si>
    <t>Neurodegenarative Diseases</t>
  </si>
  <si>
    <t>Preclinical Ocular Diseases</t>
  </si>
  <si>
    <t xml:space="preserve">Other </t>
  </si>
  <si>
    <t>YoY</t>
  </si>
  <si>
    <t>LCA4 % of RD</t>
  </si>
  <si>
    <t>RD Expense</t>
  </si>
  <si>
    <t>Balance Sheet</t>
  </si>
  <si>
    <t>AR</t>
  </si>
  <si>
    <t>Contract Assets</t>
  </si>
  <si>
    <t>Inventory</t>
  </si>
  <si>
    <t>Prepaid</t>
  </si>
  <si>
    <t>Tax Incentive</t>
  </si>
  <si>
    <t>Intangibles</t>
  </si>
  <si>
    <t>Restricted Cash</t>
  </si>
  <si>
    <t>Equity &amp; Other Investments</t>
  </si>
  <si>
    <t>Operating Lease</t>
  </si>
  <si>
    <t>Financing Lease</t>
  </si>
  <si>
    <t>Total Assets</t>
  </si>
  <si>
    <t>Total Current Assets</t>
  </si>
  <si>
    <t>Total Non-current Assets</t>
  </si>
  <si>
    <t>AP</t>
  </si>
  <si>
    <t>Accrued</t>
  </si>
  <si>
    <t>Lease Obligations</t>
  </si>
  <si>
    <t>Deferred Revenue</t>
  </si>
  <si>
    <t>Total Current Liabilities</t>
  </si>
  <si>
    <t xml:space="preserve">Lease Obligations </t>
  </si>
  <si>
    <t xml:space="preserve">Asset Retirement Obligations </t>
  </si>
  <si>
    <t>Note Payable</t>
  </si>
  <si>
    <t>Total Liabilities</t>
  </si>
  <si>
    <t>Shareholder's Equity</t>
  </si>
  <si>
    <t>L+S=A</t>
  </si>
  <si>
    <t>Total Mature Liablities</t>
  </si>
  <si>
    <t xml:space="preserve">Net Cash </t>
  </si>
  <si>
    <t>X</t>
  </si>
  <si>
    <t>NWC</t>
  </si>
  <si>
    <t>ΔNWC</t>
  </si>
  <si>
    <t>AAVRPGR</t>
  </si>
  <si>
    <t xml:space="preserve">Share Based Compensation </t>
  </si>
  <si>
    <t xml:space="preserve">FX </t>
  </si>
  <si>
    <t>D&amp;A</t>
  </si>
  <si>
    <t>Net Change in Right of Use Assets &amp; Liabilities</t>
  </si>
  <si>
    <t>Gain on termination of lease liabilities</t>
  </si>
  <si>
    <t>Gain on disposal of PPE</t>
  </si>
  <si>
    <t>Amortization of Interest on ARO</t>
  </si>
  <si>
    <t xml:space="preserve">Amortization of Debt Discount </t>
  </si>
  <si>
    <t>Gain on sale of non-financial assets</t>
  </si>
  <si>
    <t>Prepaids</t>
  </si>
  <si>
    <t>Acrrued Expense</t>
  </si>
  <si>
    <t xml:space="preserve">Deferred Revenue </t>
  </si>
  <si>
    <t>CFFO</t>
  </si>
  <si>
    <t>CapEx</t>
  </si>
  <si>
    <t>Purchase of PPE</t>
  </si>
  <si>
    <t>Proceeds from sale of non-financial assets</t>
  </si>
  <si>
    <t>CFFF</t>
  </si>
  <si>
    <t xml:space="preserve">Exercise of share options </t>
  </si>
  <si>
    <t>Payments of witholdings on shares witheld from income taxes</t>
  </si>
  <si>
    <t>FCF</t>
  </si>
  <si>
    <t xml:space="preserve">Proceeds from issuance of ordinary shares </t>
  </si>
  <si>
    <t>Issuance costs in connection with ordinary shares</t>
  </si>
  <si>
    <t>Reported Net Income</t>
  </si>
  <si>
    <t>Tax Incentive Receivable</t>
  </si>
  <si>
    <t>Cash Runway T12M</t>
  </si>
  <si>
    <t>2023 : sold AAV-RPGR to JNJ for 65m primary long story short reason : "bad secondary aims are good"</t>
  </si>
  <si>
    <t>improvement of visual acuity</t>
  </si>
  <si>
    <t>Initial focus on obesity, and metabolic disease</t>
  </si>
  <si>
    <t xml:space="preserve">commercial supply agreement up to 285m </t>
  </si>
  <si>
    <t>Switches</t>
  </si>
  <si>
    <t>Conservative</t>
  </si>
  <si>
    <t>Base</t>
  </si>
  <si>
    <t>Optimistic</t>
  </si>
  <si>
    <t>Assumptions</t>
  </si>
  <si>
    <t>Year</t>
  </si>
  <si>
    <t>Metric</t>
  </si>
  <si>
    <t>Revenue</t>
  </si>
  <si>
    <t>EBIT</t>
  </si>
  <si>
    <t>WACC</t>
  </si>
  <si>
    <t>TGR</t>
  </si>
  <si>
    <t>Valuation</t>
  </si>
  <si>
    <t>Discounted Cash Flow</t>
  </si>
  <si>
    <t>Taxes</t>
  </si>
  <si>
    <t>EBIAT</t>
  </si>
  <si>
    <t>Change in NWC</t>
  </si>
  <si>
    <t>Unlevered FCF</t>
  </si>
  <si>
    <t>Period</t>
  </si>
  <si>
    <t>Discounted Period</t>
  </si>
  <si>
    <t>TV</t>
  </si>
  <si>
    <t>Present Value of TV</t>
  </si>
  <si>
    <t>Equity Value</t>
  </si>
  <si>
    <t>S/O</t>
  </si>
  <si>
    <t>Implied Stock Price</t>
  </si>
  <si>
    <t>FY19</t>
  </si>
  <si>
    <t>FY20</t>
  </si>
  <si>
    <t>FY21</t>
  </si>
  <si>
    <t>FY22</t>
  </si>
  <si>
    <t>FY18</t>
  </si>
  <si>
    <t>% of Equity</t>
  </si>
  <si>
    <t>Cost of Equity</t>
  </si>
  <si>
    <t>Risk Free Rate</t>
  </si>
  <si>
    <t>Beta</t>
  </si>
  <si>
    <t>Market Risk Premium</t>
  </si>
  <si>
    <t>% of Debt</t>
  </si>
  <si>
    <t>Cost of Debt</t>
  </si>
  <si>
    <t>Tax Rate</t>
  </si>
  <si>
    <t>Total</t>
  </si>
  <si>
    <t>Date</t>
  </si>
  <si>
    <t>Year End</t>
  </si>
  <si>
    <t>25-29</t>
  </si>
  <si>
    <t>NOL Carryforward</t>
  </si>
  <si>
    <t>A</t>
  </si>
  <si>
    <t>B</t>
  </si>
  <si>
    <t>C</t>
  </si>
  <si>
    <t>a)</t>
  </si>
  <si>
    <t>b)</t>
  </si>
  <si>
    <t>c)</t>
  </si>
  <si>
    <t>Present Value of FCF</t>
  </si>
  <si>
    <t>Model Assumption</t>
  </si>
  <si>
    <t>a,b bleeding scneario's</t>
  </si>
  <si>
    <t xml:space="preserve">when I found out, a buddy of mine told me that whole additional pipeline is free in terms of implied/intrinsic stock price, back then it was 5.89 </t>
  </si>
  <si>
    <t>majority of the HF's even the most controversial ones assume profitability by 2029</t>
  </si>
  <si>
    <t xml:space="preserve">we have a range of 18 to 28 dollars, </t>
  </si>
  <si>
    <t>18 being the conservative</t>
  </si>
  <si>
    <t>28 is optimistic</t>
  </si>
  <si>
    <t>if that’s the case scneario, c is our base scneario</t>
  </si>
  <si>
    <t xml:space="preserve">the rest of the scneario's (MoS, bleeding scneario's) needs some extra work </t>
  </si>
  <si>
    <t>https://pubmed.ncbi.nlm.nih.gov/20882054/</t>
  </si>
  <si>
    <t>JCI Insight. 2017 Apr 6;2(7):e90133.</t>
  </si>
  <si>
    <t>Genome Res. 2013 Oct;23(10):1636-1650.</t>
  </si>
  <si>
    <t>Nat Neurosci. 2003 Jul;6(7):736-742.</t>
  </si>
  <si>
    <t>Gene therapy in ophthalmology poses significant economic burden; near-complete take-up in UK for achromatopsia</t>
  </si>
  <si>
    <t>Cold Spring Harb Perspect Med. 2015 Sep;5(9):a017285.</t>
  </si>
  <si>
    <t>J Biomed Res. 2020 Mar;34(2):114-121.</t>
  </si>
  <si>
    <t>PLoS One. 2012;7(4):e35250.</t>
  </si>
  <si>
    <t>“Gene therapy for xerostomia (dry mouth) and Sjögren’s syndrome; delivers aquaporin-1 to restore salivary gland function.</t>
  </si>
  <si>
    <t>Gene therapy for RDH12-associated retinal dystrophy.</t>
  </si>
  <si>
    <t>Bardet-Biedl Syndrome (aiming gene theraphy)</t>
  </si>
  <si>
    <t>Metabolic indication, Preclinical phase; bespoke combinations to impact muscle/bone strength, white fat browning, CNS BDNF</t>
  </si>
  <si>
    <t>Phase II completed; Orphan Drug Designation (US FDA, EMA); patent başvuruları mevcut</t>
  </si>
  <si>
    <t>Preclinical studies; patent başvuruları mevcut.</t>
  </si>
  <si>
    <t>Preclinical studies; orphan drug başvurusu planlanıyor.</t>
  </si>
  <si>
    <t>“Preclinical studies; patent başvuruları mevcut.</t>
  </si>
  <si>
    <t>Phase 3 (LUMEOS study) ongoing; Orphan Drug designations (US FDA, EMA); Fast Track designation (US FDA)</t>
  </si>
  <si>
    <t>“FDA &amp; EMA approved (Luxturna); Orphan Drug &amp; Rare Pediatric Disease Designations; Phase 1/2 clinical trials completed.”</t>
  </si>
  <si>
    <t>Fast Track, Orphan Drug (FDA, EMA), Rare Pediatric Disease Designations; Phase 1/2 clinical trials ongoing</t>
  </si>
  <si>
    <t>Orphan Drug Status (US, EU), Rare Pediatric Disease Designation; Clinical trials ongoing, potential filing end of 2026</t>
  </si>
  <si>
    <t>Orphan Drug Status (US, EU), Rare Pediatric Disease Designation; Clinical trials ongoing, post-IND</t>
  </si>
  <si>
    <t>Preclinical studies; patent başvuruları mevcut.”</t>
  </si>
  <si>
    <t>Extra</t>
  </si>
  <si>
    <t xml:space="preserve">MGTX holds %30 equity of the JV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</si>
</sst>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;\(0.0%\)"/>
    <numFmt numFmtId="165" formatCode="0.0%"/>
  </numFmts>
  <fonts count="18" x14ac:knownFonts="1">
    <font>
      <sz val="11"/>
      <color theme="1"/>
      <name val="Times New Roman"/>
      <family val="2"/>
    </font>
    <font>
      <sz val="13"/>
      <color theme="1"/>
      <name val="Times New Roman"/>
      <family val="2"/>
    </font>
    <font>
      <u/>
      <sz val="11"/>
      <color theme="1"/>
      <name val="Times New Roman"/>
      <family val="2"/>
    </font>
    <font>
      <i/>
      <sz val="11"/>
      <color theme="1"/>
      <name val="Times New Roman"/>
      <family val="1"/>
      <charset val="162"/>
    </font>
    <font>
      <u val="singleAccounting"/>
      <sz val="11"/>
      <color theme="1"/>
      <name val="Times New Roman"/>
      <family val="2"/>
    </font>
    <font>
      <b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i/>
      <sz val="8"/>
      <color rgb="FF5167C3"/>
      <name val="Arial"/>
      <family val="2"/>
      <charset val="162"/>
    </font>
    <font>
      <sz val="11"/>
      <color theme="0"/>
      <name val="Times New Roman"/>
      <family val="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sz val="11"/>
      <color theme="0"/>
      <name val="Times New Roman"/>
      <family val="1"/>
      <charset val="162"/>
    </font>
    <font>
      <b/>
      <u val="singleAccounting"/>
      <sz val="11"/>
      <color theme="1"/>
      <name val="Times New Roman"/>
      <family val="1"/>
      <charset val="162"/>
    </font>
    <font>
      <sz val="11"/>
      <color theme="1"/>
      <name val="Times New Roman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Segoe U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62">
    <xf numFmtId="0" fontId="0" fillId="0" borderId="0" xfId="0"/>
    <xf numFmtId="43" fontId="0" fillId="0" borderId="0" xfId="0" applyNumberFormat="1"/>
    <xf numFmtId="43" fontId="1" fillId="0" borderId="0" xfId="0" applyNumberFormat="1" applyFont="1"/>
    <xf numFmtId="43" fontId="0" fillId="0" borderId="1" xfId="0" applyNumberFormat="1" applyBorder="1"/>
    <xf numFmtId="43" fontId="2" fillId="0" borderId="0" xfId="0" applyNumberFormat="1" applyFont="1"/>
    <xf numFmtId="14" fontId="0" fillId="0" borderId="0" xfId="0" applyNumberFormat="1"/>
    <xf numFmtId="43" fontId="3" fillId="0" borderId="0" xfId="0" applyNumberFormat="1" applyFont="1"/>
    <xf numFmtId="43" fontId="4" fillId="0" borderId="0" xfId="0" applyNumberFormat="1" applyFont="1"/>
    <xf numFmtId="43" fontId="0" fillId="0" borderId="2" xfId="0" applyNumberFormat="1" applyBorder="1"/>
    <xf numFmtId="43" fontId="5" fillId="0" borderId="2" xfId="0" applyNumberFormat="1" applyFont="1" applyBorder="1"/>
    <xf numFmtId="0" fontId="7" fillId="0" borderId="2" xfId="0" applyFont="1" applyBorder="1"/>
    <xf numFmtId="43" fontId="8" fillId="2" borderId="0" xfId="0" applyNumberFormat="1" applyFont="1" applyFill="1"/>
    <xf numFmtId="43" fontId="8" fillId="2" borderId="1" xfId="0" applyNumberFormat="1" applyFont="1" applyFill="1" applyBorder="1"/>
    <xf numFmtId="43" fontId="3" fillId="0" borderId="0" xfId="0" applyNumberFormat="1" applyFont="1" applyAlignment="1">
      <alignment horizontal="right"/>
    </xf>
    <xf numFmtId="43" fontId="8" fillId="0" borderId="1" xfId="0" applyNumberFormat="1" applyFont="1" applyBorder="1"/>
    <xf numFmtId="43" fontId="8" fillId="0" borderId="0" xfId="0" applyNumberFormat="1" applyFont="1"/>
    <xf numFmtId="43" fontId="0" fillId="0" borderId="0" xfId="0" applyNumberFormat="1" applyAlignment="1">
      <alignment horizontal="right"/>
    </xf>
    <xf numFmtId="43" fontId="6" fillId="0" borderId="2" xfId="0" applyNumberFormat="1" applyFont="1" applyBorder="1"/>
    <xf numFmtId="43" fontId="0" fillId="0" borderId="0" xfId="0" applyNumberFormat="1" applyAlignment="1">
      <alignment horizontal="left" indent="1"/>
    </xf>
    <xf numFmtId="43" fontId="11" fillId="0" borderId="0" xfId="0" applyNumberFormat="1" applyFont="1"/>
    <xf numFmtId="43" fontId="5" fillId="0" borderId="0" xfId="0" applyNumberFormat="1" applyFont="1"/>
    <xf numFmtId="43" fontId="12" fillId="0" borderId="0" xfId="0" applyNumberFormat="1" applyFont="1"/>
    <xf numFmtId="10" fontId="0" fillId="0" borderId="0" xfId="0" applyNumberFormat="1"/>
    <xf numFmtId="43" fontId="5" fillId="0" borderId="0" xfId="0" applyNumberFormat="1" applyFont="1" applyAlignment="1">
      <alignment horizontal="right"/>
    </xf>
    <xf numFmtId="43" fontId="0" fillId="0" borderId="3" xfId="0" applyNumberFormat="1" applyBorder="1"/>
    <xf numFmtId="43" fontId="0" fillId="0" borderId="4" xfId="0" applyNumberFormat="1" applyBorder="1"/>
    <xf numFmtId="43" fontId="0" fillId="0" borderId="5" xfId="0" applyNumberFormat="1" applyBorder="1"/>
    <xf numFmtId="0" fontId="5" fillId="0" borderId="0" xfId="0" applyFont="1" applyAlignment="1">
      <alignment horizontal="left" indent="1"/>
    </xf>
    <xf numFmtId="0" fontId="0" fillId="2" borderId="0" xfId="0" applyFill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5" fontId="0" fillId="2" borderId="6" xfId="1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5" fontId="0" fillId="2" borderId="2" xfId="1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5" fontId="0" fillId="2" borderId="7" xfId="1" applyNumberFormat="1" applyFont="1" applyFill="1" applyBorder="1" applyAlignment="1">
      <alignment horizontal="center"/>
    </xf>
    <xf numFmtId="43" fontId="3" fillId="0" borderId="0" xfId="0" applyNumberFormat="1" applyFont="1" applyAlignment="1">
      <alignment horizontal="left" indent="1"/>
    </xf>
    <xf numFmtId="3" fontId="0" fillId="0" borderId="0" xfId="0" applyNumberFormat="1"/>
    <xf numFmtId="165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65" fontId="0" fillId="0" borderId="0" xfId="0" applyNumberFormat="1"/>
    <xf numFmtId="10" fontId="0" fillId="2" borderId="7" xfId="0" applyNumberFormat="1" applyFill="1" applyBorder="1" applyAlignment="1">
      <alignment horizontal="right"/>
    </xf>
    <xf numFmtId="10" fontId="0" fillId="2" borderId="1" xfId="0" applyNumberFormat="1" applyFill="1" applyBorder="1" applyAlignment="1">
      <alignment horizontal="right"/>
    </xf>
    <xf numFmtId="164" fontId="0" fillId="0" borderId="0" xfId="0" applyNumberFormat="1"/>
    <xf numFmtId="164" fontId="3" fillId="2" borderId="0" xfId="0" applyNumberFormat="1" applyFont="1" applyFill="1" applyAlignment="1">
      <alignment horizontal="right"/>
    </xf>
    <xf numFmtId="43" fontId="0" fillId="2" borderId="2" xfId="0" applyNumberFormat="1" applyFill="1" applyBorder="1"/>
    <xf numFmtId="43" fontId="5" fillId="0" borderId="3" xfId="0" applyNumberFormat="1" applyFont="1" applyBorder="1"/>
    <xf numFmtId="0" fontId="0" fillId="0" borderId="2" xfId="0" applyBorder="1"/>
    <xf numFmtId="0" fontId="6" fillId="0" borderId="2" xfId="0" applyFont="1" applyBorder="1"/>
    <xf numFmtId="0" fontId="6" fillId="3" borderId="2" xfId="0" applyFont="1" applyFill="1" applyBorder="1"/>
    <xf numFmtId="0" fontId="0" fillId="3" borderId="2" xfId="0" applyFill="1" applyBorder="1"/>
    <xf numFmtId="0" fontId="17" fillId="3" borderId="2" xfId="0" applyFont="1" applyFill="1" applyBorder="1"/>
    <xf numFmtId="0" fontId="17" fillId="2" borderId="2" xfId="0" applyFont="1" applyFill="1" applyBorder="1"/>
    <xf numFmtId="0" fontId="0" fillId="2" borderId="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59</xdr:row>
      <xdr:rowOff>167640</xdr:rowOff>
    </xdr:from>
    <xdr:to>
      <xdr:col>5</xdr:col>
      <xdr:colOff>3635754</xdr:colOff>
      <xdr:row>93</xdr:row>
      <xdr:rowOff>61467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A96E4-064C-5055-24DC-4C073CB23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" y="10591800"/>
          <a:ext cx="11705334" cy="5852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144780</xdr:rowOff>
    </xdr:from>
    <xdr:to>
      <xdr:col>5</xdr:col>
      <xdr:colOff>1013460</xdr:colOff>
      <xdr:row>137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951DD5-2790-736A-2A66-E7827976C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17251680"/>
          <a:ext cx="9098280" cy="6964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182880</xdr:colOff>
      <xdr:row>140</xdr:row>
      <xdr:rowOff>167640</xdr:rowOff>
    </xdr:from>
    <xdr:to>
      <xdr:col>5</xdr:col>
      <xdr:colOff>3520440</xdr:colOff>
      <xdr:row>188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CFCE2E-310B-8FD7-83F6-A8A2984EF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" y="24856440"/>
          <a:ext cx="11620500" cy="829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312-80AA-4CF9-BCF2-CF6782E665CE}">
  <dimension ref="A2:H142"/>
  <sheetViews>
    <sheetView showGridLines="0" tabSelected="1" topLeftCell="A26" workbookViewId="0">
      <selection activeCell="B26" sqref="B26"/>
    </sheetView>
  </sheetViews>
  <sheetFormatPr defaultRowHeight="13.8" x14ac:dyDescent="0.25"/>
  <cols>
    <col min="1" max="1" width="2.88671875" style="11" customWidth="1"/>
    <col min="2" max="2" width="41.33203125" style="1" bestFit="1" customWidth="1"/>
    <col min="3" max="3" width="34" style="1" bestFit="1" customWidth="1"/>
    <col min="4" max="4" width="10.21875" style="1" bestFit="1" customWidth="1"/>
    <col min="5" max="5" width="32.33203125" style="1" bestFit="1" customWidth="1"/>
    <col min="6" max="6" width="56" style="1" customWidth="1"/>
    <col min="7" max="7" width="105.33203125" style="1" bestFit="1" customWidth="1"/>
    <col min="8" max="8" width="107.6640625" style="1" bestFit="1" customWidth="1"/>
    <col min="9" max="16384" width="8.88671875" style="1"/>
  </cols>
  <sheetData>
    <row r="2" spans="1:6" ht="16.8" x14ac:dyDescent="0.3">
      <c r="A2" s="11" t="s">
        <v>1</v>
      </c>
      <c r="B2" s="2" t="s">
        <v>0</v>
      </c>
      <c r="C2" s="5">
        <v>45847</v>
      </c>
      <c r="D2" s="6" t="s">
        <v>13</v>
      </c>
    </row>
    <row r="3" spans="1:6" s="3" customFormat="1" x14ac:dyDescent="0.25">
      <c r="A3" s="12"/>
    </row>
    <row r="4" spans="1:6" x14ac:dyDescent="0.25">
      <c r="A4" s="11" t="s">
        <v>1</v>
      </c>
      <c r="B4" s="4" t="s">
        <v>2</v>
      </c>
    </row>
    <row r="5" spans="1:6" ht="15.6" x14ac:dyDescent="0.4">
      <c r="F5" s="7" t="s">
        <v>242</v>
      </c>
    </row>
    <row r="6" spans="1:6" x14ac:dyDescent="0.25">
      <c r="B6" s="1" t="s">
        <v>3</v>
      </c>
      <c r="C6" s="1">
        <v>8.48</v>
      </c>
      <c r="D6" s="1" t="s">
        <v>104</v>
      </c>
      <c r="F6" s="1" t="s">
        <v>243</v>
      </c>
    </row>
    <row r="7" spans="1:6" x14ac:dyDescent="0.25">
      <c r="B7" s="1" t="s">
        <v>4</v>
      </c>
      <c r="C7" s="1">
        <v>80365.358999999997</v>
      </c>
      <c r="D7" s="1" t="s">
        <v>104</v>
      </c>
      <c r="F7" s="1" t="s">
        <v>244</v>
      </c>
    </row>
    <row r="8" spans="1:6" x14ac:dyDescent="0.25">
      <c r="B8" s="1" t="s">
        <v>5</v>
      </c>
      <c r="C8" s="1">
        <f>C7*C6</f>
        <v>681498.24432000006</v>
      </c>
      <c r="D8" s="1" t="s">
        <v>104</v>
      </c>
      <c r="F8" s="1" t="s">
        <v>245</v>
      </c>
    </row>
    <row r="9" spans="1:6" x14ac:dyDescent="0.25">
      <c r="B9" s="1" t="s">
        <v>6</v>
      </c>
      <c r="C9" s="1">
        <f>2087+66523</f>
        <v>68610</v>
      </c>
      <c r="D9" s="1" t="s">
        <v>104</v>
      </c>
      <c r="F9" s="1" t="s">
        <v>249</v>
      </c>
    </row>
    <row r="10" spans="1:6" x14ac:dyDescent="0.25">
      <c r="B10" s="1" t="s">
        <v>7</v>
      </c>
      <c r="C10" s="1">
        <f>1344+73495</f>
        <v>74839</v>
      </c>
      <c r="D10" s="1" t="s">
        <v>104</v>
      </c>
      <c r="F10" s="1" t="s">
        <v>246</v>
      </c>
    </row>
    <row r="11" spans="1:6" x14ac:dyDescent="0.25">
      <c r="B11" s="1" t="s">
        <v>8</v>
      </c>
      <c r="C11" s="1">
        <f>C8-C9+C10</f>
        <v>687727.24432000006</v>
      </c>
      <c r="D11" s="1" t="s">
        <v>104</v>
      </c>
      <c r="F11" s="1" t="s">
        <v>247</v>
      </c>
    </row>
    <row r="12" spans="1:6" x14ac:dyDescent="0.25">
      <c r="F12" s="1" t="s">
        <v>248</v>
      </c>
    </row>
    <row r="13" spans="1:6" x14ac:dyDescent="0.25">
      <c r="B13" s="1" t="s">
        <v>62</v>
      </c>
      <c r="C13" s="1">
        <v>104408</v>
      </c>
      <c r="D13" s="1" t="s">
        <v>104</v>
      </c>
      <c r="F13" s="1" t="s">
        <v>250</v>
      </c>
    </row>
    <row r="14" spans="1:6" x14ac:dyDescent="0.25">
      <c r="B14" s="6" t="s">
        <v>64</v>
      </c>
      <c r="C14" s="1">
        <v>780165</v>
      </c>
      <c r="D14" s="1" t="s">
        <v>104</v>
      </c>
    </row>
    <row r="15" spans="1:6" x14ac:dyDescent="0.25">
      <c r="B15" s="6" t="s">
        <v>65</v>
      </c>
      <c r="C15" s="1">
        <v>742003</v>
      </c>
      <c r="D15" s="1" t="s">
        <v>104</v>
      </c>
    </row>
    <row r="19" spans="1:8" x14ac:dyDescent="0.25">
      <c r="B19" s="1" t="s">
        <v>10</v>
      </c>
    </row>
    <row r="20" spans="1:8" x14ac:dyDescent="0.25">
      <c r="B20" s="6" t="s">
        <v>11</v>
      </c>
    </row>
    <row r="21" spans="1:8" x14ac:dyDescent="0.25">
      <c r="B21" s="6" t="s">
        <v>63</v>
      </c>
      <c r="F21" s="1">
        <v>250</v>
      </c>
    </row>
    <row r="23" spans="1:8" x14ac:dyDescent="0.25">
      <c r="B23" s="6" t="s">
        <v>12</v>
      </c>
    </row>
    <row r="25" spans="1:8" ht="15.6" x14ac:dyDescent="0.4">
      <c r="A25" s="11" t="s">
        <v>1</v>
      </c>
      <c r="B25" s="7" t="s">
        <v>14</v>
      </c>
    </row>
    <row r="27" spans="1:8" x14ac:dyDescent="0.25">
      <c r="B27" s="8" t="s">
        <v>15</v>
      </c>
      <c r="C27" s="8" t="s">
        <v>16</v>
      </c>
      <c r="D27" s="8" t="s">
        <v>17</v>
      </c>
      <c r="E27" s="8" t="s">
        <v>18</v>
      </c>
      <c r="F27" s="8" t="s">
        <v>32</v>
      </c>
      <c r="G27" s="8" t="s">
        <v>40</v>
      </c>
      <c r="H27" s="1" t="s">
        <v>273</v>
      </c>
    </row>
    <row r="28" spans="1:8" ht="15" x14ac:dyDescent="0.35">
      <c r="B28" s="9" t="s">
        <v>77</v>
      </c>
      <c r="C28" s="9" t="s">
        <v>35</v>
      </c>
      <c r="D28" s="9" t="s">
        <v>31</v>
      </c>
      <c r="E28" s="9" t="s">
        <v>76</v>
      </c>
      <c r="F28" s="54" t="s">
        <v>36</v>
      </c>
      <c r="G28" s="8" t="s">
        <v>251</v>
      </c>
      <c r="H28" s="59" t="s">
        <v>263</v>
      </c>
    </row>
    <row r="29" spans="1:8" ht="15" x14ac:dyDescent="0.35">
      <c r="B29" s="8" t="s">
        <v>19</v>
      </c>
      <c r="C29" s="8" t="s">
        <v>20</v>
      </c>
      <c r="D29" s="8" t="s">
        <v>31</v>
      </c>
      <c r="E29" s="8" t="s">
        <v>79</v>
      </c>
      <c r="F29" s="24" t="s">
        <v>33</v>
      </c>
      <c r="G29" s="55" t="s">
        <v>252</v>
      </c>
      <c r="H29" s="60" t="s">
        <v>264</v>
      </c>
    </row>
    <row r="30" spans="1:8" ht="15" x14ac:dyDescent="0.35">
      <c r="B30" s="8" t="s">
        <v>21</v>
      </c>
      <c r="C30" s="8" t="s">
        <v>22</v>
      </c>
      <c r="D30" s="8" t="s">
        <v>23</v>
      </c>
      <c r="E30" s="8"/>
      <c r="F30" s="24"/>
      <c r="G30" s="55" t="s">
        <v>253</v>
      </c>
      <c r="H30" s="59" t="s">
        <v>265</v>
      </c>
    </row>
    <row r="31" spans="1:8" ht="15" x14ac:dyDescent="0.35">
      <c r="B31" s="8" t="s">
        <v>24</v>
      </c>
      <c r="C31" s="8" t="s">
        <v>25</v>
      </c>
      <c r="D31" s="8" t="s">
        <v>23</v>
      </c>
      <c r="E31" s="8"/>
      <c r="F31" s="24"/>
      <c r="G31" s="55" t="s">
        <v>254</v>
      </c>
      <c r="H31" s="60" t="s">
        <v>264</v>
      </c>
    </row>
    <row r="32" spans="1:8" ht="15" x14ac:dyDescent="0.35">
      <c r="B32" s="8" t="s">
        <v>26</v>
      </c>
      <c r="C32" s="8" t="s">
        <v>25</v>
      </c>
      <c r="D32" s="8" t="s">
        <v>23</v>
      </c>
      <c r="E32" s="8"/>
      <c r="F32" s="24"/>
      <c r="G32" s="8"/>
      <c r="H32" s="59" t="s">
        <v>266</v>
      </c>
    </row>
    <row r="33" spans="2:8" x14ac:dyDescent="0.25">
      <c r="B33" s="8" t="s">
        <v>27</v>
      </c>
      <c r="C33" s="8" t="s">
        <v>28</v>
      </c>
      <c r="D33" s="8" t="s">
        <v>23</v>
      </c>
      <c r="E33" s="8"/>
      <c r="F33" s="24"/>
      <c r="G33" s="8"/>
      <c r="H33" s="53"/>
    </row>
    <row r="34" spans="2:8" ht="15" x14ac:dyDescent="0.35">
      <c r="B34" s="8" t="s">
        <v>29</v>
      </c>
      <c r="C34" s="8">
        <v>0</v>
      </c>
      <c r="D34" s="8" t="s">
        <v>23</v>
      </c>
      <c r="E34" s="8"/>
      <c r="F34" s="24"/>
      <c r="G34" s="8" t="s">
        <v>191</v>
      </c>
      <c r="H34" s="59" t="s">
        <v>267</v>
      </c>
    </row>
    <row r="35" spans="2:8" ht="15" x14ac:dyDescent="0.35">
      <c r="B35" s="8" t="s">
        <v>66</v>
      </c>
      <c r="C35" s="8" t="s">
        <v>30</v>
      </c>
      <c r="D35" s="8" t="s">
        <v>67</v>
      </c>
      <c r="E35" s="8" t="s">
        <v>75</v>
      </c>
      <c r="F35" s="24" t="s">
        <v>34</v>
      </c>
      <c r="G35" s="55" t="s">
        <v>255</v>
      </c>
      <c r="H35" s="60" t="s">
        <v>268</v>
      </c>
    </row>
    <row r="36" spans="2:8" x14ac:dyDescent="0.25">
      <c r="B36" s="8" t="s">
        <v>37</v>
      </c>
      <c r="C36" s="8" t="s">
        <v>38</v>
      </c>
      <c r="D36" s="8" t="s">
        <v>39</v>
      </c>
      <c r="E36" s="8"/>
      <c r="F36" s="24" t="s">
        <v>41</v>
      </c>
      <c r="G36" s="55" t="s">
        <v>256</v>
      </c>
      <c r="H36" s="58" t="s">
        <v>269</v>
      </c>
    </row>
    <row r="37" spans="2:8" x14ac:dyDescent="0.25">
      <c r="B37" s="8" t="s">
        <v>42</v>
      </c>
      <c r="C37" s="8" t="s">
        <v>43</v>
      </c>
      <c r="D37" s="8" t="s">
        <v>39</v>
      </c>
      <c r="E37" s="8"/>
      <c r="F37" s="24" t="s">
        <v>44</v>
      </c>
      <c r="G37" s="55" t="s">
        <v>257</v>
      </c>
      <c r="H37" s="61" t="s">
        <v>270</v>
      </c>
    </row>
    <row r="38" spans="2:8" ht="15" x14ac:dyDescent="0.35">
      <c r="B38" s="8" t="s">
        <v>45</v>
      </c>
      <c r="C38" s="8" t="s">
        <v>43</v>
      </c>
      <c r="D38" s="8" t="s">
        <v>46</v>
      </c>
      <c r="E38" s="8"/>
      <c r="F38" s="24" t="s">
        <v>47</v>
      </c>
      <c r="G38" s="55" t="s">
        <v>258</v>
      </c>
      <c r="H38" s="59" t="s">
        <v>271</v>
      </c>
    </row>
    <row r="39" spans="2:8" ht="15" x14ac:dyDescent="0.35">
      <c r="B39" s="9" t="s">
        <v>48</v>
      </c>
      <c r="C39" s="9" t="s">
        <v>49</v>
      </c>
      <c r="D39" s="9" t="s">
        <v>50</v>
      </c>
      <c r="E39" s="9"/>
      <c r="F39" s="54" t="s">
        <v>51</v>
      </c>
      <c r="G39" s="17" t="s">
        <v>121</v>
      </c>
      <c r="H39" s="60" t="s">
        <v>272</v>
      </c>
    </row>
    <row r="40" spans="2:8" x14ac:dyDescent="0.25">
      <c r="B40" s="8" t="s">
        <v>52</v>
      </c>
      <c r="C40" s="8" t="s">
        <v>53</v>
      </c>
      <c r="D40" s="8" t="s">
        <v>55</v>
      </c>
      <c r="E40" s="8"/>
      <c r="F40" s="24" t="s">
        <v>54</v>
      </c>
      <c r="G40" s="56" t="s">
        <v>259</v>
      </c>
    </row>
    <row r="41" spans="2:8" x14ac:dyDescent="0.25">
      <c r="G41" s="57" t="s">
        <v>260</v>
      </c>
    </row>
    <row r="42" spans="2:8" x14ac:dyDescent="0.25">
      <c r="B42" s="9" t="s">
        <v>78</v>
      </c>
      <c r="C42" s="8"/>
      <c r="D42" s="8"/>
      <c r="E42" s="8"/>
      <c r="F42" s="24"/>
      <c r="G42" s="8" t="s">
        <v>261</v>
      </c>
    </row>
    <row r="43" spans="2:8" x14ac:dyDescent="0.25">
      <c r="B43" s="8" t="s">
        <v>68</v>
      </c>
      <c r="C43" s="8" t="s">
        <v>69</v>
      </c>
      <c r="D43" s="8"/>
      <c r="E43" s="8"/>
      <c r="F43" s="24"/>
      <c r="G43" s="58" t="s">
        <v>262</v>
      </c>
    </row>
    <row r="44" spans="2:8" x14ac:dyDescent="0.25">
      <c r="B44" s="8" t="s">
        <v>70</v>
      </c>
      <c r="C44" s="8" t="s">
        <v>71</v>
      </c>
      <c r="D44" s="8"/>
      <c r="E44" s="8"/>
      <c r="F44" s="24"/>
      <c r="G44" s="8"/>
    </row>
    <row r="45" spans="2:8" x14ac:dyDescent="0.25">
      <c r="B45" s="8" t="s">
        <v>120</v>
      </c>
      <c r="C45" s="8" t="s">
        <v>72</v>
      </c>
      <c r="D45" s="8" t="s">
        <v>73</v>
      </c>
      <c r="E45" s="8" t="s">
        <v>74</v>
      </c>
      <c r="F45" s="24"/>
      <c r="G45" s="8"/>
    </row>
    <row r="46" spans="2:8" x14ac:dyDescent="0.25">
      <c r="B46" s="8"/>
      <c r="C46" s="8" t="s">
        <v>56</v>
      </c>
      <c r="D46" s="8" t="s">
        <v>57</v>
      </c>
      <c r="E46" s="8"/>
      <c r="F46" s="10" t="s">
        <v>58</v>
      </c>
      <c r="G46" s="8"/>
    </row>
    <row r="49" spans="2:7" ht="15.6" x14ac:dyDescent="0.4">
      <c r="B49" s="7" t="s">
        <v>59</v>
      </c>
    </row>
    <row r="51" spans="2:7" x14ac:dyDescent="0.25">
      <c r="B51" s="1" t="s">
        <v>60</v>
      </c>
    </row>
    <row r="52" spans="2:7" x14ac:dyDescent="0.25">
      <c r="B52" s="1" t="s">
        <v>189</v>
      </c>
      <c r="E52" s="1" t="s">
        <v>192</v>
      </c>
    </row>
    <row r="53" spans="2:7" x14ac:dyDescent="0.25">
      <c r="B53" s="1" t="s">
        <v>61</v>
      </c>
    </row>
    <row r="54" spans="2:7" x14ac:dyDescent="0.25">
      <c r="B54" s="1" t="s">
        <v>82</v>
      </c>
      <c r="G54" s="1" t="s">
        <v>274</v>
      </c>
    </row>
    <row r="55" spans="2:7" x14ac:dyDescent="0.25">
      <c r="B55" s="1" t="s">
        <v>83</v>
      </c>
    </row>
    <row r="56" spans="2:7" x14ac:dyDescent="0.25">
      <c r="B56" s="1" t="s">
        <v>87</v>
      </c>
    </row>
    <row r="57" spans="2:7" x14ac:dyDescent="0.25">
      <c r="B57" s="1" t="s">
        <v>84</v>
      </c>
    </row>
    <row r="58" spans="2:7" x14ac:dyDescent="0.25">
      <c r="B58" s="1" t="s">
        <v>86</v>
      </c>
    </row>
    <row r="59" spans="2:7" x14ac:dyDescent="0.25">
      <c r="B59" s="6" t="s">
        <v>85</v>
      </c>
    </row>
    <row r="76" spans="2:2" x14ac:dyDescent="0.25">
      <c r="B76" s="1" t="s">
        <v>118</v>
      </c>
    </row>
    <row r="79" spans="2:2" x14ac:dyDescent="0.25">
      <c r="B79" s="1" t="s">
        <v>118</v>
      </c>
    </row>
    <row r="96" spans="2:2" ht="15.6" x14ac:dyDescent="0.4">
      <c r="B96" s="7" t="s">
        <v>49</v>
      </c>
    </row>
    <row r="97" spans="2:2" x14ac:dyDescent="0.25">
      <c r="B97" s="6" t="s">
        <v>190</v>
      </c>
    </row>
    <row r="140" spans="2:2" ht="15.6" x14ac:dyDescent="0.4">
      <c r="B140" s="7" t="s">
        <v>163</v>
      </c>
    </row>
    <row r="142" spans="2:2" x14ac:dyDescent="0.25">
      <c r="B14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D206-E05D-46D9-9C0A-ABBC3F415D02}">
  <dimension ref="A1:V185"/>
  <sheetViews>
    <sheetView showGridLines="0" topLeftCell="A148" workbookViewId="0">
      <selection activeCell="A148" sqref="A148"/>
    </sheetView>
  </sheetViews>
  <sheetFormatPr defaultRowHeight="13.8" x14ac:dyDescent="0.25"/>
  <cols>
    <col min="1" max="1" width="2.5546875" style="15" customWidth="1"/>
    <col min="2" max="2" width="41.109375" style="1" bestFit="1" customWidth="1"/>
    <col min="3" max="3" width="11.44140625" style="1" bestFit="1" customWidth="1"/>
    <col min="4" max="4" width="15" style="1" bestFit="1" customWidth="1"/>
    <col min="5" max="10" width="12.109375" style="1" bestFit="1" customWidth="1"/>
    <col min="11" max="11" width="13.109375" style="1" bestFit="1" customWidth="1"/>
    <col min="12" max="12" width="13.77734375" style="1" bestFit="1" customWidth="1"/>
    <col min="13" max="13" width="13" style="1" customWidth="1"/>
    <col min="14" max="14" width="13.77734375" style="1" bestFit="1" customWidth="1"/>
    <col min="15" max="15" width="11.77734375" style="1" bestFit="1" customWidth="1"/>
    <col min="16" max="17" width="12.109375" style="1" bestFit="1" customWidth="1"/>
    <col min="18" max="16384" width="8.88671875" style="1"/>
  </cols>
  <sheetData>
    <row r="1" spans="1:22" x14ac:dyDescent="0.25">
      <c r="A1" s="11"/>
    </row>
    <row r="2" spans="1:22" ht="16.8" x14ac:dyDescent="0.3">
      <c r="A2" s="11"/>
      <c r="B2" s="2" t="s">
        <v>0</v>
      </c>
      <c r="C2" s="5">
        <v>45840</v>
      </c>
      <c r="D2" s="13" t="s">
        <v>13</v>
      </c>
    </row>
    <row r="4" spans="1:22" s="3" customFormat="1" x14ac:dyDescent="0.25">
      <c r="A4" s="14"/>
    </row>
    <row r="5" spans="1:22" x14ac:dyDescent="0.25">
      <c r="A5" s="15" t="s">
        <v>1</v>
      </c>
      <c r="B5" s="4" t="s">
        <v>80</v>
      </c>
      <c r="C5" s="16" t="s">
        <v>97</v>
      </c>
      <c r="D5" s="16" t="s">
        <v>98</v>
      </c>
      <c r="E5" s="16" t="s">
        <v>99</v>
      </c>
      <c r="F5" s="16" t="s">
        <v>100</v>
      </c>
      <c r="G5" s="16" t="s">
        <v>9</v>
      </c>
      <c r="H5" s="16" t="s">
        <v>101</v>
      </c>
      <c r="I5" s="16" t="s">
        <v>102</v>
      </c>
      <c r="J5" s="16" t="s">
        <v>103</v>
      </c>
      <c r="K5" s="16" t="s">
        <v>104</v>
      </c>
      <c r="L5" s="16" t="s">
        <v>105</v>
      </c>
      <c r="M5" s="16" t="s">
        <v>106</v>
      </c>
      <c r="N5" s="16" t="s">
        <v>107</v>
      </c>
      <c r="O5" s="16"/>
      <c r="P5" s="16" t="s">
        <v>108</v>
      </c>
      <c r="Q5" s="16" t="s">
        <v>109</v>
      </c>
      <c r="R5" s="16" t="s">
        <v>110</v>
      </c>
      <c r="S5" s="16" t="s">
        <v>111</v>
      </c>
      <c r="T5" s="16" t="s">
        <v>112</v>
      </c>
      <c r="U5" s="16" t="s">
        <v>113</v>
      </c>
      <c r="V5" s="16" t="s">
        <v>114</v>
      </c>
    </row>
    <row r="6" spans="1:22" x14ac:dyDescent="0.25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16"/>
      <c r="Q6" s="16"/>
      <c r="R6" s="16"/>
      <c r="S6" s="16"/>
      <c r="T6" s="16"/>
      <c r="U6" s="16"/>
      <c r="V6" s="16"/>
    </row>
    <row r="7" spans="1:22" ht="15.6" x14ac:dyDescent="0.4">
      <c r="B7" s="7" t="s">
        <v>124</v>
      </c>
      <c r="C7" s="1">
        <f t="shared" ref="C7:H7" si="0">SUM(C8:C12)</f>
        <v>18908</v>
      </c>
      <c r="D7" s="1">
        <f t="shared" si="0"/>
        <v>11358</v>
      </c>
      <c r="E7" s="1">
        <f t="shared" si="0"/>
        <v>14885</v>
      </c>
      <c r="F7" s="1">
        <f t="shared" si="0"/>
        <v>35921</v>
      </c>
      <c r="G7" s="1">
        <f t="shared" si="0"/>
        <v>6904</v>
      </c>
      <c r="H7" s="1">
        <f t="shared" si="0"/>
        <v>11303</v>
      </c>
      <c r="I7" s="1">
        <f>SUM(I8:I12)</f>
        <v>15150</v>
      </c>
      <c r="J7" s="1">
        <f>SUM(J8:J12)</f>
        <v>-7565</v>
      </c>
      <c r="K7" s="1">
        <f>SUM(K8:K12)</f>
        <v>7756</v>
      </c>
      <c r="L7" s="16"/>
      <c r="M7" s="16"/>
      <c r="N7" s="16"/>
      <c r="P7" s="16">
        <f>SUM(P8:P12)</f>
        <v>81072</v>
      </c>
      <c r="Q7" s="16">
        <f>SUM(Q8:Q12)</f>
        <v>25792</v>
      </c>
      <c r="R7" s="16"/>
      <c r="S7" s="16"/>
      <c r="T7" s="16"/>
      <c r="U7" s="16"/>
      <c r="V7" s="16"/>
    </row>
    <row r="8" spans="1:22" x14ac:dyDescent="0.25">
      <c r="B8" s="18" t="s">
        <v>122</v>
      </c>
      <c r="C8" s="1">
        <v>14448</v>
      </c>
      <c r="D8" s="1">
        <v>8357</v>
      </c>
      <c r="E8" s="1">
        <v>9018</v>
      </c>
      <c r="F8" s="1">
        <f>P8-SUM(C8:E8)</f>
        <v>23695</v>
      </c>
      <c r="G8" s="1">
        <v>3957</v>
      </c>
      <c r="H8" s="1">
        <v>4402</v>
      </c>
      <c r="I8" s="1">
        <v>4614</v>
      </c>
      <c r="J8" s="1">
        <f>Q8-SUM(G8:I8)</f>
        <v>-11723</v>
      </c>
      <c r="K8" s="1">
        <v>0</v>
      </c>
      <c r="L8" s="16"/>
      <c r="M8" s="16"/>
      <c r="N8" s="16"/>
      <c r="P8" s="16">
        <v>55518</v>
      </c>
      <c r="Q8" s="16">
        <v>1250</v>
      </c>
      <c r="R8" s="16"/>
      <c r="S8" s="16"/>
      <c r="T8" s="16"/>
      <c r="U8" s="16"/>
      <c r="V8" s="16"/>
    </row>
    <row r="9" spans="1:22" x14ac:dyDescent="0.25">
      <c r="B9" s="18" t="s">
        <v>78</v>
      </c>
      <c r="C9" s="1">
        <v>2230</v>
      </c>
      <c r="D9" s="1">
        <v>1658</v>
      </c>
      <c r="E9" s="1">
        <v>3527</v>
      </c>
      <c r="F9" s="1">
        <f>P9-SUM(C9:E9)</f>
        <v>8357</v>
      </c>
      <c r="G9" s="1">
        <v>1663</v>
      </c>
      <c r="H9" s="1">
        <v>4617</v>
      </c>
      <c r="I9" s="1">
        <v>7852</v>
      </c>
      <c r="J9" s="1">
        <f>Q9-SUM(G9:I9)</f>
        <v>3175</v>
      </c>
      <c r="K9" s="1">
        <v>4852</v>
      </c>
      <c r="L9" s="16"/>
      <c r="M9" s="16"/>
      <c r="N9" s="16"/>
      <c r="P9" s="16">
        <v>15772</v>
      </c>
      <c r="Q9" s="16">
        <v>17307</v>
      </c>
      <c r="R9" s="16"/>
      <c r="S9" s="16"/>
      <c r="T9" s="16"/>
      <c r="U9" s="16"/>
      <c r="V9" s="16"/>
    </row>
    <row r="10" spans="1:22" x14ac:dyDescent="0.25">
      <c r="B10" s="18" t="s">
        <v>123</v>
      </c>
      <c r="C10" s="1">
        <v>650</v>
      </c>
      <c r="D10" s="1">
        <v>348</v>
      </c>
      <c r="E10" s="1">
        <v>857</v>
      </c>
      <c r="F10" s="1">
        <f>P10-SUM(C10:E10)</f>
        <v>329</v>
      </c>
      <c r="G10" s="1">
        <v>-1179</v>
      </c>
      <c r="H10" s="1">
        <v>818</v>
      </c>
      <c r="I10" s="1">
        <v>-399</v>
      </c>
      <c r="J10" s="1">
        <f>Q10-SUM(G10:I10)</f>
        <v>-209</v>
      </c>
      <c r="K10" s="1">
        <v>0</v>
      </c>
      <c r="L10" s="16"/>
      <c r="M10" s="16"/>
      <c r="N10" s="16"/>
      <c r="P10" s="16">
        <v>2184</v>
      </c>
      <c r="Q10" s="16">
        <v>-969</v>
      </c>
      <c r="R10" s="16"/>
      <c r="S10" s="16"/>
      <c r="T10" s="16"/>
      <c r="U10" s="16"/>
      <c r="V10" s="16"/>
    </row>
    <row r="11" spans="1:22" x14ac:dyDescent="0.25">
      <c r="B11" s="18" t="s">
        <v>19</v>
      </c>
      <c r="C11" s="1">
        <v>1287</v>
      </c>
      <c r="D11" s="1">
        <v>995</v>
      </c>
      <c r="E11" s="1">
        <v>1483</v>
      </c>
      <c r="F11" s="1">
        <f>P11-SUM(C11:E11)</f>
        <v>3833</v>
      </c>
      <c r="G11" s="1">
        <v>2170</v>
      </c>
      <c r="H11" s="1">
        <v>1466</v>
      </c>
      <c r="I11" s="1">
        <v>1613</v>
      </c>
      <c r="J11" s="1">
        <f>Q11-SUM(G11:I11)</f>
        <v>1192</v>
      </c>
      <c r="K11" s="1">
        <v>1459</v>
      </c>
      <c r="L11" s="16"/>
      <c r="M11" s="16"/>
      <c r="N11" s="16"/>
      <c r="P11" s="16">
        <v>7598</v>
      </c>
      <c r="Q11" s="16">
        <v>6441</v>
      </c>
      <c r="R11" s="16"/>
      <c r="S11" s="16"/>
      <c r="T11" s="16"/>
      <c r="U11" s="16"/>
      <c r="V11" s="16"/>
    </row>
    <row r="12" spans="1:22" x14ac:dyDescent="0.25">
      <c r="B12" s="18" t="s">
        <v>129</v>
      </c>
      <c r="C12" s="1">
        <v>293</v>
      </c>
      <c r="D12" s="1">
        <v>0</v>
      </c>
      <c r="E12" s="1">
        <v>0</v>
      </c>
      <c r="F12" s="1">
        <f>P12-SUM(C12:E12)</f>
        <v>-293</v>
      </c>
      <c r="G12" s="1">
        <v>293</v>
      </c>
      <c r="H12" s="1">
        <v>0</v>
      </c>
      <c r="I12" s="1">
        <v>1470</v>
      </c>
      <c r="J12" s="1">
        <f>Q12-SUM(G12:I12)</f>
        <v>0</v>
      </c>
      <c r="K12" s="1">
        <v>1445</v>
      </c>
      <c r="L12" s="16"/>
      <c r="M12" s="16"/>
      <c r="N12" s="16"/>
      <c r="P12" s="16">
        <v>0</v>
      </c>
      <c r="Q12" s="16">
        <v>1763</v>
      </c>
      <c r="R12" s="16"/>
      <c r="S12" s="16"/>
      <c r="T12" s="16"/>
      <c r="U12" s="16"/>
      <c r="V12" s="16"/>
    </row>
    <row r="13" spans="1:22" ht="15.6" x14ac:dyDescent="0.4">
      <c r="B13" s="7" t="s">
        <v>125</v>
      </c>
      <c r="C13" s="1">
        <f t="shared" ref="C13:K13" si="1">SUM(C14:C16)</f>
        <v>4188</v>
      </c>
      <c r="D13" s="1">
        <f t="shared" si="1"/>
        <v>3087</v>
      </c>
      <c r="E13" s="1">
        <f t="shared" si="1"/>
        <v>2716</v>
      </c>
      <c r="F13" s="1">
        <f t="shared" si="1"/>
        <v>3424</v>
      </c>
      <c r="G13" s="1">
        <f t="shared" si="1"/>
        <v>3217</v>
      </c>
      <c r="H13" s="1">
        <f t="shared" si="1"/>
        <v>4045</v>
      </c>
      <c r="I13" s="1">
        <f t="shared" si="1"/>
        <v>3029</v>
      </c>
      <c r="J13" s="1">
        <f t="shared" si="1"/>
        <v>4300</v>
      </c>
      <c r="K13" s="1">
        <f t="shared" si="1"/>
        <v>3337</v>
      </c>
      <c r="L13" s="16"/>
      <c r="M13" s="16"/>
      <c r="N13" s="16"/>
      <c r="P13" s="16">
        <f>SUM(P14:P16)</f>
        <v>13415</v>
      </c>
      <c r="Q13" s="16">
        <f>SUM(Q14:Q16)</f>
        <v>14591</v>
      </c>
      <c r="R13" s="16"/>
      <c r="S13" s="16"/>
      <c r="T13" s="16"/>
      <c r="U13" s="16"/>
      <c r="V13" s="16"/>
    </row>
    <row r="14" spans="1:22" x14ac:dyDescent="0.25">
      <c r="B14" s="18" t="s">
        <v>126</v>
      </c>
      <c r="C14" s="1">
        <v>2113</v>
      </c>
      <c r="D14" s="1">
        <v>1629</v>
      </c>
      <c r="E14" s="1">
        <v>2071</v>
      </c>
      <c r="F14" s="1">
        <f>P14-SUM(C14:E14)</f>
        <v>2511</v>
      </c>
      <c r="G14" s="1">
        <v>2499</v>
      </c>
      <c r="H14" s="1">
        <v>3101</v>
      </c>
      <c r="I14" s="1">
        <v>1991</v>
      </c>
      <c r="J14" s="1">
        <f>Q14-SUM(G14:I14)</f>
        <v>2918</v>
      </c>
      <c r="K14" s="1">
        <v>2286</v>
      </c>
      <c r="L14" s="16"/>
      <c r="M14" s="16"/>
      <c r="N14" s="16"/>
      <c r="P14" s="16">
        <v>8324</v>
      </c>
      <c r="Q14" s="16">
        <v>10509</v>
      </c>
      <c r="R14" s="16"/>
      <c r="S14" s="16"/>
      <c r="T14" s="16"/>
      <c r="U14" s="16"/>
      <c r="V14" s="16"/>
    </row>
    <row r="15" spans="1:22" x14ac:dyDescent="0.25">
      <c r="B15" s="18" t="s">
        <v>127</v>
      </c>
      <c r="C15" s="1">
        <v>901</v>
      </c>
      <c r="D15" s="1">
        <v>492</v>
      </c>
      <c r="E15" s="1">
        <v>508</v>
      </c>
      <c r="F15" s="1">
        <f>P15-SUM(C15:E15)</f>
        <v>341</v>
      </c>
      <c r="G15" s="1">
        <v>391</v>
      </c>
      <c r="H15" s="1">
        <v>361</v>
      </c>
      <c r="I15" s="1">
        <v>443</v>
      </c>
      <c r="J15" s="1">
        <f>Q15-SUM(G15:I15)</f>
        <v>413</v>
      </c>
      <c r="K15" s="1">
        <v>426</v>
      </c>
      <c r="L15" s="16"/>
      <c r="M15" s="16"/>
      <c r="N15" s="16"/>
      <c r="P15" s="16">
        <v>2242</v>
      </c>
      <c r="Q15" s="16">
        <v>1608</v>
      </c>
      <c r="R15" s="16"/>
      <c r="S15" s="16"/>
      <c r="T15" s="16"/>
      <c r="U15" s="16"/>
      <c r="V15" s="16"/>
    </row>
    <row r="16" spans="1:22" x14ac:dyDescent="0.25">
      <c r="B16" s="18" t="s">
        <v>128</v>
      </c>
      <c r="C16" s="1">
        <v>1174</v>
      </c>
      <c r="D16" s="1">
        <v>966</v>
      </c>
      <c r="E16" s="1">
        <v>137</v>
      </c>
      <c r="F16" s="1">
        <f>P16-SUM(C16:E16)</f>
        <v>572</v>
      </c>
      <c r="G16" s="1">
        <v>327</v>
      </c>
      <c r="H16" s="1">
        <v>583</v>
      </c>
      <c r="I16" s="1">
        <v>595</v>
      </c>
      <c r="J16" s="1">
        <f>Q16-SUM(G16:I16)</f>
        <v>969</v>
      </c>
      <c r="K16" s="1">
        <v>625</v>
      </c>
      <c r="L16" s="16"/>
      <c r="M16" s="16"/>
      <c r="N16" s="16"/>
      <c r="P16" s="16">
        <v>2849</v>
      </c>
      <c r="Q16" s="16">
        <v>2474</v>
      </c>
      <c r="R16" s="16"/>
      <c r="S16" s="16"/>
      <c r="T16" s="16"/>
      <c r="U16" s="16"/>
      <c r="V16" s="16"/>
    </row>
    <row r="17" spans="1:22" s="20" customFormat="1" ht="17.399999999999999" x14ac:dyDescent="0.55000000000000004">
      <c r="A17" s="19"/>
      <c r="B17" s="21" t="s">
        <v>117</v>
      </c>
      <c r="C17" s="20">
        <f t="shared" ref="C17:K17" si="2">SUM(C18:C19)</f>
        <v>3334</v>
      </c>
      <c r="D17" s="20">
        <f t="shared" si="2"/>
        <v>3540</v>
      </c>
      <c r="E17" s="20">
        <f t="shared" si="2"/>
        <v>5103</v>
      </c>
      <c r="F17" s="20">
        <f t="shared" si="2"/>
        <v>2040</v>
      </c>
      <c r="G17" s="20">
        <f t="shared" si="2"/>
        <v>697</v>
      </c>
      <c r="H17" s="20">
        <f t="shared" si="2"/>
        <v>282</v>
      </c>
      <c r="I17" s="20">
        <f t="shared" si="2"/>
        <v>10910</v>
      </c>
      <c r="J17" s="20">
        <f t="shared" si="2"/>
        <v>21390</v>
      </c>
      <c r="K17" s="20">
        <f t="shared" si="2"/>
        <v>1926</v>
      </c>
      <c r="L17" s="23"/>
      <c r="M17" s="23"/>
      <c r="N17" s="23"/>
      <c r="P17" s="23">
        <f>SUM(P18:P19)</f>
        <v>14017</v>
      </c>
      <c r="Q17" s="23">
        <f>SUM(Q18:Q19)</f>
        <v>33279</v>
      </c>
      <c r="R17" s="23"/>
      <c r="S17" s="23"/>
      <c r="T17" s="23"/>
      <c r="U17" s="23"/>
      <c r="V17" s="23"/>
    </row>
    <row r="18" spans="1:22" x14ac:dyDescent="0.25">
      <c r="B18" s="18" t="s">
        <v>81</v>
      </c>
      <c r="C18" s="1">
        <v>0</v>
      </c>
      <c r="D18" s="1">
        <v>0</v>
      </c>
      <c r="E18" s="1">
        <v>0</v>
      </c>
      <c r="F18" s="1">
        <f>P18-SUM(C18:E18)</f>
        <v>0</v>
      </c>
      <c r="G18" s="1">
        <v>697</v>
      </c>
      <c r="H18" s="1">
        <v>282</v>
      </c>
      <c r="I18" s="1">
        <v>10910</v>
      </c>
      <c r="J18" s="1">
        <f>Q18-SUM(G18:I18)</f>
        <v>21390</v>
      </c>
      <c r="K18" s="1">
        <v>1926</v>
      </c>
      <c r="L18" s="16"/>
      <c r="M18" s="16"/>
      <c r="N18" s="16"/>
      <c r="P18" s="16">
        <v>0</v>
      </c>
      <c r="Q18" s="16">
        <v>33279</v>
      </c>
      <c r="R18" s="16"/>
      <c r="S18" s="16"/>
      <c r="T18" s="16"/>
      <c r="U18" s="16"/>
      <c r="V18" s="16"/>
    </row>
    <row r="19" spans="1:22" x14ac:dyDescent="0.25">
      <c r="B19" s="18" t="s">
        <v>116</v>
      </c>
      <c r="C19" s="1">
        <v>3334</v>
      </c>
      <c r="D19" s="1">
        <v>3540</v>
      </c>
      <c r="E19" s="1">
        <v>5103</v>
      </c>
      <c r="F19" s="1">
        <f>P19-SUM(C19:E19)</f>
        <v>2040</v>
      </c>
      <c r="G19" s="1">
        <v>0</v>
      </c>
      <c r="H19" s="1">
        <v>0</v>
      </c>
      <c r="I19" s="1">
        <v>0</v>
      </c>
      <c r="J19" s="1">
        <f>Q19-SUM(G19:I19)</f>
        <v>0</v>
      </c>
      <c r="K19" s="1">
        <v>0</v>
      </c>
      <c r="L19" s="16"/>
      <c r="M19" s="16"/>
      <c r="N19" s="16"/>
      <c r="P19" s="16">
        <v>14017</v>
      </c>
      <c r="Q19" s="16">
        <v>0</v>
      </c>
      <c r="R19" s="16"/>
      <c r="S19" s="16"/>
      <c r="T19" s="16"/>
      <c r="U19" s="16"/>
      <c r="V19" s="16"/>
    </row>
    <row r="20" spans="1:22" x14ac:dyDescent="0.25">
      <c r="B20" s="1" t="s">
        <v>89</v>
      </c>
      <c r="C20" s="1">
        <v>0</v>
      </c>
      <c r="D20" s="1">
        <v>0</v>
      </c>
      <c r="E20" s="1">
        <v>0</v>
      </c>
      <c r="F20" s="1">
        <f>P20-SUM(C20:E20)</f>
        <v>0</v>
      </c>
      <c r="G20" s="1">
        <v>0</v>
      </c>
      <c r="H20" s="1">
        <v>0</v>
      </c>
      <c r="I20" s="1">
        <v>11985</v>
      </c>
      <c r="J20" s="1">
        <f>Q20-SUM(G20:I20)</f>
        <v>11806</v>
      </c>
      <c r="K20" s="1">
        <v>1378</v>
      </c>
      <c r="L20" s="16"/>
      <c r="M20" s="16"/>
      <c r="N20" s="16"/>
      <c r="P20" s="16">
        <v>0</v>
      </c>
      <c r="Q20" s="16">
        <v>23791</v>
      </c>
      <c r="R20" s="16"/>
      <c r="S20" s="16"/>
      <c r="T20" s="16"/>
      <c r="U20" s="16"/>
      <c r="V20" s="16"/>
    </row>
    <row r="21" spans="1:22" x14ac:dyDescent="0.25">
      <c r="B21" s="1" t="s">
        <v>92</v>
      </c>
      <c r="C21" s="1">
        <f t="shared" ref="C21:K21" si="3">C17-C20</f>
        <v>3334</v>
      </c>
      <c r="D21" s="1">
        <f t="shared" si="3"/>
        <v>3540</v>
      </c>
      <c r="E21" s="1">
        <f t="shared" si="3"/>
        <v>5103</v>
      </c>
      <c r="F21" s="1">
        <f t="shared" si="3"/>
        <v>2040</v>
      </c>
      <c r="G21" s="1">
        <f t="shared" si="3"/>
        <v>697</v>
      </c>
      <c r="H21" s="1">
        <f t="shared" si="3"/>
        <v>282</v>
      </c>
      <c r="I21" s="1">
        <f t="shared" si="3"/>
        <v>-1075</v>
      </c>
      <c r="J21" s="1">
        <f t="shared" si="3"/>
        <v>9584</v>
      </c>
      <c r="K21" s="1">
        <f t="shared" si="3"/>
        <v>548</v>
      </c>
      <c r="L21" s="16"/>
      <c r="M21" s="16"/>
      <c r="N21" s="16"/>
      <c r="P21" s="16">
        <f>P17-P20</f>
        <v>14017</v>
      </c>
      <c r="Q21" s="16">
        <f>Q17-Q20</f>
        <v>9488</v>
      </c>
      <c r="R21" s="16"/>
      <c r="S21" s="16"/>
      <c r="T21" s="16"/>
      <c r="U21" s="16"/>
      <c r="V21" s="16"/>
    </row>
    <row r="22" spans="1:22" x14ac:dyDescent="0.25">
      <c r="B22" s="18" t="s">
        <v>90</v>
      </c>
      <c r="C22" s="1">
        <v>12772</v>
      </c>
      <c r="D22" s="1">
        <v>12388</v>
      </c>
      <c r="E22" s="1">
        <v>10009</v>
      </c>
      <c r="F22" s="1">
        <f>P22-SUM(C22:E22)</f>
        <v>12124</v>
      </c>
      <c r="G22" s="1">
        <v>13147</v>
      </c>
      <c r="H22" s="1">
        <v>11257</v>
      </c>
      <c r="I22" s="1">
        <v>12723</v>
      </c>
      <c r="J22" s="1">
        <f>Q22-SUM(G22:I22)</f>
        <v>17089</v>
      </c>
      <c r="K22" s="1">
        <v>9364</v>
      </c>
      <c r="L22" s="16"/>
      <c r="M22" s="16"/>
      <c r="N22" s="16"/>
      <c r="P22" s="16">
        <v>47293</v>
      </c>
      <c r="Q22" s="16">
        <v>54216</v>
      </c>
      <c r="R22" s="16"/>
      <c r="S22" s="16"/>
      <c r="T22" s="16"/>
      <c r="U22" s="16"/>
      <c r="V22" s="16"/>
    </row>
    <row r="23" spans="1:22" s="20" customFormat="1" x14ac:dyDescent="0.25">
      <c r="A23" s="19"/>
      <c r="B23" s="18" t="s">
        <v>91</v>
      </c>
      <c r="C23" s="1">
        <v>22322</v>
      </c>
      <c r="D23" s="1">
        <v>19937</v>
      </c>
      <c r="E23" s="1">
        <v>27856</v>
      </c>
      <c r="F23" s="1">
        <f>P23-SUM(C23:E23)</f>
        <v>33670</v>
      </c>
      <c r="G23" s="1">
        <v>34322</v>
      </c>
      <c r="H23" s="1">
        <v>34934</v>
      </c>
      <c r="I23" s="1">
        <v>26243</v>
      </c>
      <c r="J23" s="1">
        <f>Q23-SUM(G23:I23)</f>
        <v>23985</v>
      </c>
      <c r="K23" s="1">
        <v>32780</v>
      </c>
      <c r="L23" s="23"/>
      <c r="M23" s="23"/>
      <c r="N23" s="23"/>
      <c r="P23" s="16">
        <v>103785</v>
      </c>
      <c r="Q23" s="16">
        <v>119484</v>
      </c>
      <c r="R23" s="23"/>
      <c r="S23" s="23"/>
      <c r="T23" s="23"/>
      <c r="U23" s="23"/>
      <c r="V23" s="23"/>
    </row>
    <row r="24" spans="1:22" x14ac:dyDescent="0.25">
      <c r="B24" s="1" t="s">
        <v>88</v>
      </c>
      <c r="C24" s="1">
        <f t="shared" ref="C24:K24" si="4">SUM(C22:C23)</f>
        <v>35094</v>
      </c>
      <c r="D24" s="1">
        <f t="shared" si="4"/>
        <v>32325</v>
      </c>
      <c r="E24" s="1">
        <f t="shared" si="4"/>
        <v>37865</v>
      </c>
      <c r="F24" s="1">
        <f t="shared" si="4"/>
        <v>45794</v>
      </c>
      <c r="G24" s="1">
        <f t="shared" si="4"/>
        <v>47469</v>
      </c>
      <c r="H24" s="1">
        <f t="shared" si="4"/>
        <v>46191</v>
      </c>
      <c r="I24" s="1">
        <f t="shared" si="4"/>
        <v>38966</v>
      </c>
      <c r="J24" s="1">
        <f t="shared" si="4"/>
        <v>41074</v>
      </c>
      <c r="K24" s="1">
        <f t="shared" si="4"/>
        <v>42144</v>
      </c>
      <c r="L24" s="16"/>
      <c r="M24" s="16"/>
      <c r="N24" s="16"/>
      <c r="P24" s="16">
        <f>SUM(P22:P23)</f>
        <v>151078</v>
      </c>
      <c r="Q24" s="16">
        <f>SUM(Q22:Q23)</f>
        <v>173700</v>
      </c>
      <c r="R24" s="16"/>
      <c r="S24" s="16"/>
      <c r="T24" s="16"/>
      <c r="U24" s="16"/>
      <c r="V24" s="16"/>
    </row>
    <row r="25" spans="1:22" s="20" customFormat="1" x14ac:dyDescent="0.25">
      <c r="A25" s="19"/>
      <c r="B25" s="20" t="s">
        <v>115</v>
      </c>
      <c r="C25" s="20">
        <f t="shared" ref="C25:K25" si="5">C21-C24</f>
        <v>-31760</v>
      </c>
      <c r="D25" s="20">
        <f t="shared" si="5"/>
        <v>-28785</v>
      </c>
      <c r="E25" s="20">
        <f t="shared" si="5"/>
        <v>-32762</v>
      </c>
      <c r="F25" s="20">
        <f t="shared" si="5"/>
        <v>-43754</v>
      </c>
      <c r="G25" s="20">
        <f t="shared" si="5"/>
        <v>-46772</v>
      </c>
      <c r="H25" s="20">
        <f t="shared" si="5"/>
        <v>-45909</v>
      </c>
      <c r="I25" s="20">
        <f t="shared" si="5"/>
        <v>-40041</v>
      </c>
      <c r="J25" s="20">
        <f t="shared" si="5"/>
        <v>-31490</v>
      </c>
      <c r="K25" s="20">
        <f t="shared" si="5"/>
        <v>-41596</v>
      </c>
      <c r="L25" s="23"/>
      <c r="M25" s="23"/>
      <c r="N25" s="23"/>
      <c r="P25" s="23">
        <f>P21-P24</f>
        <v>-137061</v>
      </c>
      <c r="Q25" s="23">
        <f>Q21-Q24</f>
        <v>-164212</v>
      </c>
      <c r="R25" s="23"/>
      <c r="S25" s="23"/>
      <c r="T25" s="23"/>
      <c r="U25" s="23"/>
      <c r="V25" s="23"/>
    </row>
    <row r="26" spans="1:22" x14ac:dyDescent="0.25">
      <c r="B26" s="1" t="s">
        <v>93</v>
      </c>
      <c r="C26" s="1">
        <f>3857+545-3060-0+54-2353</f>
        <v>-957</v>
      </c>
      <c r="D26" s="1">
        <f>1905+655-3355-0-1-2541</f>
        <v>-3337</v>
      </c>
      <c r="E26" s="1">
        <f>-8677+523-3381-0</f>
        <v>-11535</v>
      </c>
      <c r="F26" s="1">
        <f>P26-SUM(C26:E26)</f>
        <v>61381</v>
      </c>
      <c r="G26" s="1">
        <f>-535+1097-3250+29018</f>
        <v>26330</v>
      </c>
      <c r="H26" s="1">
        <f>-284+827-3254-488</f>
        <v>-3199</v>
      </c>
      <c r="I26" s="1">
        <f>3463+1189-3357-584</f>
        <v>711</v>
      </c>
      <c r="J26" s="1">
        <f>Q26-SUM(G26:I26)</f>
        <v>-9705</v>
      </c>
      <c r="K26" s="1">
        <f>3687+971-3043-0-1347</f>
        <v>268</v>
      </c>
      <c r="L26" s="16"/>
      <c r="M26" s="16"/>
      <c r="N26" s="16"/>
      <c r="P26" s="16">
        <f>9300+2272-13245+54208+499-7482</f>
        <v>45552</v>
      </c>
      <c r="Q26" s="16">
        <f>-2886+4145-13272+28434-2284</f>
        <v>14137</v>
      </c>
      <c r="R26" s="16"/>
      <c r="S26" s="16"/>
      <c r="T26" s="16"/>
      <c r="U26" s="16"/>
      <c r="V26" s="16"/>
    </row>
    <row r="27" spans="1:22" x14ac:dyDescent="0.25">
      <c r="B27" s="20" t="s">
        <v>94</v>
      </c>
      <c r="C27" s="20">
        <f t="shared" ref="C27:K27" si="6">SUM(C25:C26)</f>
        <v>-32717</v>
      </c>
      <c r="D27" s="20">
        <f t="shared" si="6"/>
        <v>-32122</v>
      </c>
      <c r="E27" s="20">
        <f t="shared" si="6"/>
        <v>-44297</v>
      </c>
      <c r="F27" s="20">
        <f t="shared" si="6"/>
        <v>17627</v>
      </c>
      <c r="G27" s="20">
        <f t="shared" si="6"/>
        <v>-20442</v>
      </c>
      <c r="H27" s="20">
        <f t="shared" si="6"/>
        <v>-49108</v>
      </c>
      <c r="I27" s="20">
        <f t="shared" si="6"/>
        <v>-39330</v>
      </c>
      <c r="J27" s="20">
        <f t="shared" si="6"/>
        <v>-41195</v>
      </c>
      <c r="K27" s="20">
        <f t="shared" si="6"/>
        <v>-41328</v>
      </c>
      <c r="L27" s="16"/>
      <c r="M27" s="16"/>
      <c r="N27" s="16"/>
      <c r="P27" s="23">
        <f>SUM(P25:P26)</f>
        <v>-91509</v>
      </c>
      <c r="Q27" s="23">
        <f>SUM(Q25:Q26)</f>
        <v>-150075</v>
      </c>
      <c r="R27" s="16"/>
      <c r="S27" s="16"/>
      <c r="T27" s="16"/>
      <c r="U27" s="16"/>
      <c r="V27" s="16"/>
    </row>
    <row r="29" spans="1:22" x14ac:dyDescent="0.25">
      <c r="B29" s="1" t="s">
        <v>95</v>
      </c>
      <c r="C29" s="1">
        <v>48638</v>
      </c>
      <c r="D29" s="1">
        <v>64065</v>
      </c>
      <c r="E29" s="1">
        <v>64065</v>
      </c>
      <c r="F29" s="1">
        <v>64065</v>
      </c>
      <c r="G29" s="1">
        <v>64065</v>
      </c>
      <c r="H29" s="1">
        <v>64898</v>
      </c>
      <c r="I29" s="1">
        <v>78153</v>
      </c>
      <c r="J29" s="1">
        <f>Q29</f>
        <v>78854</v>
      </c>
      <c r="K29" s="1">
        <v>79032</v>
      </c>
      <c r="P29" s="1">
        <f>F29</f>
        <v>64065</v>
      </c>
      <c r="Q29" s="1">
        <v>78854</v>
      </c>
    </row>
    <row r="30" spans="1:22" x14ac:dyDescent="0.25">
      <c r="B30" s="1" t="s">
        <v>96</v>
      </c>
      <c r="C30" s="1">
        <f t="shared" ref="C30:K30" si="7">C27/C29</f>
        <v>-0.67266334964431107</v>
      </c>
      <c r="D30" s="1">
        <f t="shared" si="7"/>
        <v>-0.50139701865293063</v>
      </c>
      <c r="E30" s="1">
        <f t="shared" si="7"/>
        <v>-0.69143838289237491</v>
      </c>
      <c r="F30" s="1">
        <f t="shared" si="7"/>
        <v>0.27514243346601108</v>
      </c>
      <c r="G30" s="1">
        <f t="shared" si="7"/>
        <v>-0.31908218215874501</v>
      </c>
      <c r="H30" s="1">
        <f t="shared" si="7"/>
        <v>-0.7566951215753952</v>
      </c>
      <c r="I30" s="1">
        <f t="shared" si="7"/>
        <v>-0.50324363748032708</v>
      </c>
      <c r="J30" s="1">
        <f t="shared" si="7"/>
        <v>-0.52242118345296373</v>
      </c>
      <c r="K30" s="1">
        <f t="shared" si="7"/>
        <v>-0.52292742180382634</v>
      </c>
      <c r="P30" s="1">
        <f>P27/P29</f>
        <v>-1.4283774291734956</v>
      </c>
      <c r="Q30" s="1">
        <f>Q27/Q29</f>
        <v>-1.9032008522078778</v>
      </c>
    </row>
    <row r="32" spans="1:22" x14ac:dyDescent="0.25">
      <c r="B32" s="1" t="s">
        <v>130</v>
      </c>
      <c r="G32" s="22">
        <f>(G17/C17)-1</f>
        <v>-0.79094181163767252</v>
      </c>
      <c r="H32" s="22">
        <f>(H17/D17)-1</f>
        <v>-0.92033898305084749</v>
      </c>
      <c r="I32" s="22">
        <f>(I17/E17)-1</f>
        <v>1.1379580638839899</v>
      </c>
      <c r="J32" s="22"/>
      <c r="K32" s="22">
        <f>(K17/G17)-1</f>
        <v>1.7632711621233859</v>
      </c>
      <c r="Q32" s="22">
        <f>(Q17/P17)-1</f>
        <v>1.3741884854105728</v>
      </c>
      <c r="R32" s="22"/>
      <c r="S32" s="22"/>
      <c r="T32" s="22"/>
      <c r="U32" s="22"/>
    </row>
    <row r="33" spans="1:21" x14ac:dyDescent="0.25">
      <c r="B33" s="1" t="s">
        <v>131</v>
      </c>
      <c r="C33" s="22">
        <f t="shared" ref="C33:K33" si="8">C9/C23</f>
        <v>9.9901442523071413E-2</v>
      </c>
      <c r="D33" s="22">
        <f t="shared" si="8"/>
        <v>8.3161960174549826E-2</v>
      </c>
      <c r="E33" s="22">
        <f t="shared" si="8"/>
        <v>0.12661545089029294</v>
      </c>
      <c r="F33" s="22">
        <f t="shared" si="8"/>
        <v>0.24820314820314821</v>
      </c>
      <c r="G33" s="22">
        <f t="shared" si="8"/>
        <v>4.8452887360876405E-2</v>
      </c>
      <c r="H33" s="22">
        <f t="shared" si="8"/>
        <v>0.13216350832999371</v>
      </c>
      <c r="I33" s="22">
        <f t="shared" si="8"/>
        <v>0.29920359714971612</v>
      </c>
      <c r="J33" s="22">
        <f t="shared" si="8"/>
        <v>0.13237440066708359</v>
      </c>
      <c r="K33" s="22">
        <f t="shared" si="8"/>
        <v>0.14801708358755339</v>
      </c>
      <c r="P33" s="22">
        <f>P9/P23</f>
        <v>0.15196801079154021</v>
      </c>
      <c r="Q33" s="22">
        <f>Q9/Q23</f>
        <v>0.14484784573666767</v>
      </c>
      <c r="R33" s="22"/>
      <c r="S33" s="22"/>
      <c r="T33" s="22"/>
      <c r="U33" s="22"/>
    </row>
    <row r="34" spans="1:21" x14ac:dyDescent="0.25">
      <c r="B34" s="1" t="s">
        <v>132</v>
      </c>
      <c r="C34" s="22">
        <f>C23/(C24+C20)</f>
        <v>0.63606314469709924</v>
      </c>
      <c r="D34" s="22">
        <f t="shared" ref="D34:K34" si="9">D23/(D24+D20)</f>
        <v>0.61676720804331009</v>
      </c>
      <c r="E34" s="22">
        <f t="shared" si="9"/>
        <v>0.73566618249042648</v>
      </c>
      <c r="F34" s="22">
        <f t="shared" si="9"/>
        <v>0.73524915927850809</v>
      </c>
      <c r="G34" s="22">
        <f t="shared" si="9"/>
        <v>0.72304029998525354</v>
      </c>
      <c r="H34" s="22">
        <f t="shared" si="9"/>
        <v>0.7562945162477539</v>
      </c>
      <c r="I34" s="22">
        <f t="shared" si="9"/>
        <v>0.51506349237502702</v>
      </c>
      <c r="J34" s="22">
        <f t="shared" si="9"/>
        <v>0.45357413010590014</v>
      </c>
      <c r="K34" s="22">
        <f t="shared" si="9"/>
        <v>0.75318229860760078</v>
      </c>
      <c r="P34" s="22">
        <f t="shared" ref="P34:Q34" si="10">P23/(P24+P20)</f>
        <v>0.68696302572181256</v>
      </c>
      <c r="Q34" s="22">
        <f t="shared" si="10"/>
        <v>0.60500984855006046</v>
      </c>
    </row>
    <row r="37" spans="1:21" x14ac:dyDescent="0.25">
      <c r="A37" s="15" t="s">
        <v>1</v>
      </c>
      <c r="B37" s="4" t="s">
        <v>133</v>
      </c>
      <c r="C37" s="16" t="s">
        <v>97</v>
      </c>
      <c r="D37" s="16" t="s">
        <v>98</v>
      </c>
      <c r="E37" s="16" t="s">
        <v>99</v>
      </c>
      <c r="F37" s="16" t="s">
        <v>100</v>
      </c>
      <c r="G37" s="16" t="s">
        <v>9</v>
      </c>
      <c r="H37" s="16" t="s">
        <v>101</v>
      </c>
      <c r="I37" s="16" t="s">
        <v>102</v>
      </c>
      <c r="J37" s="16" t="s">
        <v>103</v>
      </c>
      <c r="K37" s="16" t="s">
        <v>104</v>
      </c>
    </row>
    <row r="38" spans="1:21" x14ac:dyDescent="0.25">
      <c r="A38" s="15" t="s">
        <v>1</v>
      </c>
    </row>
    <row r="39" spans="1:21" x14ac:dyDescent="0.25">
      <c r="A39" s="1"/>
      <c r="B39" s="1" t="s">
        <v>6</v>
      </c>
      <c r="C39" s="1">
        <v>68784</v>
      </c>
      <c r="D39" s="1">
        <v>92773</v>
      </c>
      <c r="E39" s="1">
        <v>63365</v>
      </c>
      <c r="F39" s="1">
        <v>129566</v>
      </c>
      <c r="G39" s="1">
        <v>119206</v>
      </c>
      <c r="H39" s="1">
        <v>99974</v>
      </c>
      <c r="I39" s="1">
        <v>122873</v>
      </c>
      <c r="J39" s="1">
        <v>103659</v>
      </c>
      <c r="K39" s="1">
        <v>66523</v>
      </c>
    </row>
    <row r="40" spans="1:21" x14ac:dyDescent="0.25">
      <c r="B40" s="1" t="s">
        <v>134</v>
      </c>
      <c r="C40" s="1">
        <v>36298</v>
      </c>
      <c r="D40" s="1">
        <v>32690</v>
      </c>
      <c r="E40" s="1">
        <v>22398</v>
      </c>
      <c r="F40" s="1">
        <v>10138</v>
      </c>
      <c r="G40" s="1">
        <v>10915</v>
      </c>
      <c r="H40" s="1">
        <v>1628</v>
      </c>
      <c r="I40" s="1">
        <v>3279</v>
      </c>
      <c r="J40" s="1">
        <v>707</v>
      </c>
      <c r="K40" s="1">
        <v>734</v>
      </c>
    </row>
    <row r="41" spans="1:21" x14ac:dyDescent="0.25">
      <c r="B41" s="1" t="s">
        <v>135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950</v>
      </c>
      <c r="K41" s="1">
        <v>270</v>
      </c>
    </row>
    <row r="42" spans="1:21" x14ac:dyDescent="0.25">
      <c r="B42" s="1" t="s">
        <v>136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385</v>
      </c>
      <c r="K42" s="1">
        <v>607</v>
      </c>
    </row>
    <row r="43" spans="1:21" x14ac:dyDescent="0.25">
      <c r="B43" s="1" t="s">
        <v>137</v>
      </c>
      <c r="C43" s="1">
        <v>6981</v>
      </c>
      <c r="D43" s="1">
        <v>8108</v>
      </c>
      <c r="E43" s="1">
        <v>6997</v>
      </c>
      <c r="F43" s="1">
        <v>5625</v>
      </c>
      <c r="G43" s="1">
        <v>5076</v>
      </c>
      <c r="H43" s="1">
        <v>4955</v>
      </c>
      <c r="I43" s="1">
        <v>7029</v>
      </c>
      <c r="J43" s="1">
        <v>6828</v>
      </c>
      <c r="K43" s="1">
        <v>6928</v>
      </c>
    </row>
    <row r="44" spans="1:21" x14ac:dyDescent="0.25">
      <c r="B44" s="1" t="s">
        <v>138</v>
      </c>
      <c r="C44" s="1">
        <v>7857</v>
      </c>
      <c r="D44" s="1">
        <v>8026</v>
      </c>
      <c r="E44" s="1">
        <v>10013</v>
      </c>
      <c r="F44" s="1">
        <v>13277</v>
      </c>
      <c r="G44" s="1">
        <v>13171</v>
      </c>
      <c r="H44" s="1">
        <v>3557</v>
      </c>
      <c r="I44" s="1">
        <v>5152</v>
      </c>
      <c r="J44" s="1">
        <v>8971</v>
      </c>
      <c r="K44" s="1">
        <v>4221</v>
      </c>
    </row>
    <row r="45" spans="1:21" x14ac:dyDescent="0.25">
      <c r="B45" s="1" t="s">
        <v>93</v>
      </c>
      <c r="C45" s="1">
        <v>1561</v>
      </c>
      <c r="D45" s="1">
        <v>1547</v>
      </c>
      <c r="E45" s="1">
        <v>758</v>
      </c>
      <c r="F45" s="1">
        <v>1016</v>
      </c>
      <c r="G45" s="1">
        <v>932</v>
      </c>
      <c r="H45" s="1">
        <v>660</v>
      </c>
      <c r="I45" s="1">
        <v>713</v>
      </c>
      <c r="J45" s="1">
        <v>2018</v>
      </c>
      <c r="K45" s="1">
        <v>606</v>
      </c>
    </row>
    <row r="46" spans="1:21" x14ac:dyDescent="0.25">
      <c r="B46" s="1" t="s">
        <v>145</v>
      </c>
      <c r="C46" s="1">
        <f t="shared" ref="C46:K46" si="11">SUM(C39:C45)</f>
        <v>121481</v>
      </c>
      <c r="D46" s="1">
        <f t="shared" si="11"/>
        <v>143144</v>
      </c>
      <c r="E46" s="1">
        <f t="shared" si="11"/>
        <v>103531</v>
      </c>
      <c r="F46" s="1">
        <f t="shared" si="11"/>
        <v>159622</v>
      </c>
      <c r="G46" s="1">
        <f t="shared" si="11"/>
        <v>149300</v>
      </c>
      <c r="H46" s="1">
        <f t="shared" si="11"/>
        <v>110774</v>
      </c>
      <c r="I46" s="1">
        <f t="shared" si="11"/>
        <v>139046</v>
      </c>
      <c r="J46" s="1">
        <f t="shared" si="11"/>
        <v>123518</v>
      </c>
      <c r="K46" s="1">
        <f t="shared" si="11"/>
        <v>79889</v>
      </c>
    </row>
    <row r="47" spans="1:21" x14ac:dyDescent="0.25">
      <c r="B47" s="1" t="s">
        <v>62</v>
      </c>
      <c r="C47" s="1">
        <v>112580</v>
      </c>
      <c r="D47" s="1">
        <v>114004</v>
      </c>
      <c r="E47" s="1">
        <v>111880</v>
      </c>
      <c r="F47" s="1">
        <v>115896</v>
      </c>
      <c r="G47" s="1">
        <v>111412</v>
      </c>
      <c r="H47" s="1">
        <v>108844</v>
      </c>
      <c r="I47" s="1">
        <v>112541</v>
      </c>
      <c r="J47" s="1">
        <v>102878</v>
      </c>
      <c r="K47" s="1">
        <v>104408</v>
      </c>
    </row>
    <row r="48" spans="1:21" x14ac:dyDescent="0.25">
      <c r="B48" s="1" t="s">
        <v>139</v>
      </c>
      <c r="C48" s="1">
        <v>1295</v>
      </c>
      <c r="D48" s="1">
        <v>1252</v>
      </c>
      <c r="E48" s="1">
        <v>1140</v>
      </c>
      <c r="F48" s="1">
        <v>1118</v>
      </c>
      <c r="G48" s="1">
        <v>1038</v>
      </c>
      <c r="H48" s="1">
        <v>969</v>
      </c>
      <c r="I48" s="1">
        <v>951</v>
      </c>
      <c r="J48" s="1">
        <v>821</v>
      </c>
      <c r="K48" s="1">
        <v>773</v>
      </c>
    </row>
    <row r="49" spans="2:11" x14ac:dyDescent="0.25">
      <c r="B49" s="1" t="s">
        <v>140</v>
      </c>
      <c r="C49" s="1">
        <v>752</v>
      </c>
      <c r="D49" s="1">
        <v>753</v>
      </c>
      <c r="E49" s="1">
        <v>1038</v>
      </c>
      <c r="F49" s="1">
        <v>1083</v>
      </c>
      <c r="G49" s="1">
        <v>1059</v>
      </c>
      <c r="H49" s="1">
        <v>1051</v>
      </c>
      <c r="I49" s="1">
        <v>2156</v>
      </c>
      <c r="J49" s="1">
        <v>2009</v>
      </c>
      <c r="K49" s="1">
        <v>2087</v>
      </c>
    </row>
    <row r="50" spans="2:11" x14ac:dyDescent="0.25">
      <c r="B50" s="1" t="s">
        <v>93</v>
      </c>
      <c r="C50" s="1">
        <v>1428</v>
      </c>
      <c r="D50" s="1">
        <v>1465</v>
      </c>
      <c r="E50" s="1">
        <f>1421+732</f>
        <v>2153</v>
      </c>
      <c r="F50" s="1">
        <v>1917</v>
      </c>
      <c r="G50" s="1">
        <v>1138</v>
      </c>
      <c r="H50" s="1">
        <v>1139</v>
      </c>
      <c r="I50" s="1">
        <v>1139</v>
      </c>
      <c r="J50" s="1">
        <v>1002</v>
      </c>
      <c r="K50" s="1">
        <v>1032</v>
      </c>
    </row>
    <row r="51" spans="2:11" x14ac:dyDescent="0.25">
      <c r="B51" s="1" t="s">
        <v>141</v>
      </c>
      <c r="C51" s="1">
        <v>6326</v>
      </c>
      <c r="D51" s="1">
        <v>6326</v>
      </c>
      <c r="E51" s="1">
        <v>6326</v>
      </c>
      <c r="F51" s="1">
        <v>6766</v>
      </c>
      <c r="G51" s="1">
        <v>6766</v>
      </c>
      <c r="H51" s="1">
        <v>6766</v>
      </c>
      <c r="I51" s="1">
        <v>6766</v>
      </c>
      <c r="J51" s="1">
        <v>6749</v>
      </c>
      <c r="K51" s="1">
        <v>6749</v>
      </c>
    </row>
    <row r="52" spans="2:11" x14ac:dyDescent="0.25">
      <c r="B52" s="1" t="s">
        <v>142</v>
      </c>
      <c r="C52" s="1">
        <v>19427</v>
      </c>
      <c r="D52" s="1">
        <v>18693</v>
      </c>
      <c r="E52" s="1">
        <v>17446</v>
      </c>
      <c r="F52" s="1">
        <v>15910</v>
      </c>
      <c r="G52" s="1">
        <v>14835</v>
      </c>
      <c r="H52" s="1">
        <v>13823</v>
      </c>
      <c r="I52" s="1">
        <v>12782</v>
      </c>
      <c r="J52" s="1">
        <v>10576</v>
      </c>
      <c r="K52" s="1">
        <v>6348</v>
      </c>
    </row>
    <row r="53" spans="2:11" x14ac:dyDescent="0.25">
      <c r="B53" s="1" t="s">
        <v>143</v>
      </c>
      <c r="C53" s="1">
        <v>24851</v>
      </c>
      <c r="D53" s="1">
        <v>24626</v>
      </c>
      <c r="E53" s="1">
        <v>23680</v>
      </c>
      <c r="F53" s="1">
        <v>24432</v>
      </c>
      <c r="G53" s="1">
        <v>23687</v>
      </c>
      <c r="H53" s="1">
        <v>23285</v>
      </c>
      <c r="I53" s="1">
        <v>24107</v>
      </c>
      <c r="J53" s="1">
        <v>22198</v>
      </c>
      <c r="K53" s="1">
        <v>22728</v>
      </c>
    </row>
    <row r="54" spans="2:11" x14ac:dyDescent="0.25">
      <c r="B54" s="1" t="s">
        <v>146</v>
      </c>
      <c r="C54" s="1">
        <f t="shared" ref="C54:K54" si="12">SUM(C47:C53)</f>
        <v>166659</v>
      </c>
      <c r="D54" s="1">
        <f t="shared" si="12"/>
        <v>167119</v>
      </c>
      <c r="E54" s="1">
        <f t="shared" si="12"/>
        <v>163663</v>
      </c>
      <c r="F54" s="1">
        <f t="shared" si="12"/>
        <v>167122</v>
      </c>
      <c r="G54" s="1">
        <f t="shared" si="12"/>
        <v>159935</v>
      </c>
      <c r="H54" s="1">
        <f t="shared" si="12"/>
        <v>155877</v>
      </c>
      <c r="I54" s="1">
        <f t="shared" si="12"/>
        <v>160442</v>
      </c>
      <c r="J54" s="1">
        <f t="shared" si="12"/>
        <v>146233</v>
      </c>
      <c r="K54" s="1">
        <f t="shared" si="12"/>
        <v>144125</v>
      </c>
    </row>
    <row r="55" spans="2:11" x14ac:dyDescent="0.25">
      <c r="B55" s="1" t="s">
        <v>144</v>
      </c>
      <c r="C55" s="1">
        <f t="shared" ref="C55:K55" si="13">C54+C46</f>
        <v>288140</v>
      </c>
      <c r="D55" s="1">
        <f t="shared" si="13"/>
        <v>310263</v>
      </c>
      <c r="E55" s="1">
        <f t="shared" si="13"/>
        <v>267194</v>
      </c>
      <c r="F55" s="1">
        <f t="shared" si="13"/>
        <v>326744</v>
      </c>
      <c r="G55" s="1">
        <f t="shared" si="13"/>
        <v>309235</v>
      </c>
      <c r="H55" s="1">
        <f t="shared" si="13"/>
        <v>266651</v>
      </c>
      <c r="I55" s="1">
        <f t="shared" si="13"/>
        <v>299488</v>
      </c>
      <c r="J55" s="1">
        <f t="shared" si="13"/>
        <v>269751</v>
      </c>
      <c r="K55" s="1">
        <f t="shared" si="13"/>
        <v>224014</v>
      </c>
    </row>
    <row r="56" spans="2:11" x14ac:dyDescent="0.25">
      <c r="B56" s="1" t="s">
        <v>147</v>
      </c>
      <c r="C56" s="1">
        <v>29755</v>
      </c>
      <c r="D56" s="1">
        <v>28497</v>
      </c>
      <c r="E56" s="1">
        <v>20773</v>
      </c>
      <c r="F56" s="1">
        <v>16042</v>
      </c>
      <c r="G56" s="1">
        <v>21223</v>
      </c>
      <c r="H56" s="1">
        <v>21398</v>
      </c>
      <c r="I56" s="1">
        <v>29504</v>
      </c>
      <c r="J56" s="1">
        <v>23586</v>
      </c>
      <c r="K56" s="1">
        <v>20290</v>
      </c>
    </row>
    <row r="57" spans="2:11" x14ac:dyDescent="0.25">
      <c r="B57" s="1" t="s">
        <v>148</v>
      </c>
      <c r="C57" s="1">
        <v>31067</v>
      </c>
      <c r="D57" s="1">
        <v>24889</v>
      </c>
      <c r="E57" s="1">
        <v>28251</v>
      </c>
      <c r="F57" s="1">
        <v>42639</v>
      </c>
      <c r="G57" s="1">
        <v>17353</v>
      </c>
      <c r="H57" s="1">
        <v>16928</v>
      </c>
      <c r="I57" s="1">
        <v>19341</v>
      </c>
      <c r="J57" s="1">
        <v>27414</v>
      </c>
      <c r="K57" s="1">
        <v>23964</v>
      </c>
    </row>
    <row r="58" spans="2:11" x14ac:dyDescent="0.25">
      <c r="B58" s="1" t="s">
        <v>149</v>
      </c>
      <c r="C58" s="1">
        <v>4018</v>
      </c>
      <c r="D58" s="1">
        <v>4126</v>
      </c>
      <c r="E58" s="1">
        <v>4092</v>
      </c>
      <c r="F58" s="1">
        <v>4193</v>
      </c>
      <c r="G58" s="1">
        <v>4188</v>
      </c>
      <c r="H58" s="1">
        <v>4212</v>
      </c>
      <c r="I58" s="1">
        <v>4183</v>
      </c>
      <c r="J58" s="1">
        <v>4053</v>
      </c>
      <c r="K58" s="1">
        <v>3297</v>
      </c>
    </row>
    <row r="59" spans="2:11" x14ac:dyDescent="0.25">
      <c r="B59" s="1" t="s">
        <v>150</v>
      </c>
      <c r="C59" s="1">
        <v>13693</v>
      </c>
      <c r="D59" s="1">
        <v>12058</v>
      </c>
      <c r="E59" s="1">
        <v>7922</v>
      </c>
      <c r="F59" s="1">
        <v>2926</v>
      </c>
      <c r="G59" s="1">
        <v>3772</v>
      </c>
      <c r="H59" s="1">
        <v>3498</v>
      </c>
      <c r="I59" s="1">
        <v>5107</v>
      </c>
      <c r="J59" s="1">
        <v>4827</v>
      </c>
      <c r="K59" s="1">
        <v>4241</v>
      </c>
    </row>
    <row r="60" spans="2:11" x14ac:dyDescent="0.25">
      <c r="B60" s="1" t="s">
        <v>93</v>
      </c>
      <c r="C60" s="1">
        <v>2571</v>
      </c>
      <c r="D60" s="1">
        <v>2233</v>
      </c>
      <c r="E60" s="1">
        <v>2476</v>
      </c>
      <c r="F60" s="1">
        <v>1278</v>
      </c>
      <c r="G60" s="1">
        <v>1007</v>
      </c>
      <c r="H60" s="1">
        <v>970</v>
      </c>
      <c r="I60" s="1">
        <v>1283</v>
      </c>
      <c r="J60" s="1">
        <v>903</v>
      </c>
      <c r="K60" s="1">
        <v>580</v>
      </c>
    </row>
    <row r="61" spans="2:11" x14ac:dyDescent="0.25">
      <c r="B61" s="1" t="s">
        <v>151</v>
      </c>
      <c r="C61" s="1">
        <f t="shared" ref="C61:K61" si="14">SUM(C56:C60)</f>
        <v>81104</v>
      </c>
      <c r="D61" s="1">
        <f t="shared" si="14"/>
        <v>71803</v>
      </c>
      <c r="E61" s="1">
        <f t="shared" si="14"/>
        <v>63514</v>
      </c>
      <c r="F61" s="1">
        <f t="shared" si="14"/>
        <v>67078</v>
      </c>
      <c r="G61" s="1">
        <f t="shared" si="14"/>
        <v>47543</v>
      </c>
      <c r="H61" s="1">
        <f t="shared" si="14"/>
        <v>47006</v>
      </c>
      <c r="I61" s="1">
        <f t="shared" si="14"/>
        <v>59418</v>
      </c>
      <c r="J61" s="1">
        <f t="shared" si="14"/>
        <v>60783</v>
      </c>
      <c r="K61" s="1">
        <f t="shared" si="14"/>
        <v>52372</v>
      </c>
    </row>
    <row r="62" spans="2:11" x14ac:dyDescent="0.25">
      <c r="B62" s="1" t="s">
        <v>150</v>
      </c>
      <c r="C62" s="1">
        <v>26425</v>
      </c>
      <c r="D62" s="1">
        <v>25364</v>
      </c>
      <c r="E62" s="1">
        <v>23191</v>
      </c>
      <c r="F62" s="1">
        <v>34017</v>
      </c>
      <c r="G62" s="1">
        <v>53331</v>
      </c>
      <c r="H62" s="1">
        <v>53763</v>
      </c>
      <c r="I62" s="1">
        <v>58902</v>
      </c>
      <c r="J62" s="1">
        <v>57576</v>
      </c>
      <c r="K62" s="1">
        <v>59618</v>
      </c>
    </row>
    <row r="63" spans="2:11" x14ac:dyDescent="0.25">
      <c r="B63" s="1" t="s">
        <v>152</v>
      </c>
      <c r="C63" s="1">
        <v>16453</v>
      </c>
      <c r="D63" s="1">
        <v>15508</v>
      </c>
      <c r="E63" s="1">
        <v>14256</v>
      </c>
      <c r="F63" s="1">
        <v>12952</v>
      </c>
      <c r="G63" s="1">
        <v>11796</v>
      </c>
      <c r="H63" s="1">
        <v>10688</v>
      </c>
      <c r="I63" s="1">
        <v>9610</v>
      </c>
      <c r="J63" s="1">
        <v>7523</v>
      </c>
      <c r="K63" s="1">
        <v>4086</v>
      </c>
    </row>
    <row r="64" spans="2:11" x14ac:dyDescent="0.25">
      <c r="B64" s="1" t="s">
        <v>153</v>
      </c>
      <c r="C64" s="1">
        <v>2238</v>
      </c>
      <c r="D64" s="1">
        <v>2301</v>
      </c>
      <c r="E64" s="1">
        <v>2319</v>
      </c>
      <c r="F64" s="1">
        <v>2401</v>
      </c>
      <c r="G64" s="1">
        <v>2440</v>
      </c>
      <c r="H64" s="1">
        <v>2490</v>
      </c>
      <c r="I64" s="1">
        <v>2880</v>
      </c>
      <c r="J64" s="1">
        <v>2821</v>
      </c>
      <c r="K64" s="1">
        <v>1344</v>
      </c>
    </row>
    <row r="65" spans="1:11" x14ac:dyDescent="0.25">
      <c r="B65" s="1" t="s">
        <v>154</v>
      </c>
      <c r="C65" s="1">
        <f>189+71301+208</f>
        <v>71698</v>
      </c>
      <c r="D65" s="1">
        <f>189+71571</f>
        <v>71760</v>
      </c>
      <c r="E65" s="1">
        <f>184+71844+0</f>
        <v>72028</v>
      </c>
      <c r="F65" s="1">
        <v>72119</v>
      </c>
      <c r="G65" s="1">
        <v>72391</v>
      </c>
      <c r="H65" s="1">
        <v>72665</v>
      </c>
      <c r="I65" s="1">
        <v>72942</v>
      </c>
      <c r="J65" s="1">
        <v>73221</v>
      </c>
      <c r="K65" s="1">
        <v>73495</v>
      </c>
    </row>
    <row r="66" spans="1:11" x14ac:dyDescent="0.25">
      <c r="B66" s="1" t="s">
        <v>158</v>
      </c>
      <c r="C66" s="1">
        <f t="shared" ref="C66:K66" si="15">SUM(C62:C65)</f>
        <v>116814</v>
      </c>
      <c r="D66" s="1">
        <f t="shared" si="15"/>
        <v>114933</v>
      </c>
      <c r="E66" s="1">
        <f t="shared" si="15"/>
        <v>111794</v>
      </c>
      <c r="F66" s="1">
        <f t="shared" si="15"/>
        <v>121489</v>
      </c>
      <c r="G66" s="1">
        <f t="shared" si="15"/>
        <v>139958</v>
      </c>
      <c r="H66" s="1">
        <f t="shared" si="15"/>
        <v>139606</v>
      </c>
      <c r="I66" s="1">
        <f t="shared" si="15"/>
        <v>144334</v>
      </c>
      <c r="J66" s="1">
        <f t="shared" si="15"/>
        <v>141141</v>
      </c>
      <c r="K66" s="1">
        <f t="shared" si="15"/>
        <v>138543</v>
      </c>
    </row>
    <row r="67" spans="1:11" x14ac:dyDescent="0.25">
      <c r="B67" s="1" t="s">
        <v>155</v>
      </c>
      <c r="C67" s="1">
        <f t="shared" ref="C67:K67" si="16">C66+C61</f>
        <v>197918</v>
      </c>
      <c r="D67" s="1">
        <f t="shared" si="16"/>
        <v>186736</v>
      </c>
      <c r="E67" s="1">
        <f t="shared" si="16"/>
        <v>175308</v>
      </c>
      <c r="F67" s="1">
        <f t="shared" si="16"/>
        <v>188567</v>
      </c>
      <c r="G67" s="1">
        <f t="shared" si="16"/>
        <v>187501</v>
      </c>
      <c r="H67" s="1">
        <f t="shared" si="16"/>
        <v>186612</v>
      </c>
      <c r="I67" s="1">
        <f t="shared" si="16"/>
        <v>203752</v>
      </c>
      <c r="J67" s="1">
        <f t="shared" si="16"/>
        <v>201924</v>
      </c>
      <c r="K67" s="1">
        <f t="shared" si="16"/>
        <v>190915</v>
      </c>
    </row>
    <row r="68" spans="1:11" x14ac:dyDescent="0.25">
      <c r="B68" s="1" t="s">
        <v>156</v>
      </c>
      <c r="C68" s="1">
        <v>90222</v>
      </c>
      <c r="D68" s="1">
        <v>123527</v>
      </c>
      <c r="E68" s="1">
        <v>91886</v>
      </c>
      <c r="F68" s="1">
        <v>138177</v>
      </c>
      <c r="G68" s="1">
        <v>121734</v>
      </c>
      <c r="H68" s="1">
        <v>80039</v>
      </c>
      <c r="I68" s="1">
        <v>95736</v>
      </c>
      <c r="J68" s="1">
        <v>67827</v>
      </c>
      <c r="K68" s="1">
        <v>33099</v>
      </c>
    </row>
    <row r="69" spans="1:11" x14ac:dyDescent="0.25">
      <c r="B69" s="24" t="s">
        <v>157</v>
      </c>
      <c r="C69" s="25" t="b">
        <f t="shared" ref="C69:K69" si="17">C68+C67=C55</f>
        <v>1</v>
      </c>
      <c r="D69" s="25" t="b">
        <f t="shared" si="17"/>
        <v>1</v>
      </c>
      <c r="E69" s="25" t="b">
        <f t="shared" si="17"/>
        <v>1</v>
      </c>
      <c r="F69" s="25" t="b">
        <f t="shared" si="17"/>
        <v>1</v>
      </c>
      <c r="G69" s="25" t="b">
        <f t="shared" si="17"/>
        <v>1</v>
      </c>
      <c r="H69" s="25" t="b">
        <f t="shared" si="17"/>
        <v>1</v>
      </c>
      <c r="I69" s="25" t="b">
        <f t="shared" si="17"/>
        <v>1</v>
      </c>
      <c r="J69" s="25" t="b">
        <f t="shared" si="17"/>
        <v>1</v>
      </c>
      <c r="K69" s="26" t="b">
        <f t="shared" si="17"/>
        <v>1</v>
      </c>
    </row>
    <row r="71" spans="1:11" x14ac:dyDescent="0.25">
      <c r="B71" s="20" t="s">
        <v>159</v>
      </c>
      <c r="C71" s="20">
        <f t="shared" ref="C71:K71" si="18">+C39+C49-C64-C65</f>
        <v>-4400</v>
      </c>
      <c r="D71" s="20">
        <f t="shared" si="18"/>
        <v>19465</v>
      </c>
      <c r="E71" s="20">
        <f t="shared" si="18"/>
        <v>-9944</v>
      </c>
      <c r="F71" s="20">
        <f t="shared" si="18"/>
        <v>56129</v>
      </c>
      <c r="G71" s="20">
        <f t="shared" si="18"/>
        <v>45434</v>
      </c>
      <c r="H71" s="20">
        <f t="shared" si="18"/>
        <v>25870</v>
      </c>
      <c r="I71" s="20">
        <f t="shared" si="18"/>
        <v>49207</v>
      </c>
      <c r="J71" s="20">
        <f t="shared" si="18"/>
        <v>29626</v>
      </c>
      <c r="K71" s="20">
        <f t="shared" si="18"/>
        <v>-6229</v>
      </c>
    </row>
    <row r="72" spans="1:11" x14ac:dyDescent="0.25">
      <c r="B72" s="1" t="s">
        <v>161</v>
      </c>
      <c r="C72" s="1">
        <f>C46-C61</f>
        <v>40377</v>
      </c>
      <c r="D72" s="1">
        <f t="shared" ref="D72:K72" si="19">D46-D61</f>
        <v>71341</v>
      </c>
      <c r="E72" s="1">
        <f t="shared" si="19"/>
        <v>40017</v>
      </c>
      <c r="F72" s="1">
        <f t="shared" si="19"/>
        <v>92544</v>
      </c>
      <c r="G72" s="1">
        <f t="shared" si="19"/>
        <v>101757</v>
      </c>
      <c r="H72" s="1">
        <f t="shared" si="19"/>
        <v>63768</v>
      </c>
      <c r="I72" s="1">
        <f t="shared" si="19"/>
        <v>79628</v>
      </c>
      <c r="J72" s="1">
        <f t="shared" si="19"/>
        <v>62735</v>
      </c>
      <c r="K72" s="1">
        <f t="shared" si="19"/>
        <v>27517</v>
      </c>
    </row>
    <row r="73" spans="1:11" x14ac:dyDescent="0.25">
      <c r="A73" s="15" t="s">
        <v>160</v>
      </c>
      <c r="B73" s="27" t="s">
        <v>162</v>
      </c>
      <c r="C73" s="20"/>
      <c r="D73" s="20">
        <f>C72-D72</f>
        <v>-30964</v>
      </c>
      <c r="E73" s="20">
        <f t="shared" ref="E73:K73" si="20">D72-E72</f>
        <v>31324</v>
      </c>
      <c r="F73" s="20">
        <f t="shared" si="20"/>
        <v>-52527</v>
      </c>
      <c r="G73" s="20">
        <f t="shared" si="20"/>
        <v>-9213</v>
      </c>
      <c r="H73" s="20">
        <f t="shared" si="20"/>
        <v>37989</v>
      </c>
      <c r="I73" s="20">
        <f t="shared" si="20"/>
        <v>-15860</v>
      </c>
      <c r="J73" s="20">
        <f t="shared" si="20"/>
        <v>16893</v>
      </c>
      <c r="K73" s="20">
        <f t="shared" si="20"/>
        <v>35218</v>
      </c>
    </row>
    <row r="75" spans="1:11" ht="15.6" x14ac:dyDescent="0.4">
      <c r="B75" s="7" t="s">
        <v>119</v>
      </c>
      <c r="C75" s="16" t="s">
        <v>97</v>
      </c>
      <c r="D75" s="16" t="s">
        <v>98</v>
      </c>
      <c r="E75" s="16" t="s">
        <v>99</v>
      </c>
      <c r="F75" s="16" t="s">
        <v>100</v>
      </c>
      <c r="G75" s="16" t="s">
        <v>9</v>
      </c>
      <c r="H75" s="16" t="s">
        <v>101</v>
      </c>
      <c r="I75" s="16" t="s">
        <v>102</v>
      </c>
      <c r="J75" s="16" t="s">
        <v>103</v>
      </c>
      <c r="K75" s="16" t="s">
        <v>104</v>
      </c>
    </row>
    <row r="77" spans="1:11" x14ac:dyDescent="0.25">
      <c r="B77" s="1" t="s">
        <v>186</v>
      </c>
      <c r="C77" s="1">
        <v>-30364</v>
      </c>
      <c r="D77" s="1">
        <f>-59945-C77</f>
        <v>-29581</v>
      </c>
      <c r="E77" s="1">
        <f>-104242-SUM(C77:D77)</f>
        <v>-44297</v>
      </c>
      <c r="F77" s="1">
        <f>-84027-SUM(C77:E77)</f>
        <v>20215</v>
      </c>
      <c r="G77" s="1">
        <v>-20442</v>
      </c>
      <c r="H77" s="1">
        <f>-69062-G77</f>
        <v>-48620</v>
      </c>
      <c r="I77" s="1">
        <f>-108392-SUM(G77:H77)</f>
        <v>-39330</v>
      </c>
      <c r="J77" s="1">
        <f>-147791-SUM(G77:I77)</f>
        <v>-39399</v>
      </c>
      <c r="K77" s="1">
        <v>-39981</v>
      </c>
    </row>
    <row r="79" spans="1:11" x14ac:dyDescent="0.25">
      <c r="B79" s="1" t="s">
        <v>164</v>
      </c>
      <c r="C79" s="1">
        <v>6432</v>
      </c>
      <c r="D79" s="1">
        <f>13703-C79</f>
        <v>7271</v>
      </c>
      <c r="E79" s="1">
        <f>20756-SUM(C79:D79)</f>
        <v>7053</v>
      </c>
      <c r="F79" s="1">
        <f>27716-SUM(C79:E79)</f>
        <v>6960</v>
      </c>
      <c r="G79" s="1">
        <v>6960</v>
      </c>
      <c r="H79" s="1">
        <f>12770-G79</f>
        <v>5810</v>
      </c>
      <c r="I79" s="1">
        <f>19074-SUM(G79:H79)</f>
        <v>6304</v>
      </c>
      <c r="J79" s="1">
        <f>25191-SUM(G79:I79)</f>
        <v>6117</v>
      </c>
      <c r="K79" s="1">
        <v>4887</v>
      </c>
    </row>
    <row r="80" spans="1:11" x14ac:dyDescent="0.25">
      <c r="B80" s="1" t="s">
        <v>165</v>
      </c>
      <c r="C80" s="1">
        <v>-3857</v>
      </c>
      <c r="D80" s="1">
        <f>-5762-C80</f>
        <v>-1905</v>
      </c>
      <c r="E80" s="1">
        <f>2915-SUM(C80:D80)</f>
        <v>8677</v>
      </c>
      <c r="F80" s="1">
        <f>-9300-SUM(C80:E80)</f>
        <v>-12215</v>
      </c>
      <c r="G80" s="1">
        <v>535</v>
      </c>
      <c r="H80" s="1">
        <f>819-G80</f>
        <v>284</v>
      </c>
      <c r="I80" s="1">
        <f>-2644-SUM(G80:H80)</f>
        <v>-3463</v>
      </c>
      <c r="J80" s="1">
        <f>2886-SUM(G80:I80)</f>
        <v>5530</v>
      </c>
      <c r="K80" s="1">
        <v>-3687</v>
      </c>
    </row>
    <row r="81" spans="2:11" x14ac:dyDescent="0.25">
      <c r="B81" s="1" t="s">
        <v>166</v>
      </c>
      <c r="C81" s="1">
        <v>3092</v>
      </c>
      <c r="D81" s="1">
        <f>6339-C81</f>
        <v>3247</v>
      </c>
      <c r="E81" s="1">
        <f>9818-SUM(C81:D81)</f>
        <v>3479</v>
      </c>
      <c r="F81" s="1">
        <f>13730-SUM(C81:E81)</f>
        <v>3912</v>
      </c>
      <c r="G81" s="1">
        <v>3275</v>
      </c>
      <c r="H81" s="1">
        <f>6497-G81</f>
        <v>3222</v>
      </c>
      <c r="I81" s="1">
        <f>9757-SUM(G81:H81)</f>
        <v>3260</v>
      </c>
      <c r="J81" s="1">
        <f>12828-SUM(G81:I81)</f>
        <v>3071</v>
      </c>
      <c r="K81" s="1">
        <v>3081</v>
      </c>
    </row>
    <row r="82" spans="2:11" x14ac:dyDescent="0.25">
      <c r="B82" s="1" t="s">
        <v>167</v>
      </c>
      <c r="C82" s="1">
        <v>-24</v>
      </c>
      <c r="D82" s="1">
        <f>-104-C82</f>
        <v>-80</v>
      </c>
      <c r="E82" s="1">
        <f>-153-SUM(C82:D82)</f>
        <v>-49</v>
      </c>
      <c r="F82" s="1">
        <f>-222-SUM(C82:E82)</f>
        <v>-69</v>
      </c>
      <c r="G82" s="1">
        <v>-36</v>
      </c>
      <c r="H82" s="1">
        <f>-100-G82</f>
        <v>-64</v>
      </c>
      <c r="I82" s="1">
        <f>-158-SUM(G82:H82)</f>
        <v>-58</v>
      </c>
      <c r="J82" s="1">
        <f>16-SUM(G82:I82)</f>
        <v>174</v>
      </c>
      <c r="K82" s="1">
        <v>71</v>
      </c>
    </row>
    <row r="83" spans="2:11" x14ac:dyDescent="0.25">
      <c r="B83" s="1" t="s">
        <v>168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f>-172-SUM(G83:I83)</f>
        <v>-172</v>
      </c>
      <c r="K83" s="1">
        <v>-1365</v>
      </c>
    </row>
    <row r="84" spans="2:11" x14ac:dyDescent="0.25">
      <c r="B84" s="1" t="s">
        <v>169</v>
      </c>
      <c r="C84" s="1">
        <v>0</v>
      </c>
      <c r="D84" s="1">
        <f>89-C84</f>
        <v>89</v>
      </c>
      <c r="E84" s="1">
        <f>89-SUM(C84:D84)</f>
        <v>0</v>
      </c>
      <c r="F84" s="1">
        <f>13+6-SUM(C84:E84)</f>
        <v>-70</v>
      </c>
      <c r="G84" s="1">
        <v>0</v>
      </c>
      <c r="H84" s="1">
        <f>434-G84</f>
        <v>434</v>
      </c>
      <c r="I84" s="1">
        <f>418-SUM(G84:H84)</f>
        <v>-16</v>
      </c>
      <c r="J84" s="1">
        <f>9+17-SUM(G84:I84)</f>
        <v>-392</v>
      </c>
      <c r="K84" s="1">
        <v>-122</v>
      </c>
    </row>
    <row r="85" spans="2:11" x14ac:dyDescent="0.25">
      <c r="B85" s="1" t="s">
        <v>170</v>
      </c>
      <c r="C85" s="1">
        <v>44</v>
      </c>
      <c r="D85" s="1">
        <f>538-C85</f>
        <v>494</v>
      </c>
      <c r="E85" s="1">
        <f>130-SUM(C85:D85)</f>
        <v>-408</v>
      </c>
      <c r="F85" s="1">
        <f>177-SUM(C85:E85)</f>
        <v>47</v>
      </c>
      <c r="G85" s="1">
        <v>48</v>
      </c>
      <c r="H85" s="1">
        <f>97-G85</f>
        <v>49</v>
      </c>
      <c r="I85" s="1">
        <f>146-SUM(G85:H85)</f>
        <v>49</v>
      </c>
      <c r="J85" s="1">
        <f>209-SUM(G85:I85)</f>
        <v>63</v>
      </c>
      <c r="K85" s="1">
        <v>63</v>
      </c>
    </row>
    <row r="86" spans="2:11" x14ac:dyDescent="0.25">
      <c r="B86" s="1" t="s">
        <v>171</v>
      </c>
      <c r="C86" s="1">
        <v>266</v>
      </c>
      <c r="D86" s="1">
        <f>-53-C86</f>
        <v>-319</v>
      </c>
      <c r="E86" s="1">
        <f>809-53-SUM(C86:D86)</f>
        <v>809</v>
      </c>
      <c r="F86" s="1">
        <f>1083-499+1149-SUM(C86:E86)</f>
        <v>977</v>
      </c>
      <c r="G86" s="1">
        <v>273</v>
      </c>
      <c r="H86" s="1">
        <f>546-G86</f>
        <v>273</v>
      </c>
      <c r="I86" s="1">
        <f>824-SUM(G86:H86)</f>
        <v>278</v>
      </c>
      <c r="J86" s="1">
        <f>1103-SUM(G86:I86)</f>
        <v>279</v>
      </c>
      <c r="K86" s="1">
        <v>274</v>
      </c>
    </row>
    <row r="87" spans="2:11" x14ac:dyDescent="0.25">
      <c r="B87" s="1" t="s">
        <v>172</v>
      </c>
      <c r="C87" s="1">
        <v>-54</v>
      </c>
      <c r="D87" s="1">
        <f>0-C87</f>
        <v>54</v>
      </c>
      <c r="E87" s="1">
        <f>0-SUM(C87:D87)</f>
        <v>0</v>
      </c>
      <c r="F87" s="1">
        <f>-54208-SUM(C87:E87)</f>
        <v>-54208</v>
      </c>
      <c r="G87" s="1">
        <v>-29018</v>
      </c>
      <c r="H87" s="1">
        <f>-29018-G87</f>
        <v>0</v>
      </c>
      <c r="I87" s="1">
        <f>-28434-SUM(G87:H87)</f>
        <v>584</v>
      </c>
      <c r="J87" s="1">
        <f>-28434-SUM(G87:I87)</f>
        <v>0</v>
      </c>
      <c r="K87" s="1">
        <v>0</v>
      </c>
    </row>
    <row r="88" spans="2:11" x14ac:dyDescent="0.25">
      <c r="B88" s="1" t="s">
        <v>134</v>
      </c>
      <c r="C88" s="1">
        <v>-14137</v>
      </c>
      <c r="D88" s="1">
        <f>-10552-C88</f>
        <v>3585</v>
      </c>
      <c r="E88" s="1">
        <f>-198-SUM(C88:D88)</f>
        <v>10354</v>
      </c>
      <c r="F88" s="1">
        <f>9975-SUM(C88:E88)</f>
        <v>10173</v>
      </c>
      <c r="G88" s="1">
        <v>-1603</v>
      </c>
      <c r="H88" s="1">
        <f>7764-G88</f>
        <v>9367</v>
      </c>
      <c r="I88" s="1">
        <f>5033-SUM(G88:H88)</f>
        <v>-2731</v>
      </c>
      <c r="J88" s="1">
        <f>6325-SUM(G88:I88)</f>
        <v>1292</v>
      </c>
      <c r="K88" s="1">
        <v>-49</v>
      </c>
    </row>
    <row r="89" spans="2:11" x14ac:dyDescent="0.25">
      <c r="B89" s="1" t="s">
        <v>135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f>-954-SUM(G89:I89)</f>
        <v>-954</v>
      </c>
      <c r="K89" s="1">
        <v>701</v>
      </c>
    </row>
    <row r="90" spans="2:11" x14ac:dyDescent="0.25">
      <c r="B90" s="1" t="s">
        <v>136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f>-387-SUM(G90:I90)</f>
        <v>-387</v>
      </c>
      <c r="K90" s="1">
        <v>-203</v>
      </c>
    </row>
    <row r="91" spans="2:11" x14ac:dyDescent="0.25">
      <c r="B91" s="1" t="s">
        <v>173</v>
      </c>
      <c r="C91" s="1">
        <v>1235</v>
      </c>
      <c r="D91" s="1">
        <f>198-C91</f>
        <v>-1037</v>
      </c>
      <c r="E91" s="1">
        <f>1212-SUM(C91:D91)</f>
        <v>1014</v>
      </c>
      <c r="F91" s="1">
        <f>2690-SUM(C91:E91)</f>
        <v>1478</v>
      </c>
      <c r="G91" s="1">
        <v>530</v>
      </c>
      <c r="H91" s="1">
        <f>654-G91</f>
        <v>124</v>
      </c>
      <c r="I91" s="1">
        <f>-1289-SUM(G91:H91)</f>
        <v>-1943</v>
      </c>
      <c r="J91" s="1">
        <f>-1328-SUM(G91:I91)</f>
        <v>-39</v>
      </c>
      <c r="K91" s="1">
        <v>7</v>
      </c>
    </row>
    <row r="92" spans="2:11" x14ac:dyDescent="0.25">
      <c r="B92" s="1" t="s">
        <v>187</v>
      </c>
      <c r="C92" s="1">
        <v>0</v>
      </c>
      <c r="D92" s="1">
        <v>0</v>
      </c>
      <c r="E92" s="1">
        <f>-2283-SUM(C92:D92)</f>
        <v>-2283</v>
      </c>
      <c r="F92" s="1">
        <f>-5148-SUM(C92:E92)</f>
        <v>-2865</v>
      </c>
      <c r="G92" s="1">
        <v>0</v>
      </c>
      <c r="H92" s="1">
        <f>9586-G92</f>
        <v>9586</v>
      </c>
      <c r="I92" s="1">
        <f>8170-SUM(G92:H92)</f>
        <v>-1416</v>
      </c>
      <c r="J92" s="1">
        <f>4055-SUM(G92:I92)</f>
        <v>-4115</v>
      </c>
      <c r="K92" s="1">
        <v>4851</v>
      </c>
    </row>
    <row r="93" spans="2:11" x14ac:dyDescent="0.25">
      <c r="B93" s="1" t="s">
        <v>129</v>
      </c>
      <c r="C93" s="1">
        <v>136</v>
      </c>
      <c r="D93" s="1">
        <f>196-15-C93</f>
        <v>45</v>
      </c>
      <c r="E93" s="1">
        <f>898-15-SUM(C93:D93)</f>
        <v>702</v>
      </c>
      <c r="F93" s="1">
        <f>222-1809-SUM(C93:E93)</f>
        <v>-2470</v>
      </c>
      <c r="G93" s="1">
        <f>626+632</f>
        <v>1258</v>
      </c>
      <c r="H93" s="1">
        <f>905+632-G93</f>
        <v>279</v>
      </c>
      <c r="I93" s="1">
        <f>923+689-SUM(G93:H93)</f>
        <v>75</v>
      </c>
      <c r="J93" s="1">
        <f>759-2302-SUM(G93:I93)</f>
        <v>-3155</v>
      </c>
      <c r="K93" s="1">
        <v>1638</v>
      </c>
    </row>
    <row r="94" spans="2:11" x14ac:dyDescent="0.25">
      <c r="B94" s="1" t="s">
        <v>147</v>
      </c>
      <c r="C94" s="1">
        <v>14642</v>
      </c>
      <c r="D94" s="1">
        <f>13072-C94</f>
        <v>-1570</v>
      </c>
      <c r="E94" s="1">
        <f>5393-SUM(C94:D94)</f>
        <v>-7679</v>
      </c>
      <c r="F94" s="1">
        <f>2330-SUM(C94:E94)</f>
        <v>-3063</v>
      </c>
      <c r="G94" s="1">
        <v>5198</v>
      </c>
      <c r="H94" s="1">
        <f>5670-G94</f>
        <v>472</v>
      </c>
      <c r="I94" s="1">
        <f>14024-SUM(G94:H94)</f>
        <v>8354</v>
      </c>
      <c r="J94" s="1">
        <f>10738-SUM(G94:I94)</f>
        <v>-3286</v>
      </c>
      <c r="K94" s="1">
        <v>-3061</v>
      </c>
    </row>
    <row r="95" spans="2:11" x14ac:dyDescent="0.25">
      <c r="B95" s="1" t="s">
        <v>174</v>
      </c>
      <c r="C95" s="1">
        <v>-11469</v>
      </c>
      <c r="D95" s="1">
        <f>-17234-C95</f>
        <v>-5765</v>
      </c>
      <c r="E95" s="1">
        <f>-13917-SUM(C95:D95)</f>
        <v>3317</v>
      </c>
      <c r="F95" s="1">
        <f>-382-SUM(C95:E95)</f>
        <v>13535</v>
      </c>
      <c r="G95" s="1">
        <v>-24231</v>
      </c>
      <c r="H95" s="1">
        <f>-24928-G95</f>
        <v>-697</v>
      </c>
      <c r="I95" s="1">
        <f>-23350-SUM(G95:H95)</f>
        <v>1578</v>
      </c>
      <c r="J95" s="1">
        <f>-13959-SUM(G95:I95)</f>
        <v>9391</v>
      </c>
      <c r="K95" s="1">
        <v>-3585</v>
      </c>
    </row>
    <row r="96" spans="2:11" x14ac:dyDescent="0.25">
      <c r="B96" s="1" t="s">
        <v>129</v>
      </c>
      <c r="C96" s="1">
        <v>0</v>
      </c>
      <c r="D96" s="1">
        <v>0</v>
      </c>
      <c r="E96" s="1">
        <v>0</v>
      </c>
      <c r="F96" s="1">
        <f>-1355-SUM(C96:E96)</f>
        <v>-1355</v>
      </c>
      <c r="G96" s="1">
        <v>37</v>
      </c>
      <c r="H96" s="1">
        <f>0-G96</f>
        <v>-37</v>
      </c>
      <c r="I96" s="1">
        <f>123-SUM(G96:H96)</f>
        <v>123</v>
      </c>
      <c r="J96" s="1">
        <f>32-SUM(G96:I96)</f>
        <v>-91</v>
      </c>
      <c r="K96" s="1">
        <v>-19</v>
      </c>
    </row>
    <row r="97" spans="2:11" x14ac:dyDescent="0.25">
      <c r="B97" s="1" t="s">
        <v>175</v>
      </c>
      <c r="C97" s="1">
        <v>-3334</v>
      </c>
      <c r="D97" s="1">
        <f>-6874-C97</f>
        <v>-3540</v>
      </c>
      <c r="E97" s="1">
        <f>-11977-SUM(C97:D97)</f>
        <v>-5103</v>
      </c>
      <c r="F97" s="1">
        <f>-7506-SUM(C97:E97)</f>
        <v>4471</v>
      </c>
      <c r="G97" s="1">
        <v>20475</v>
      </c>
      <c r="H97" s="1">
        <f>20537-G97</f>
        <v>62</v>
      </c>
      <c r="I97" s="1">
        <f>23867-SUM(G97:H97)</f>
        <v>3330</v>
      </c>
      <c r="J97" s="1">
        <f>26664-SUM(G97:I97)</f>
        <v>2797</v>
      </c>
      <c r="K97" s="1">
        <v>-329</v>
      </c>
    </row>
    <row r="99" spans="2:11" x14ac:dyDescent="0.25">
      <c r="B99" s="1" t="s">
        <v>176</v>
      </c>
      <c r="C99" s="1">
        <f t="shared" ref="C99:K99" si="21">SUM(C79:C97)+C77</f>
        <v>-37392</v>
      </c>
      <c r="D99" s="1">
        <f t="shared" si="21"/>
        <v>-29012</v>
      </c>
      <c r="E99" s="1">
        <f t="shared" si="21"/>
        <v>-24414</v>
      </c>
      <c r="F99" s="1">
        <f t="shared" si="21"/>
        <v>-14547</v>
      </c>
      <c r="G99" s="1">
        <f t="shared" si="21"/>
        <v>-36741</v>
      </c>
      <c r="H99" s="1">
        <f t="shared" si="21"/>
        <v>-19456</v>
      </c>
      <c r="I99" s="1">
        <f t="shared" si="21"/>
        <v>-25022</v>
      </c>
      <c r="J99" s="1">
        <f t="shared" si="21"/>
        <v>-23276</v>
      </c>
      <c r="K99" s="1">
        <f t="shared" si="21"/>
        <v>-36828</v>
      </c>
    </row>
    <row r="101" spans="2:11" x14ac:dyDescent="0.25">
      <c r="B101" s="1" t="s">
        <v>177</v>
      </c>
      <c r="C101" s="1">
        <f t="shared" ref="C101:K101" si="22">SUM(C102:C103)</f>
        <v>-8605</v>
      </c>
      <c r="D101" s="1">
        <f t="shared" si="22"/>
        <v>-4975</v>
      </c>
      <c r="E101" s="1">
        <f t="shared" si="22"/>
        <v>-3564</v>
      </c>
      <c r="F101" s="20">
        <f>SUM(F102:F103)</f>
        <v>51178</v>
      </c>
      <c r="G101" s="1">
        <f t="shared" si="22"/>
        <v>27340</v>
      </c>
      <c r="H101" s="1">
        <f t="shared" si="22"/>
        <v>-1329</v>
      </c>
      <c r="I101" s="1">
        <f t="shared" si="22"/>
        <v>-1314</v>
      </c>
      <c r="J101" s="1">
        <f t="shared" si="22"/>
        <v>-1218</v>
      </c>
      <c r="K101" s="1">
        <f t="shared" si="22"/>
        <v>-1710</v>
      </c>
    </row>
    <row r="102" spans="2:11" x14ac:dyDescent="0.25">
      <c r="B102" s="18" t="s">
        <v>178</v>
      </c>
      <c r="C102" s="1">
        <v>-8605</v>
      </c>
      <c r="D102" s="1">
        <f>-13580-C102</f>
        <v>-4975</v>
      </c>
      <c r="E102" s="1">
        <f>-17144-SUM(C102:D102)</f>
        <v>-3564</v>
      </c>
      <c r="F102" s="1">
        <f>-20174-SUM(C102:E102)</f>
        <v>-3030</v>
      </c>
      <c r="G102" s="1">
        <v>-1678</v>
      </c>
      <c r="H102" s="1">
        <f>-3007-G102</f>
        <v>-1329</v>
      </c>
      <c r="I102" s="1">
        <f>-3737-SUM(G102:H102)</f>
        <v>-730</v>
      </c>
      <c r="J102" s="1">
        <f>-4955-SUM(G102:I102)</f>
        <v>-1218</v>
      </c>
      <c r="K102" s="1">
        <v>-1710</v>
      </c>
    </row>
    <row r="103" spans="2:11" x14ac:dyDescent="0.25">
      <c r="B103" s="18" t="s">
        <v>179</v>
      </c>
      <c r="C103" s="1">
        <v>0</v>
      </c>
      <c r="D103" s="1">
        <v>0</v>
      </c>
      <c r="E103" s="1">
        <v>0</v>
      </c>
      <c r="F103" s="1">
        <f>54208-SUM(C103:E103)</f>
        <v>54208</v>
      </c>
      <c r="G103" s="1">
        <v>29018</v>
      </c>
      <c r="H103" s="1">
        <f>29018-G103</f>
        <v>0</v>
      </c>
      <c r="I103" s="1">
        <f>28434-SUM(G103:H103)</f>
        <v>-584</v>
      </c>
      <c r="J103" s="1">
        <f>28434-SUM(G103:I103)</f>
        <v>0</v>
      </c>
      <c r="K103" s="1">
        <v>0</v>
      </c>
    </row>
    <row r="105" spans="2:11" ht="15.6" x14ac:dyDescent="0.4">
      <c r="B105" s="7" t="s">
        <v>183</v>
      </c>
      <c r="C105" s="1">
        <f t="shared" ref="C105:K105" si="23">C99-C101</f>
        <v>-28787</v>
      </c>
      <c r="D105" s="1">
        <f t="shared" si="23"/>
        <v>-24037</v>
      </c>
      <c r="E105" s="1">
        <f t="shared" si="23"/>
        <v>-20850</v>
      </c>
      <c r="F105" s="1">
        <f t="shared" si="23"/>
        <v>-65725</v>
      </c>
      <c r="G105" s="1">
        <f t="shared" si="23"/>
        <v>-64081</v>
      </c>
      <c r="H105" s="1">
        <f t="shared" si="23"/>
        <v>-18127</v>
      </c>
      <c r="I105" s="1">
        <f t="shared" si="23"/>
        <v>-23708</v>
      </c>
      <c r="J105" s="1">
        <f t="shared" si="23"/>
        <v>-22058</v>
      </c>
      <c r="K105" s="1">
        <f t="shared" si="23"/>
        <v>-35118</v>
      </c>
    </row>
    <row r="107" spans="2:11" x14ac:dyDescent="0.25">
      <c r="B107" s="1" t="s">
        <v>180</v>
      </c>
      <c r="C107" s="1">
        <f t="shared" ref="C107:K107" si="24">SUM(C109:C112)</f>
        <v>-1231</v>
      </c>
      <c r="D107" s="20">
        <f t="shared" si="24"/>
        <v>57947</v>
      </c>
      <c r="E107" s="1">
        <f t="shared" si="24"/>
        <v>-704</v>
      </c>
      <c r="F107" s="20">
        <f t="shared" si="24"/>
        <v>28011</v>
      </c>
      <c r="G107" s="1">
        <f t="shared" si="24"/>
        <v>-1270</v>
      </c>
      <c r="H107" s="1">
        <f t="shared" si="24"/>
        <v>1603</v>
      </c>
      <c r="I107" s="1">
        <f t="shared" si="24"/>
        <v>49957</v>
      </c>
      <c r="J107" s="1">
        <f t="shared" si="24"/>
        <v>4244</v>
      </c>
      <c r="K107" s="1">
        <f t="shared" si="24"/>
        <v>1713</v>
      </c>
    </row>
    <row r="109" spans="2:11" x14ac:dyDescent="0.25">
      <c r="B109" s="1" t="s">
        <v>181</v>
      </c>
      <c r="C109" s="1">
        <v>0</v>
      </c>
      <c r="D109" s="1">
        <v>0</v>
      </c>
      <c r="E109" s="1">
        <v>0</v>
      </c>
      <c r="F109" s="1">
        <f>10-SUM(C109:E109)</f>
        <v>10</v>
      </c>
      <c r="G109" s="1">
        <v>0</v>
      </c>
      <c r="H109" s="1">
        <v>0</v>
      </c>
      <c r="I109" s="1">
        <v>0</v>
      </c>
      <c r="J109" s="1">
        <v>0</v>
      </c>
      <c r="K109" s="1">
        <v>4</v>
      </c>
    </row>
    <row r="110" spans="2:11" x14ac:dyDescent="0.25">
      <c r="B110" s="1" t="s">
        <v>182</v>
      </c>
      <c r="C110" s="1">
        <v>-1231</v>
      </c>
      <c r="D110" s="1">
        <f>-1231-C110</f>
        <v>0</v>
      </c>
      <c r="E110" s="1">
        <f>-1519-SUM(C110:D110)</f>
        <v>-288</v>
      </c>
      <c r="F110" s="1">
        <f>-1519-SUM(C110:E110)</f>
        <v>0</v>
      </c>
      <c r="G110" s="1">
        <v>-2221</v>
      </c>
      <c r="H110" s="1">
        <f>-2221-G110</f>
        <v>0</v>
      </c>
      <c r="I110" s="1">
        <f>-2340-SUM(G110:H110)</f>
        <v>-119</v>
      </c>
      <c r="J110" s="1">
        <f>-2340-SUM(G110:I110)</f>
        <v>0</v>
      </c>
      <c r="K110" s="1">
        <v>-2761</v>
      </c>
    </row>
    <row r="111" spans="2:11" x14ac:dyDescent="0.25">
      <c r="B111" s="1" t="s">
        <v>184</v>
      </c>
      <c r="C111" s="1">
        <v>0</v>
      </c>
      <c r="D111" s="1">
        <f>61950-C111</f>
        <v>61950</v>
      </c>
      <c r="E111" s="1">
        <f>61950-SUM(C111:D111)</f>
        <v>0</v>
      </c>
      <c r="F111" s="1">
        <f>91950-SUM(C111:E111)</f>
        <v>30000</v>
      </c>
      <c r="G111" s="1">
        <v>1586</v>
      </c>
      <c r="H111" s="1">
        <f>3198-G111</f>
        <v>1612</v>
      </c>
      <c r="I111" s="1">
        <f>55135-SUM(G111:H111)</f>
        <v>51937</v>
      </c>
      <c r="J111" s="1">
        <f>59390-SUM(G111:I111)</f>
        <v>4255</v>
      </c>
      <c r="K111" s="1">
        <v>4482</v>
      </c>
    </row>
    <row r="112" spans="2:11" x14ac:dyDescent="0.25">
      <c r="B112" s="1" t="s">
        <v>185</v>
      </c>
      <c r="C112" s="1">
        <v>0</v>
      </c>
      <c r="D112" s="1">
        <f>-4003-C112</f>
        <v>-4003</v>
      </c>
      <c r="E112" s="1">
        <f>-4419-SUM(C112:D112)</f>
        <v>-416</v>
      </c>
      <c r="F112" s="1">
        <f>-6418-SUM(C112:E112)</f>
        <v>-1999</v>
      </c>
      <c r="G112" s="1">
        <v>-635</v>
      </c>
      <c r="H112" s="1">
        <f>-644-G112</f>
        <v>-9</v>
      </c>
      <c r="I112" s="1">
        <f>-2505-SUM(G112:H112)</f>
        <v>-1861</v>
      </c>
      <c r="J112" s="1">
        <f>-2516-SUM(G112:I112)</f>
        <v>-11</v>
      </c>
      <c r="K112" s="1">
        <v>-12</v>
      </c>
    </row>
    <row r="114" spans="1:20" ht="15.6" x14ac:dyDescent="0.4">
      <c r="B114" s="7" t="s">
        <v>188</v>
      </c>
      <c r="C114" s="1">
        <f>K39/(AVERAGE(H99:K99)/3)</f>
        <v>-7.6330152416285788</v>
      </c>
    </row>
    <row r="117" spans="1:20" ht="15.6" x14ac:dyDescent="0.4">
      <c r="A117" s="15" t="s">
        <v>1</v>
      </c>
      <c r="B117" s="7"/>
    </row>
    <row r="118" spans="1:20" ht="17.399999999999999" x14ac:dyDescent="0.55000000000000004">
      <c r="B118" s="21" t="s">
        <v>193</v>
      </c>
      <c r="E118" s="21" t="s">
        <v>235</v>
      </c>
      <c r="J118" s="21" t="s">
        <v>236</v>
      </c>
      <c r="N118" s="21" t="s">
        <v>237</v>
      </c>
    </row>
    <row r="119" spans="1:20" s="28" customFormat="1" ht="14.4" x14ac:dyDescent="0.3">
      <c r="B119" s="29" t="s">
        <v>193</v>
      </c>
      <c r="C119" s="30"/>
      <c r="D119" s="30"/>
      <c r="E119" s="30"/>
      <c r="G119" s="29" t="s">
        <v>194</v>
      </c>
      <c r="H119" s="30"/>
      <c r="I119" s="30"/>
      <c r="J119" s="30"/>
      <c r="L119" s="29" t="s">
        <v>195</v>
      </c>
      <c r="M119" s="30"/>
      <c r="N119" s="30"/>
      <c r="O119" s="30"/>
      <c r="Q119" s="29" t="s">
        <v>196</v>
      </c>
      <c r="R119" s="30"/>
      <c r="S119" s="30"/>
      <c r="T119" s="30"/>
    </row>
    <row r="120" spans="1:20" s="28" customFormat="1" ht="14.4" x14ac:dyDescent="0.3">
      <c r="B120" s="31" t="s">
        <v>197</v>
      </c>
      <c r="E120" s="31" t="s">
        <v>197</v>
      </c>
      <c r="F120" s="32" t="s">
        <v>198</v>
      </c>
      <c r="G120" s="32" t="s">
        <v>199</v>
      </c>
      <c r="J120" s="31" t="s">
        <v>197</v>
      </c>
      <c r="K120" s="32" t="s">
        <v>198</v>
      </c>
      <c r="L120" s="32" t="s">
        <v>199</v>
      </c>
      <c r="N120" s="31" t="s">
        <v>197</v>
      </c>
      <c r="O120" s="32" t="s">
        <v>198</v>
      </c>
      <c r="P120" s="32" t="s">
        <v>199</v>
      </c>
    </row>
    <row r="121" spans="1:20" s="28" customFormat="1" x14ac:dyDescent="0.25">
      <c r="B121" s="28" t="s">
        <v>200</v>
      </c>
      <c r="C121" s="37">
        <v>3</v>
      </c>
      <c r="E121" s="34"/>
      <c r="F121" s="34"/>
      <c r="G121" s="34"/>
      <c r="N121" s="28" t="s">
        <v>200</v>
      </c>
      <c r="O121" s="34">
        <v>2025</v>
      </c>
      <c r="P121" s="35">
        <v>-1.25</v>
      </c>
    </row>
    <row r="122" spans="1:20" s="28" customFormat="1" x14ac:dyDescent="0.25">
      <c r="B122" s="28" t="s">
        <v>201</v>
      </c>
      <c r="C122" s="37">
        <v>2</v>
      </c>
      <c r="E122" s="28" t="s">
        <v>200</v>
      </c>
      <c r="F122" s="34" t="s">
        <v>233</v>
      </c>
      <c r="G122" s="39">
        <v>-0.77500000000000002</v>
      </c>
      <c r="J122" s="28" t="s">
        <v>200</v>
      </c>
      <c r="K122" s="34">
        <v>2025</v>
      </c>
      <c r="L122" s="39">
        <v>-1.1299999999999999</v>
      </c>
      <c r="N122" s="28" t="s">
        <v>200</v>
      </c>
      <c r="O122" s="34" t="s">
        <v>233</v>
      </c>
      <c r="P122" s="35">
        <f>-105.9%</f>
        <v>-1.0590000000000002</v>
      </c>
    </row>
    <row r="123" spans="1:20" s="28" customFormat="1" x14ac:dyDescent="0.25">
      <c r="B123" s="28" t="s">
        <v>202</v>
      </c>
      <c r="C123" s="37">
        <v>1</v>
      </c>
      <c r="E123" s="28" t="s">
        <v>201</v>
      </c>
      <c r="F123" s="34">
        <v>25</v>
      </c>
      <c r="G123" s="39">
        <v>-4.75</v>
      </c>
      <c r="J123" s="28" t="s">
        <v>200</v>
      </c>
      <c r="K123" s="34" t="s">
        <v>233</v>
      </c>
      <c r="L123" s="39">
        <v>-0.2</v>
      </c>
      <c r="N123" s="28" t="s">
        <v>201</v>
      </c>
      <c r="O123" s="34">
        <v>25</v>
      </c>
      <c r="P123" s="35">
        <v>-5</v>
      </c>
    </row>
    <row r="124" spans="1:20" s="28" customFormat="1" x14ac:dyDescent="0.25">
      <c r="B124" s="28" t="s">
        <v>203</v>
      </c>
      <c r="C124" s="37">
        <v>2</v>
      </c>
      <c r="E124" s="28" t="s">
        <v>201</v>
      </c>
      <c r="F124" s="34">
        <v>29</v>
      </c>
      <c r="G124" s="39">
        <v>-0.25</v>
      </c>
      <c r="N124" s="28" t="s">
        <v>201</v>
      </c>
      <c r="O124" s="34">
        <v>29</v>
      </c>
      <c r="P124" s="35">
        <v>-0.56000000000000005</v>
      </c>
    </row>
    <row r="125" spans="1:20" s="28" customFormat="1" x14ac:dyDescent="0.25">
      <c r="F125" s="33"/>
      <c r="G125" s="33"/>
      <c r="I125" s="33"/>
      <c r="J125" s="33"/>
      <c r="K125" s="33"/>
      <c r="L125" s="33"/>
      <c r="N125" s="33"/>
      <c r="O125" s="33"/>
      <c r="P125" s="33"/>
    </row>
    <row r="126" spans="1:20" s="28" customFormat="1" ht="14.4" x14ac:dyDescent="0.3">
      <c r="B126" s="31" t="s">
        <v>204</v>
      </c>
      <c r="F126" s="33"/>
      <c r="G126" s="33"/>
      <c r="I126" s="33"/>
      <c r="J126" s="33"/>
      <c r="K126" s="33"/>
      <c r="L126" s="33"/>
      <c r="N126" s="33"/>
      <c r="O126" s="33"/>
      <c r="P126" s="33"/>
    </row>
    <row r="127" spans="1:20" s="28" customFormat="1" x14ac:dyDescent="0.25">
      <c r="B127" s="28" t="s">
        <v>202</v>
      </c>
      <c r="C127" s="38">
        <f>CHOOSE(C123,G127,L127,P127,)</f>
        <v>0.09</v>
      </c>
      <c r="E127" s="28" t="s">
        <v>202</v>
      </c>
      <c r="G127" s="38">
        <v>0.09</v>
      </c>
      <c r="I127" s="33"/>
      <c r="J127" s="28" t="s">
        <v>202</v>
      </c>
      <c r="L127" s="38">
        <f>C181</f>
        <v>8.7672515833101122E-2</v>
      </c>
      <c r="N127" s="28" t="s">
        <v>202</v>
      </c>
      <c r="P127" s="36">
        <v>0.08</v>
      </c>
    </row>
    <row r="128" spans="1:20" s="28" customFormat="1" x14ac:dyDescent="0.25">
      <c r="B128" s="28" t="s">
        <v>203</v>
      </c>
      <c r="C128" s="38">
        <f>CHOOSE(C124,G128,L128,P128)</f>
        <v>-0.01</v>
      </c>
      <c r="E128" s="28" t="s">
        <v>203</v>
      </c>
      <c r="G128" s="40">
        <v>0.02</v>
      </c>
      <c r="I128" s="33"/>
      <c r="J128" s="28" t="s">
        <v>203</v>
      </c>
      <c r="L128" s="38">
        <f>C182</f>
        <v>-0.01</v>
      </c>
      <c r="N128" s="28" t="s">
        <v>203</v>
      </c>
      <c r="P128" s="36">
        <v>0.04</v>
      </c>
    </row>
    <row r="129" spans="1:14" x14ac:dyDescent="0.25">
      <c r="G129" s="3"/>
    </row>
    <row r="132" spans="1:14" x14ac:dyDescent="0.25">
      <c r="A132" s="15" t="s">
        <v>1</v>
      </c>
      <c r="B132" s="1" t="s">
        <v>205</v>
      </c>
      <c r="C132" s="16" t="s">
        <v>221</v>
      </c>
      <c r="D132" s="16" t="s">
        <v>217</v>
      </c>
      <c r="E132" s="16" t="s">
        <v>218</v>
      </c>
      <c r="F132" s="16" t="s">
        <v>219</v>
      </c>
      <c r="G132" s="16" t="s">
        <v>220</v>
      </c>
      <c r="H132" s="16" t="s">
        <v>108</v>
      </c>
      <c r="I132" s="16" t="s">
        <v>109</v>
      </c>
      <c r="J132" s="16" t="s">
        <v>110</v>
      </c>
      <c r="K132" s="16" t="s">
        <v>111</v>
      </c>
      <c r="L132" s="16" t="s">
        <v>112</v>
      </c>
      <c r="M132" s="16" t="s">
        <v>113</v>
      </c>
      <c r="N132" s="16" t="s">
        <v>114</v>
      </c>
    </row>
    <row r="134" spans="1:14" x14ac:dyDescent="0.25">
      <c r="B134" s="1" t="s">
        <v>200</v>
      </c>
      <c r="C134" s="1">
        <v>0</v>
      </c>
      <c r="D134" s="1">
        <v>13291</v>
      </c>
      <c r="E134" s="1">
        <v>15562</v>
      </c>
      <c r="F134" s="1">
        <v>37701</v>
      </c>
      <c r="G134" s="1">
        <v>15920</v>
      </c>
      <c r="H134" s="1">
        <f>P17</f>
        <v>14017</v>
      </c>
      <c r="I134" s="1">
        <f>Q17</f>
        <v>33279</v>
      </c>
      <c r="J134" s="1">
        <f ca="1">I134*(1+J135)</f>
        <v>39726.806250000001</v>
      </c>
      <c r="K134" s="1">
        <f ca="1">J134*(1+K135)</f>
        <v>189179.24999653111</v>
      </c>
      <c r="L134" s="1">
        <f ca="1">K134*(1+L135)</f>
        <v>264850.94999514357</v>
      </c>
      <c r="M134" s="1">
        <f ca="1">L134*(1+M135)</f>
        <v>466137.67199145269</v>
      </c>
      <c r="N134" s="1">
        <f ca="1">M134*(1+N135)</f>
        <v>1139240.4703471104</v>
      </c>
    </row>
    <row r="135" spans="1:14" x14ac:dyDescent="0.25">
      <c r="C135" s="52">
        <v>0</v>
      </c>
      <c r="D135" s="52">
        <v>0</v>
      </c>
      <c r="E135" s="52">
        <f>E134/D134-1</f>
        <v>0.17086750432623576</v>
      </c>
      <c r="F135" s="52">
        <f>F134/E134-1</f>
        <v>1.4226320524354197</v>
      </c>
      <c r="G135" s="52">
        <f>G134/F134-1</f>
        <v>-0.57773003368610909</v>
      </c>
      <c r="H135" s="52">
        <f>H134/G134-1</f>
        <v>-0.11953517587939699</v>
      </c>
      <c r="I135" s="52">
        <f>I134/H134-1</f>
        <v>1.3741884854105728</v>
      </c>
      <c r="J135" s="52">
        <f ca="1">OFFSET(J135,$C$121,0)</f>
        <v>0.19375000000000001</v>
      </c>
      <c r="K135" s="52">
        <f ca="1">OFFSET(K135,$C$121,0)</f>
        <v>3.7620049999999967</v>
      </c>
      <c r="L135" s="52">
        <f ca="1">OFFSET(L135,$C$121,0)</f>
        <v>0.4</v>
      </c>
      <c r="M135" s="52">
        <f ca="1">OFFSET(M135,$C$121,0)</f>
        <v>0.76</v>
      </c>
      <c r="N135" s="52">
        <f ca="1">OFFSET(N135,$C$121,0)</f>
        <v>1.444</v>
      </c>
    </row>
    <row r="136" spans="1:14" x14ac:dyDescent="0.25">
      <c r="B136" s="41" t="s">
        <v>238</v>
      </c>
      <c r="J136" s="52">
        <f>G122</f>
        <v>-0.77500000000000002</v>
      </c>
      <c r="K136" s="52">
        <f>J136*(1+$G$122)</f>
        <v>-0.17437499999999997</v>
      </c>
      <c r="L136" s="52">
        <f>K136*(1+$G$122)</f>
        <v>-3.9234374999999988E-2</v>
      </c>
      <c r="M136" s="52">
        <f>L136*(1+$G$122)</f>
        <v>-8.8277343749999966E-3</v>
      </c>
      <c r="N136" s="52">
        <f>M136*(1+$G$122)</f>
        <v>-1.9862402343749992E-3</v>
      </c>
    </row>
    <row r="137" spans="1:14" x14ac:dyDescent="0.25">
      <c r="B137" s="41" t="s">
        <v>239</v>
      </c>
      <c r="J137" s="52">
        <f>J136*(1+L122)</f>
        <v>0.10074999999999992</v>
      </c>
      <c r="K137" s="52">
        <f>J137*20</f>
        <v>2.0149999999999983</v>
      </c>
      <c r="L137" s="52">
        <f>J137*(1+$L$123)*1.9</f>
        <v>0.15313999999999989</v>
      </c>
      <c r="M137" s="52">
        <f>L137*1.9</f>
        <v>0.29096599999999978</v>
      </c>
      <c r="N137" s="52">
        <f>M137*1.9</f>
        <v>0.55283539999999953</v>
      </c>
    </row>
    <row r="138" spans="1:14" x14ac:dyDescent="0.25">
      <c r="B138" s="41" t="s">
        <v>240</v>
      </c>
      <c r="J138" s="52">
        <f>J136*(1+$P$121)</f>
        <v>0.19375000000000001</v>
      </c>
      <c r="K138" s="52">
        <f>K137*1.867</f>
        <v>3.7620049999999967</v>
      </c>
      <c r="L138" s="52">
        <v>0.4</v>
      </c>
      <c r="M138" s="52">
        <f>L138*1.9</f>
        <v>0.76</v>
      </c>
      <c r="N138" s="52">
        <f>M138*1.9</f>
        <v>1.444</v>
      </c>
    </row>
    <row r="139" spans="1:14" x14ac:dyDescent="0.25">
      <c r="B139" s="1" t="s">
        <v>201</v>
      </c>
      <c r="C139" s="1">
        <v>-78104</v>
      </c>
      <c r="D139" s="1">
        <v>-58268</v>
      </c>
      <c r="E139" s="1">
        <v>-62554</v>
      </c>
      <c r="F139" s="1">
        <v>-73192</v>
      </c>
      <c r="G139" s="1">
        <v>-116355</v>
      </c>
      <c r="H139" s="1">
        <f>P25</f>
        <v>-137061</v>
      </c>
      <c r="I139" s="1">
        <f>Q25</f>
        <v>-164212</v>
      </c>
      <c r="J139" s="1">
        <f ca="1">J134*J140</f>
        <v>-119180.41875000001</v>
      </c>
      <c r="K139" s="1">
        <f ca="1">K134*K140</f>
        <v>-170261.32499687799</v>
      </c>
      <c r="L139" s="1">
        <f ca="1">L134*L140</f>
        <v>-119182.9274978146</v>
      </c>
      <c r="M139" s="1">
        <f ca="1">M134*M140</f>
        <v>-104880.97619807684</v>
      </c>
      <c r="N139" s="1">
        <f ca="1">N134*N140</f>
        <v>148101.26114512436</v>
      </c>
    </row>
    <row r="140" spans="1:14" x14ac:dyDescent="0.25">
      <c r="J140" s="52">
        <f ca="1">OFFSET(J140,$C$122,0)</f>
        <v>-3</v>
      </c>
      <c r="K140" s="52">
        <f ca="1">OFFSET(K140,$C$122,0)</f>
        <v>-0.89999999999999991</v>
      </c>
      <c r="L140" s="52">
        <f ca="1">OFFSET(L140,$C$122,0)</f>
        <v>-0.44999999999999996</v>
      </c>
      <c r="M140" s="52">
        <f ca="1">OFFSET(M140,$C$122,0)</f>
        <v>-0.22499999999999998</v>
      </c>
      <c r="N140" s="52">
        <f ca="1">OFFSET(N140,$C$122,0)</f>
        <v>0.13</v>
      </c>
    </row>
    <row r="141" spans="1:14" x14ac:dyDescent="0.25">
      <c r="B141" s="41" t="s">
        <v>238</v>
      </c>
      <c r="J141" s="52">
        <f>G123</f>
        <v>-4.75</v>
      </c>
      <c r="K141" s="52">
        <f>J141*0.13</f>
        <v>-0.61750000000000005</v>
      </c>
      <c r="L141" s="52">
        <f>K141*0.5</f>
        <v>-0.30875000000000002</v>
      </c>
      <c r="M141" s="52">
        <f>L141*0.4</f>
        <v>-0.12350000000000001</v>
      </c>
      <c r="N141" s="52">
        <f>M141*-0.8</f>
        <v>9.8800000000000013E-2</v>
      </c>
    </row>
    <row r="142" spans="1:14" x14ac:dyDescent="0.25">
      <c r="B142" s="41" t="s">
        <v>239</v>
      </c>
      <c r="J142" s="52">
        <v>-3</v>
      </c>
      <c r="K142" s="52">
        <f>J142*0.3</f>
        <v>-0.89999999999999991</v>
      </c>
      <c r="L142" s="52">
        <f>K142*0.5</f>
        <v>-0.44999999999999996</v>
      </c>
      <c r="M142" s="52">
        <f>L142*0.5</f>
        <v>-0.22499999999999998</v>
      </c>
      <c r="N142" s="52">
        <v>0.13</v>
      </c>
    </row>
    <row r="143" spans="1:14" x14ac:dyDescent="0.25">
      <c r="B143" s="41" t="s">
        <v>240</v>
      </c>
      <c r="J143" s="52">
        <f>P123</f>
        <v>-5</v>
      </c>
      <c r="K143" s="51">
        <f>K142*1.18</f>
        <v>-1.0619999999999998</v>
      </c>
      <c r="L143" s="51">
        <f>L142*1.5</f>
        <v>-0.67499999999999993</v>
      </c>
      <c r="M143" s="51">
        <f>M142*1.1</f>
        <v>-0.2475</v>
      </c>
      <c r="N143" s="51">
        <v>0.21</v>
      </c>
    </row>
    <row r="144" spans="1:14" x14ac:dyDescent="0.25">
      <c r="B144" s="1" t="s">
        <v>206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</row>
    <row r="145" spans="2:14" x14ac:dyDescent="0.25">
      <c r="B145" s="1" t="s">
        <v>207</v>
      </c>
      <c r="C145" s="1">
        <f>C139-C144</f>
        <v>-78104</v>
      </c>
      <c r="D145" s="1">
        <f t="shared" ref="D145:H145" si="25">D139-D144</f>
        <v>-58268</v>
      </c>
      <c r="E145" s="1">
        <f t="shared" si="25"/>
        <v>-62554</v>
      </c>
      <c r="F145" s="1">
        <f t="shared" si="25"/>
        <v>-73192</v>
      </c>
      <c r="G145" s="1">
        <f t="shared" si="25"/>
        <v>-116355</v>
      </c>
      <c r="H145" s="1">
        <f t="shared" si="25"/>
        <v>-137061</v>
      </c>
      <c r="I145" s="1">
        <f t="shared" ref="I145:N145" si="26">I139-I144</f>
        <v>-164212</v>
      </c>
      <c r="J145" s="1">
        <f t="shared" ca="1" si="26"/>
        <v>-119180.41875000001</v>
      </c>
      <c r="K145" s="1">
        <f t="shared" ca="1" si="26"/>
        <v>-170261.32499687799</v>
      </c>
      <c r="L145" s="1">
        <f t="shared" ca="1" si="26"/>
        <v>-119182.9274978146</v>
      </c>
      <c r="M145" s="1">
        <f t="shared" ca="1" si="26"/>
        <v>-104880.97619807684</v>
      </c>
      <c r="N145" s="1">
        <f t="shared" ca="1" si="26"/>
        <v>148101.26114512436</v>
      </c>
    </row>
    <row r="146" spans="2:14" x14ac:dyDescent="0.25">
      <c r="B146" s="1" t="s">
        <v>166</v>
      </c>
      <c r="C146" s="1">
        <f>2053-38</f>
        <v>2015</v>
      </c>
      <c r="D146" s="1">
        <f>2238+20</f>
        <v>2258</v>
      </c>
      <c r="E146" s="1">
        <v>4171</v>
      </c>
      <c r="F146" s="1">
        <v>7873</v>
      </c>
      <c r="G146" s="1">
        <v>8723</v>
      </c>
      <c r="H146" s="1">
        <f>SUM(C81:F81)</f>
        <v>13730</v>
      </c>
      <c r="I146" s="1">
        <f>SUM(G81:K81)</f>
        <v>15909</v>
      </c>
      <c r="J146" s="1">
        <f>I146*1.1</f>
        <v>17499.900000000001</v>
      </c>
      <c r="K146" s="1">
        <f>J146*1.13</f>
        <v>19774.886999999999</v>
      </c>
      <c r="L146" s="1">
        <f>K146*1.115</f>
        <v>22048.999004999998</v>
      </c>
      <c r="M146" s="1">
        <f>L146*1.117</f>
        <v>24628.731888584996</v>
      </c>
      <c r="N146" s="1">
        <f>M146*1.119</f>
        <v>27559.550983326611</v>
      </c>
    </row>
    <row r="147" spans="2:14" x14ac:dyDescent="0.25">
      <c r="B147" s="1" t="s">
        <v>177</v>
      </c>
      <c r="C147" s="1">
        <v>-11258</v>
      </c>
      <c r="D147" s="1">
        <v>-9370</v>
      </c>
      <c r="E147" s="1">
        <v>-37020</v>
      </c>
      <c r="F147" s="1">
        <v>-61717</v>
      </c>
      <c r="G147" s="1">
        <v>-44963</v>
      </c>
      <c r="H147" s="1">
        <f>SUM(C101:F101)</f>
        <v>34034</v>
      </c>
      <c r="I147" s="1">
        <f>SUM(G101:J101)</f>
        <v>23479</v>
      </c>
      <c r="J147" s="1">
        <f>AVERAGE(C147:I147)</f>
        <v>-15259.285714285714</v>
      </c>
      <c r="K147" s="1">
        <f>J147*1.1</f>
        <v>-16785.214285714286</v>
      </c>
      <c r="L147" s="1">
        <f>-AVERAGE(H147:K147)</f>
        <v>-6367.1250000000009</v>
      </c>
      <c r="M147" s="1">
        <f>AVERAGE(I147:L147)</f>
        <v>-3733.15625</v>
      </c>
      <c r="N147" s="1">
        <f>AVERAGE(J147:M147)</f>
        <v>-10536.1953125</v>
      </c>
    </row>
    <row r="148" spans="2:14" x14ac:dyDescent="0.25">
      <c r="B148" s="1" t="s">
        <v>208</v>
      </c>
      <c r="C148" s="1">
        <f>(11475-21401)-(74652-15498)</f>
        <v>-69080</v>
      </c>
      <c r="D148" s="1">
        <f>(74652-15498)-(268979-49195)</f>
        <v>-160630</v>
      </c>
      <c r="E148" s="1">
        <f>(268979-49195)-(272575-54147)</f>
        <v>1356</v>
      </c>
      <c r="F148" s="1">
        <f>(272575-54147)-(183243-68128)</f>
        <v>103313</v>
      </c>
      <c r="G148" s="1">
        <f>(183243-68128)-(154339-82072)</f>
        <v>42848</v>
      </c>
      <c r="H148" s="1">
        <f>(154339-82072)-(159622-67078)</f>
        <v>-20277</v>
      </c>
      <c r="I148" s="1">
        <f>(159622-67078)-(123518-60783)</f>
        <v>29809</v>
      </c>
      <c r="J148" s="1">
        <f>AVERAGE(C148:I148)</f>
        <v>-10380.142857142857</v>
      </c>
      <c r="K148" s="1">
        <f>AVERAGE(D148:J148)</f>
        <v>-1994.4489795918366</v>
      </c>
      <c r="L148" s="1">
        <f>AVERAGE(E148:K148)</f>
        <v>20667.772594752187</v>
      </c>
      <c r="M148" s="1">
        <f>AVERAGE(F148:L148)</f>
        <v>23426.597251145355</v>
      </c>
      <c r="N148" s="1">
        <f>AVERAGE(G148:M148)</f>
        <v>12014.254001308978</v>
      </c>
    </row>
    <row r="150" spans="2:14" x14ac:dyDescent="0.25">
      <c r="B150" s="1" t="s">
        <v>209</v>
      </c>
      <c r="J150" s="1">
        <f ca="1">SUM(J145:J148)</f>
        <v>-127319.94732142858</v>
      </c>
      <c r="K150" s="1">
        <f ca="1">SUM(K145:K148)</f>
        <v>-169266.10126218412</v>
      </c>
      <c r="L150" s="1">
        <f ca="1">SUM(L145:L148)</f>
        <v>-82833.28089806241</v>
      </c>
      <c r="M150" s="1">
        <f ca="1">SUM(M145:M148)</f>
        <v>-60558.803308346483</v>
      </c>
      <c r="N150" s="1">
        <f ca="1">SUM(N145:N148)</f>
        <v>177138.87081725994</v>
      </c>
    </row>
    <row r="151" spans="2:14" x14ac:dyDescent="0.25">
      <c r="B151" s="1" t="s">
        <v>241</v>
      </c>
      <c r="J151" s="1">
        <f ca="1">J150/(1+$C$123)^J154</f>
        <v>-85468.130164590839</v>
      </c>
      <c r="K151" s="1">
        <f ca="1">K150/(1+$C$123)^K154</f>
        <v>-56813.003301857018</v>
      </c>
      <c r="L151" s="1">
        <f ca="1">L150/(1+$C$123)^L154</f>
        <v>-13901.21065610153</v>
      </c>
      <c r="M151" s="1">
        <f ca="1">M150/(1+$C$123)^M154</f>
        <v>-5081.5365076915268</v>
      </c>
      <c r="N151" s="1">
        <f ca="1">N150/(1+$C$123)^N154</f>
        <v>7431.9305353999507</v>
      </c>
    </row>
    <row r="153" spans="2:14" x14ac:dyDescent="0.25">
      <c r="B153" s="1" t="s">
        <v>210</v>
      </c>
      <c r="J153" s="1">
        <f>YEARFRAC(C184,C185)</f>
        <v>0.42499999999999999</v>
      </c>
    </row>
    <row r="154" spans="2:14" x14ac:dyDescent="0.25">
      <c r="B154" s="1" t="s">
        <v>211</v>
      </c>
      <c r="J154" s="1">
        <f>1-J153</f>
        <v>0.57499999999999996</v>
      </c>
      <c r="K154" s="1">
        <f>J154+1</f>
        <v>1.575</v>
      </c>
      <c r="L154" s="1">
        <f>K154+1</f>
        <v>2.5750000000000002</v>
      </c>
      <c r="M154" s="1">
        <f>L154+1</f>
        <v>3.5750000000000002</v>
      </c>
      <c r="N154" s="1">
        <f>M154+1</f>
        <v>4.5750000000000002</v>
      </c>
    </row>
    <row r="156" spans="2:14" x14ac:dyDescent="0.25">
      <c r="B156" s="1" t="s">
        <v>212</v>
      </c>
      <c r="N156" s="1">
        <f ca="1">(N150*(1+C128))/(C127-C128)</f>
        <v>1753674.8210908736</v>
      </c>
    </row>
    <row r="157" spans="2:14" x14ac:dyDescent="0.25">
      <c r="B157" s="1" t="s">
        <v>213</v>
      </c>
      <c r="N157" s="1">
        <f ca="1">N156/(1+$C$127)^N154</f>
        <v>1182286.7935560802</v>
      </c>
    </row>
    <row r="158" spans="2:14" x14ac:dyDescent="0.25">
      <c r="B158" s="1" t="s">
        <v>8</v>
      </c>
      <c r="N158" s="1">
        <f ca="1">SUM(J151:N151)+N157</f>
        <v>1028454.8434612392</v>
      </c>
    </row>
    <row r="159" spans="2:14" x14ac:dyDescent="0.25">
      <c r="B159" s="1" t="s">
        <v>6</v>
      </c>
      <c r="N159" s="1">
        <f>Main!C9</f>
        <v>68610</v>
      </c>
    </row>
    <row r="160" spans="2:14" x14ac:dyDescent="0.25">
      <c r="B160" s="1" t="s">
        <v>7</v>
      </c>
      <c r="N160" s="1">
        <f>Main!C10</f>
        <v>74839</v>
      </c>
    </row>
    <row r="161" spans="1:14" x14ac:dyDescent="0.25">
      <c r="B161" s="1" t="s">
        <v>214</v>
      </c>
      <c r="N161" s="1">
        <f ca="1">N158+N159-N160</f>
        <v>1022225.8434612392</v>
      </c>
    </row>
    <row r="163" spans="1:14" x14ac:dyDescent="0.25">
      <c r="B163" s="1" t="s">
        <v>215</v>
      </c>
      <c r="N163" s="1">
        <f>Main!C7</f>
        <v>80365.358999999997</v>
      </c>
    </row>
    <row r="164" spans="1:14" x14ac:dyDescent="0.25">
      <c r="B164" s="1" t="s">
        <v>216</v>
      </c>
      <c r="N164" s="1">
        <f ca="1">N161/N163</f>
        <v>12.719732185371551</v>
      </c>
    </row>
    <row r="166" spans="1:14" ht="15.6" x14ac:dyDescent="0.4">
      <c r="A166" s="15" t="s">
        <v>1</v>
      </c>
      <c r="B166" s="7" t="s">
        <v>202</v>
      </c>
    </row>
    <row r="168" spans="1:14" x14ac:dyDescent="0.25">
      <c r="B168" s="1" t="s">
        <v>5</v>
      </c>
      <c r="C168" s="42">
        <f>Main!C8</f>
        <v>681498.24432000006</v>
      </c>
    </row>
    <row r="169" spans="1:14" x14ac:dyDescent="0.25">
      <c r="B169" s="1" t="s">
        <v>222</v>
      </c>
      <c r="C169" s="43">
        <f>C168/(C168+C174)</f>
        <v>0.901050754062382</v>
      </c>
    </row>
    <row r="170" spans="1:14" x14ac:dyDescent="0.25">
      <c r="B170" s="1" t="s">
        <v>223</v>
      </c>
      <c r="C170" s="44">
        <f>C171+C172*C173</f>
        <v>9.5103999999999994E-2</v>
      </c>
    </row>
    <row r="171" spans="1:14" x14ac:dyDescent="0.25">
      <c r="B171" s="1" t="s">
        <v>224</v>
      </c>
      <c r="C171" s="45">
        <v>4.4010000000000001E-2</v>
      </c>
    </row>
    <row r="172" spans="1:14" x14ac:dyDescent="0.25">
      <c r="B172" s="1" t="s">
        <v>225</v>
      </c>
      <c r="C172" s="46">
        <v>1.18</v>
      </c>
    </row>
    <row r="173" spans="1:14" x14ac:dyDescent="0.25">
      <c r="B173" s="1" t="s">
        <v>226</v>
      </c>
      <c r="C173" s="45">
        <v>4.3299999999999998E-2</v>
      </c>
    </row>
    <row r="174" spans="1:14" x14ac:dyDescent="0.25">
      <c r="B174" s="1" t="s">
        <v>7</v>
      </c>
      <c r="C174" s="1">
        <f>Main!C10</f>
        <v>74839</v>
      </c>
    </row>
    <row r="175" spans="1:14" x14ac:dyDescent="0.25">
      <c r="B175" s="1" t="s">
        <v>227</v>
      </c>
      <c r="C175" s="47">
        <f>C174/(C174+C168)</f>
        <v>9.8949245937618058E-2</v>
      </c>
      <c r="E175" s="48"/>
    </row>
    <row r="176" spans="1:14" x14ac:dyDescent="0.25">
      <c r="B176" s="1" t="s">
        <v>228</v>
      </c>
      <c r="C176" s="44">
        <v>0.02</v>
      </c>
    </row>
    <row r="177" spans="2:4" x14ac:dyDescent="0.25">
      <c r="B177" s="1" t="s">
        <v>229</v>
      </c>
      <c r="C177" s="49">
        <v>0</v>
      </c>
      <c r="D177" s="1" t="s">
        <v>234</v>
      </c>
    </row>
    <row r="178" spans="2:4" x14ac:dyDescent="0.25">
      <c r="C178" s="50"/>
    </row>
    <row r="179" spans="2:4" x14ac:dyDescent="0.25">
      <c r="B179" s="1" t="s">
        <v>230</v>
      </c>
      <c r="C179" s="1">
        <f>C168+C174</f>
        <v>756337.24432000006</v>
      </c>
    </row>
    <row r="180" spans="2:4" x14ac:dyDescent="0.25">
      <c r="C180" s="42"/>
    </row>
    <row r="181" spans="2:4" x14ac:dyDescent="0.25">
      <c r="B181" s="1" t="s">
        <v>202</v>
      </c>
      <c r="C181" s="44">
        <f>C170*C169+(C176*C175*(1-C177))</f>
        <v>8.7672515833101122E-2</v>
      </c>
    </row>
    <row r="182" spans="2:4" x14ac:dyDescent="0.25">
      <c r="B182" s="1" t="s">
        <v>203</v>
      </c>
      <c r="C182" s="44">
        <v>-0.01</v>
      </c>
    </row>
    <row r="184" spans="2:4" x14ac:dyDescent="0.25">
      <c r="B184" s="1" t="s">
        <v>231</v>
      </c>
      <c r="C184" s="5">
        <v>45847</v>
      </c>
    </row>
    <row r="185" spans="2:4" x14ac:dyDescent="0.25">
      <c r="B185" s="1" t="s">
        <v>232</v>
      </c>
      <c r="C185" s="5">
        <v>46003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Eray Günel</dc:creator>
  <cp:lastModifiedBy>Eray Günel</cp:lastModifiedBy>
  <dcterms:created xsi:type="dcterms:W3CDTF">2025-06-26T15:04:51Z</dcterms:created>
  <dcterms:modified xsi:type="dcterms:W3CDTF">2025-08-11T19:57:53Z</dcterms:modified>
</cp:coreProperties>
</file>