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tebook\Desktop\"/>
    </mc:Choice>
  </mc:AlternateContent>
  <xr:revisionPtr revIDLastSave="0" documentId="8_{586546A7-8606-46C0-90AE-B7780C639430}" xr6:coauthVersionLast="47" xr6:coauthVersionMax="47" xr10:uidLastSave="{00000000-0000-0000-0000-000000000000}"/>
  <bookViews>
    <workbookView xWindow="-108" yWindow="-108" windowWidth="23256" windowHeight="12456" activeTab="1" xr2:uid="{AC5A37EB-2879-46E4-9481-9A64DF28C88A}"/>
  </bookViews>
  <sheets>
    <sheet name="Main" sheetId="1" r:id="rId1"/>
    <sheet name="Module" sheetId="2" r:id="rId2"/>
    <sheet name="Q2 Consensu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" i="2" l="1"/>
  <c r="AB6" i="2"/>
  <c r="AA6" i="2"/>
  <c r="Z6" i="2"/>
  <c r="AC7" i="2"/>
  <c r="AB7" i="2"/>
  <c r="AA7" i="2"/>
  <c r="Z7" i="2"/>
  <c r="Y7" i="2"/>
  <c r="AC11" i="2"/>
  <c r="AB11" i="2"/>
  <c r="AA11" i="2"/>
  <c r="Z11" i="2"/>
  <c r="Y11" i="2"/>
  <c r="AC10" i="2"/>
  <c r="AB10" i="2"/>
  <c r="AA10" i="2"/>
  <c r="Z10" i="2"/>
  <c r="Y10" i="2"/>
  <c r="Z9" i="2"/>
  <c r="Y9" i="2"/>
  <c r="AA9" i="2"/>
  <c r="AB9" i="2" s="1"/>
  <c r="AC9" i="2" s="1"/>
  <c r="AC8" i="2"/>
  <c r="AB8" i="2"/>
  <c r="AA8" i="2"/>
  <c r="Z8" i="2"/>
  <c r="Y6" i="2"/>
  <c r="Y8" i="2"/>
  <c r="Y23" i="2"/>
  <c r="Q23" i="2"/>
  <c r="R23" i="2"/>
  <c r="P23" i="2"/>
  <c r="O31" i="2"/>
  <c r="R22" i="2"/>
  <c r="Q22" i="2"/>
  <c r="P22" i="2"/>
  <c r="O22" i="2"/>
  <c r="R21" i="2"/>
  <c r="Q21" i="2"/>
  <c r="P21" i="2"/>
  <c r="O21" i="2"/>
  <c r="R20" i="2"/>
  <c r="Q20" i="2"/>
  <c r="P20" i="2"/>
  <c r="O20" i="2"/>
  <c r="R19" i="2"/>
  <c r="Q19" i="2"/>
  <c r="P19" i="2"/>
  <c r="P18" i="2"/>
  <c r="Q18" i="2"/>
  <c r="R18" i="2"/>
  <c r="R16" i="2"/>
  <c r="Q16" i="2"/>
  <c r="R15" i="2"/>
  <c r="Q15" i="2"/>
  <c r="P15" i="2"/>
  <c r="Y15" i="2"/>
  <c r="Y14" i="2" l="1"/>
  <c r="Z14" i="2"/>
  <c r="Z15" i="2" s="1"/>
  <c r="Q17" i="2"/>
  <c r="Y18" i="2"/>
  <c r="Z18" i="2" s="1"/>
  <c r="AA18" i="2" s="1"/>
  <c r="AB18" i="2" s="1"/>
  <c r="AC18" i="2" s="1"/>
  <c r="AA14" i="2" l="1"/>
  <c r="Z16" i="2"/>
  <c r="AB14" i="2" l="1"/>
  <c r="AC14" i="2"/>
  <c r="AA26" i="2" l="1"/>
  <c r="AB26" i="2" s="1"/>
  <c r="AC26" i="2" s="1"/>
  <c r="Z26" i="2"/>
  <c r="Y29" i="2"/>
  <c r="Y26" i="2"/>
  <c r="X21" i="2"/>
  <c r="Y16" i="2"/>
  <c r="Q29" i="2"/>
  <c r="P29" i="2"/>
  <c r="P17" i="2"/>
  <c r="R30" i="2"/>
  <c r="P16" i="2"/>
  <c r="R14" i="2"/>
  <c r="Q14" i="2"/>
  <c r="P14" i="2"/>
  <c r="R11" i="2"/>
  <c r="Q11" i="2"/>
  <c r="R10" i="2"/>
  <c r="Q10" i="2"/>
  <c r="P11" i="2"/>
  <c r="P10" i="2"/>
  <c r="Q9" i="2"/>
  <c r="R9" i="2" s="1"/>
  <c r="P9" i="2"/>
  <c r="R8" i="2"/>
  <c r="Q8" i="2"/>
  <c r="P8" i="2"/>
  <c r="Q7" i="2"/>
  <c r="P7" i="2"/>
  <c r="R7" i="2"/>
  <c r="Q6" i="2"/>
  <c r="R6" i="2"/>
  <c r="P6" i="2"/>
  <c r="O29" i="2"/>
  <c r="O27" i="2"/>
  <c r="O14" i="2"/>
  <c r="O17" i="2"/>
  <c r="O16" i="2"/>
  <c r="O30" i="2" s="1"/>
  <c r="Y21" i="2" l="1"/>
  <c r="Z21" i="2" s="1"/>
  <c r="AA21" i="2" s="1"/>
  <c r="AB21" i="2" s="1"/>
  <c r="AC21" i="2" s="1"/>
  <c r="Y19" i="2"/>
  <c r="Z19" i="2" s="1"/>
  <c r="R17" i="2"/>
  <c r="P24" i="2"/>
  <c r="P27" i="2" s="1"/>
  <c r="Q30" i="2"/>
  <c r="Q31" i="2"/>
  <c r="Q24" i="2"/>
  <c r="Q27" i="2" s="1"/>
  <c r="Z29" i="2"/>
  <c r="Y30" i="2"/>
  <c r="Y17" i="2"/>
  <c r="Y20" i="2" s="1"/>
  <c r="O24" i="2"/>
  <c r="AB15" i="2" l="1"/>
  <c r="AB16" i="2" s="1"/>
  <c r="AC15" i="2"/>
  <c r="AC16" i="2" s="1"/>
  <c r="AA15" i="2"/>
  <c r="AA16" i="2" s="1"/>
  <c r="AA30" i="2" s="1"/>
  <c r="Y22" i="2"/>
  <c r="AA19" i="2"/>
  <c r="AB19" i="2" s="1"/>
  <c r="AC19" i="2" s="1"/>
  <c r="Z17" i="2"/>
  <c r="AA29" i="2"/>
  <c r="AC29" i="2"/>
  <c r="AB29" i="2"/>
  <c r="P30" i="2"/>
  <c r="R24" i="2" l="1"/>
  <c r="R27" i="2" s="1"/>
  <c r="AA17" i="2"/>
  <c r="AA20" i="2" s="1"/>
  <c r="AA22" i="2" s="1"/>
  <c r="AA23" i="2" s="1"/>
  <c r="R31" i="2"/>
  <c r="AB17" i="2"/>
  <c r="AB20" i="2" s="1"/>
  <c r="AB22" i="2" s="1"/>
  <c r="AB23" i="2" s="1"/>
  <c r="AC17" i="2"/>
  <c r="AC20" i="2" s="1"/>
  <c r="AC22" i="2" s="1"/>
  <c r="AC23" i="2" s="1"/>
  <c r="Z20" i="2"/>
  <c r="Z30" i="2"/>
  <c r="AC30" i="2"/>
  <c r="AB30" i="2"/>
  <c r="P31" i="2"/>
  <c r="Z22" i="2" l="1"/>
  <c r="AA31" i="2"/>
  <c r="Y24" i="2"/>
  <c r="Y27" i="2" s="1"/>
  <c r="Y31" i="2"/>
  <c r="AB31" i="2"/>
  <c r="AC31" i="2"/>
  <c r="X31" i="2"/>
  <c r="X30" i="2"/>
  <c r="X29" i="2"/>
  <c r="X27" i="2"/>
  <c r="X24" i="2"/>
  <c r="X22" i="2"/>
  <c r="X20" i="2"/>
  <c r="X17" i="2"/>
  <c r="X16" i="2"/>
  <c r="X14" i="2"/>
  <c r="L21" i="2"/>
  <c r="L17" i="2"/>
  <c r="L16" i="2"/>
  <c r="L20" i="2" s="1"/>
  <c r="L22" i="2" s="1"/>
  <c r="L24" i="2" s="1"/>
  <c r="L14" i="2"/>
  <c r="C22" i="2"/>
  <c r="C21" i="2"/>
  <c r="C20" i="2"/>
  <c r="C19" i="2"/>
  <c r="C17" i="2"/>
  <c r="C16" i="2"/>
  <c r="C14" i="2"/>
  <c r="D21" i="2"/>
  <c r="D17" i="2"/>
  <c r="D16" i="2"/>
  <c r="D20" i="2" s="1"/>
  <c r="D22" i="2" s="1"/>
  <c r="H22" i="2"/>
  <c r="H21" i="2"/>
  <c r="H20" i="2"/>
  <c r="H17" i="2"/>
  <c r="H16" i="2"/>
  <c r="D14" i="2"/>
  <c r="H14" i="2"/>
  <c r="H30" i="2" s="1"/>
  <c r="E21" i="2"/>
  <c r="E17" i="2"/>
  <c r="E14" i="2"/>
  <c r="E16" i="2" s="1"/>
  <c r="E20" i="2" s="1"/>
  <c r="E22" i="2" s="1"/>
  <c r="E31" i="2" s="1"/>
  <c r="C105" i="2"/>
  <c r="C110" i="2"/>
  <c r="C95" i="2"/>
  <c r="C92" i="2"/>
  <c r="C76" i="2"/>
  <c r="D76" i="2"/>
  <c r="D36" i="2"/>
  <c r="D58" i="2"/>
  <c r="D57" i="2"/>
  <c r="D52" i="2"/>
  <c r="D43" i="2"/>
  <c r="W29" i="2"/>
  <c r="V29" i="2"/>
  <c r="U31" i="2"/>
  <c r="U30" i="2"/>
  <c r="U22" i="2"/>
  <c r="U21" i="2"/>
  <c r="U20" i="2"/>
  <c r="U17" i="2"/>
  <c r="U16" i="2"/>
  <c r="U14" i="2"/>
  <c r="G21" i="2"/>
  <c r="G17" i="2"/>
  <c r="G14" i="2"/>
  <c r="G16" i="2" s="1"/>
  <c r="G20" i="2" s="1"/>
  <c r="G22" i="2" s="1"/>
  <c r="G24" i="2" s="1"/>
  <c r="I21" i="2"/>
  <c r="I17" i="2"/>
  <c r="M21" i="2"/>
  <c r="M17" i="2"/>
  <c r="I14" i="2"/>
  <c r="I16" i="2" s="1"/>
  <c r="I20" i="2" s="1"/>
  <c r="M14" i="2"/>
  <c r="M16" i="2" s="1"/>
  <c r="D110" i="2"/>
  <c r="D108" i="2"/>
  <c r="D95" i="2"/>
  <c r="D90" i="2"/>
  <c r="D83" i="2"/>
  <c r="D92" i="2" s="1"/>
  <c r="E108" i="2"/>
  <c r="E97" i="2"/>
  <c r="E95" i="2"/>
  <c r="F97" i="2"/>
  <c r="F95" i="2"/>
  <c r="E90" i="2"/>
  <c r="E92" i="2"/>
  <c r="F92" i="2"/>
  <c r="F90" i="2"/>
  <c r="K7" i="1"/>
  <c r="F36" i="2"/>
  <c r="E36" i="2"/>
  <c r="E57" i="2"/>
  <c r="E52" i="2"/>
  <c r="F63" i="2"/>
  <c r="F58" i="2"/>
  <c r="F52" i="2"/>
  <c r="V19" i="2"/>
  <c r="V17" i="2" s="1"/>
  <c r="V21" i="2"/>
  <c r="W21" i="2"/>
  <c r="W17" i="2"/>
  <c r="W16" i="2"/>
  <c r="W20" i="2" s="1"/>
  <c r="W14" i="2"/>
  <c r="V14" i="2"/>
  <c r="V16" i="2" s="1"/>
  <c r="Z23" i="2" l="1"/>
  <c r="Z31" i="2" s="1"/>
  <c r="AC24" i="2"/>
  <c r="AD24" i="2" s="1"/>
  <c r="AE24" i="2" s="1"/>
  <c r="AF24" i="2" s="1"/>
  <c r="AA24" i="2"/>
  <c r="AA27" i="2" s="1"/>
  <c r="AB24" i="2"/>
  <c r="AB27" i="2" s="1"/>
  <c r="L30" i="2"/>
  <c r="C30" i="2"/>
  <c r="D30" i="2"/>
  <c r="I22" i="2"/>
  <c r="E30" i="2"/>
  <c r="M20" i="2"/>
  <c r="M22" i="2" s="1"/>
  <c r="G30" i="2"/>
  <c r="I30" i="2"/>
  <c r="M30" i="2"/>
  <c r="W22" i="2"/>
  <c r="V20" i="2"/>
  <c r="V22" i="2" s="1"/>
  <c r="V24" i="2" s="1"/>
  <c r="Z24" i="2" l="1"/>
  <c r="Z27" i="2" s="1"/>
  <c r="AG24" i="2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EF24" i="2" s="1"/>
  <c r="EG24" i="2" s="1"/>
  <c r="EH24" i="2" s="1"/>
  <c r="EI24" i="2" s="1"/>
  <c r="EJ24" i="2" s="1"/>
  <c r="EK24" i="2" s="1"/>
  <c r="EL24" i="2" s="1"/>
  <c r="EM24" i="2" s="1"/>
  <c r="EN24" i="2" s="1"/>
  <c r="EO24" i="2" s="1"/>
  <c r="EP24" i="2" s="1"/>
  <c r="EQ24" i="2" s="1"/>
  <c r="ER24" i="2" s="1"/>
  <c r="ES24" i="2" s="1"/>
  <c r="ET24" i="2" s="1"/>
  <c r="EU24" i="2" s="1"/>
  <c r="EV24" i="2" s="1"/>
  <c r="EW24" i="2" s="1"/>
  <c r="EX24" i="2" s="1"/>
  <c r="EY24" i="2" s="1"/>
  <c r="EZ24" i="2" s="1"/>
  <c r="FA24" i="2" s="1"/>
  <c r="FB24" i="2" s="1"/>
  <c r="FC24" i="2" s="1"/>
  <c r="FD24" i="2" s="1"/>
  <c r="FE24" i="2" s="1"/>
  <c r="FF24" i="2" s="1"/>
  <c r="FG24" i="2" s="1"/>
  <c r="FH24" i="2" s="1"/>
  <c r="FI24" i="2" s="1"/>
  <c r="FJ24" i="2" s="1"/>
  <c r="FK24" i="2" s="1"/>
  <c r="FL24" i="2" s="1"/>
  <c r="FM24" i="2" s="1"/>
  <c r="FN24" i="2" s="1"/>
  <c r="FO24" i="2" s="1"/>
  <c r="FP24" i="2" s="1"/>
  <c r="FQ24" i="2" s="1"/>
  <c r="FR24" i="2" s="1"/>
  <c r="FS24" i="2" s="1"/>
  <c r="FT24" i="2" s="1"/>
  <c r="FU24" i="2" s="1"/>
  <c r="FV24" i="2" s="1"/>
  <c r="FW24" i="2" s="1"/>
  <c r="FX24" i="2" s="1"/>
  <c r="FY24" i="2" s="1"/>
  <c r="FZ24" i="2" s="1"/>
  <c r="GA24" i="2" s="1"/>
  <c r="GB24" i="2" s="1"/>
  <c r="GC24" i="2" s="1"/>
  <c r="GD24" i="2" s="1"/>
  <c r="GE24" i="2" s="1"/>
  <c r="GF24" i="2" s="1"/>
  <c r="GG24" i="2" s="1"/>
  <c r="GH24" i="2" s="1"/>
  <c r="GI24" i="2" s="1"/>
  <c r="GJ24" i="2" s="1"/>
  <c r="GK24" i="2" s="1"/>
  <c r="GL24" i="2" s="1"/>
  <c r="GM24" i="2" s="1"/>
  <c r="GN24" i="2" s="1"/>
  <c r="GO24" i="2" s="1"/>
  <c r="GP24" i="2" s="1"/>
  <c r="GQ24" i="2" s="1"/>
  <c r="GR24" i="2" s="1"/>
  <c r="GS24" i="2" s="1"/>
  <c r="GT24" i="2" s="1"/>
  <c r="GU24" i="2" s="1"/>
  <c r="GV24" i="2" s="1"/>
  <c r="GW24" i="2" s="1"/>
  <c r="GX24" i="2" s="1"/>
  <c r="GY24" i="2" s="1"/>
  <c r="GZ24" i="2" s="1"/>
  <c r="HA24" i="2" s="1"/>
  <c r="HB24" i="2" s="1"/>
  <c r="HC24" i="2" s="1"/>
  <c r="HD24" i="2" s="1"/>
  <c r="HE24" i="2" s="1"/>
  <c r="HF24" i="2" s="1"/>
  <c r="HG24" i="2" s="1"/>
  <c r="HH24" i="2" s="1"/>
  <c r="HI24" i="2" s="1"/>
  <c r="HJ24" i="2" s="1"/>
  <c r="HK24" i="2" s="1"/>
  <c r="HL24" i="2" s="1"/>
  <c r="HM24" i="2" s="1"/>
  <c r="HN24" i="2" s="1"/>
  <c r="HO24" i="2" s="1"/>
  <c r="HP24" i="2" s="1"/>
  <c r="HQ24" i="2" s="1"/>
  <c r="HR24" i="2" s="1"/>
  <c r="HS24" i="2" s="1"/>
  <c r="HT24" i="2" s="1"/>
  <c r="HU24" i="2" s="1"/>
  <c r="HV24" i="2" s="1"/>
  <c r="HW24" i="2" s="1"/>
  <c r="HX24" i="2" s="1"/>
  <c r="HY24" i="2" s="1"/>
  <c r="HZ24" i="2" s="1"/>
  <c r="IA24" i="2" s="1"/>
  <c r="IB24" i="2" s="1"/>
  <c r="IC24" i="2" s="1"/>
  <c r="ID24" i="2" s="1"/>
  <c r="IE24" i="2" s="1"/>
  <c r="IF24" i="2" s="1"/>
  <c r="IG24" i="2" s="1"/>
  <c r="IH24" i="2" s="1"/>
  <c r="II24" i="2" s="1"/>
  <c r="IJ24" i="2" s="1"/>
  <c r="IK24" i="2" s="1"/>
  <c r="IL24" i="2" s="1"/>
  <c r="IM24" i="2" s="1"/>
  <c r="IN24" i="2" s="1"/>
  <c r="IO24" i="2" s="1"/>
  <c r="IP24" i="2" s="1"/>
  <c r="IQ24" i="2" s="1"/>
  <c r="IR24" i="2" s="1"/>
  <c r="IS24" i="2" s="1"/>
  <c r="IT24" i="2" s="1"/>
  <c r="IU24" i="2" s="1"/>
  <c r="IV24" i="2" s="1"/>
  <c r="IW24" i="2" s="1"/>
  <c r="IX24" i="2" s="1"/>
  <c r="IY24" i="2" s="1"/>
  <c r="IZ24" i="2" s="1"/>
  <c r="JA24" i="2" s="1"/>
  <c r="JB24" i="2" s="1"/>
  <c r="JC24" i="2" s="1"/>
  <c r="JD24" i="2" s="1"/>
  <c r="JE24" i="2" s="1"/>
  <c r="JF24" i="2" s="1"/>
  <c r="JG24" i="2" s="1"/>
  <c r="JH24" i="2" s="1"/>
  <c r="JI24" i="2" s="1"/>
  <c r="JJ24" i="2" s="1"/>
  <c r="JK24" i="2" s="1"/>
  <c r="JL24" i="2" s="1"/>
  <c r="JM24" i="2" s="1"/>
  <c r="JN24" i="2" s="1"/>
  <c r="JO24" i="2" s="1"/>
  <c r="JP24" i="2" s="1"/>
  <c r="JQ24" i="2" s="1"/>
  <c r="JR24" i="2" s="1"/>
  <c r="JS24" i="2" s="1"/>
  <c r="JT24" i="2" s="1"/>
  <c r="JU24" i="2" s="1"/>
  <c r="JV24" i="2" s="1"/>
  <c r="JW24" i="2" s="1"/>
  <c r="JX24" i="2" s="1"/>
  <c r="JY24" i="2" s="1"/>
  <c r="JZ24" i="2" s="1"/>
  <c r="KA24" i="2" s="1"/>
  <c r="KB24" i="2" s="1"/>
  <c r="KC24" i="2" s="1"/>
  <c r="KD24" i="2" s="1"/>
  <c r="KE24" i="2" s="1"/>
  <c r="KF24" i="2" s="1"/>
  <c r="KG24" i="2" s="1"/>
  <c r="KH24" i="2" s="1"/>
  <c r="KI24" i="2" s="1"/>
  <c r="KJ24" i="2" s="1"/>
  <c r="KK24" i="2" s="1"/>
  <c r="KL24" i="2" s="1"/>
  <c r="KM24" i="2" s="1"/>
  <c r="KN24" i="2" s="1"/>
  <c r="KO24" i="2" s="1"/>
  <c r="KP24" i="2" s="1"/>
  <c r="KQ24" i="2" s="1"/>
  <c r="KR24" i="2" s="1"/>
  <c r="KS24" i="2" s="1"/>
  <c r="KT24" i="2" s="1"/>
  <c r="KU24" i="2" s="1"/>
  <c r="KV24" i="2" s="1"/>
  <c r="KW24" i="2" s="1"/>
  <c r="KX24" i="2" s="1"/>
  <c r="KY24" i="2" s="1"/>
  <c r="KZ24" i="2" s="1"/>
  <c r="LA24" i="2" s="1"/>
  <c r="LB24" i="2" s="1"/>
  <c r="LC24" i="2" s="1"/>
  <c r="LD24" i="2" s="1"/>
  <c r="LE24" i="2" s="1"/>
  <c r="LF24" i="2" s="1"/>
  <c r="LG24" i="2" s="1"/>
  <c r="LH24" i="2" s="1"/>
  <c r="LI24" i="2" s="1"/>
  <c r="LJ24" i="2" s="1"/>
  <c r="LK24" i="2" s="1"/>
  <c r="LL24" i="2" s="1"/>
  <c r="LM24" i="2" s="1"/>
  <c r="LN24" i="2" s="1"/>
  <c r="LO24" i="2" s="1"/>
  <c r="LP24" i="2" s="1"/>
  <c r="LQ24" i="2" s="1"/>
  <c r="LR24" i="2" s="1"/>
  <c r="LS24" i="2" s="1"/>
  <c r="LT24" i="2" s="1"/>
  <c r="LU24" i="2" s="1"/>
  <c r="LV24" i="2" s="1"/>
  <c r="LW24" i="2" s="1"/>
  <c r="LX24" i="2" s="1"/>
  <c r="LY24" i="2" s="1"/>
  <c r="LZ24" i="2" s="1"/>
  <c r="MA24" i="2" s="1"/>
  <c r="MB24" i="2" s="1"/>
  <c r="MC24" i="2" s="1"/>
  <c r="MD24" i="2" s="1"/>
  <c r="ME24" i="2" s="1"/>
  <c r="MF24" i="2" s="1"/>
  <c r="MG24" i="2" s="1"/>
  <c r="MH24" i="2" s="1"/>
  <c r="MI24" i="2" s="1"/>
  <c r="MJ24" i="2" s="1"/>
  <c r="MK24" i="2" s="1"/>
  <c r="ML24" i="2" s="1"/>
  <c r="MM24" i="2" s="1"/>
  <c r="MN24" i="2" s="1"/>
  <c r="MO24" i="2" s="1"/>
  <c r="MP24" i="2" s="1"/>
  <c r="MQ24" i="2" s="1"/>
  <c r="MR24" i="2" s="1"/>
  <c r="MS24" i="2" s="1"/>
  <c r="MT24" i="2" s="1"/>
  <c r="MU24" i="2" s="1"/>
  <c r="MV24" i="2" s="1"/>
  <c r="MW24" i="2" s="1"/>
  <c r="MX24" i="2" s="1"/>
  <c r="MY24" i="2" s="1"/>
  <c r="MZ24" i="2" s="1"/>
  <c r="NA24" i="2" s="1"/>
  <c r="NB24" i="2" s="1"/>
  <c r="NC24" i="2" s="1"/>
  <c r="ND24" i="2" s="1"/>
  <c r="NE24" i="2" s="1"/>
  <c r="NF24" i="2" s="1"/>
  <c r="NG24" i="2" s="1"/>
  <c r="NH24" i="2" s="1"/>
  <c r="NI24" i="2" s="1"/>
  <c r="NJ24" i="2" s="1"/>
  <c r="NK24" i="2" s="1"/>
  <c r="NL24" i="2" s="1"/>
  <c r="NM24" i="2" s="1"/>
  <c r="NN24" i="2" s="1"/>
  <c r="NO24" i="2" s="1"/>
  <c r="NP24" i="2" s="1"/>
  <c r="NQ24" i="2" s="1"/>
  <c r="NR24" i="2" s="1"/>
  <c r="NS24" i="2" s="1"/>
  <c r="NT24" i="2" s="1"/>
  <c r="NU24" i="2" s="1"/>
  <c r="NV24" i="2" s="1"/>
  <c r="NW24" i="2" s="1"/>
  <c r="NX24" i="2" s="1"/>
  <c r="NY24" i="2" s="1"/>
  <c r="NZ24" i="2" s="1"/>
  <c r="OA24" i="2" s="1"/>
  <c r="OB24" i="2" s="1"/>
  <c r="OC24" i="2" s="1"/>
  <c r="OD24" i="2" s="1"/>
  <c r="OE24" i="2" s="1"/>
  <c r="OF24" i="2" s="1"/>
  <c r="OG24" i="2" s="1"/>
  <c r="OH24" i="2" s="1"/>
  <c r="OI24" i="2" s="1"/>
  <c r="OJ24" i="2" s="1"/>
  <c r="OK24" i="2" s="1"/>
  <c r="OL24" i="2" s="1"/>
  <c r="OM24" i="2" s="1"/>
  <c r="ON24" i="2" s="1"/>
  <c r="OO24" i="2" s="1"/>
  <c r="OP24" i="2" s="1"/>
  <c r="OQ24" i="2" s="1"/>
  <c r="OR24" i="2" s="1"/>
  <c r="OS24" i="2" s="1"/>
  <c r="OT24" i="2" s="1"/>
  <c r="OU24" i="2" s="1"/>
  <c r="OV24" i="2" s="1"/>
  <c r="OW24" i="2" s="1"/>
  <c r="OX24" i="2" s="1"/>
  <c r="OY24" i="2" s="1"/>
  <c r="OZ24" i="2" s="1"/>
  <c r="PA24" i="2" s="1"/>
  <c r="PB24" i="2" s="1"/>
  <c r="PC24" i="2" s="1"/>
  <c r="PD24" i="2" s="1"/>
  <c r="PE24" i="2" s="1"/>
  <c r="PF24" i="2" s="1"/>
  <c r="PG24" i="2" s="1"/>
  <c r="PH24" i="2" s="1"/>
  <c r="PI24" i="2" s="1"/>
  <c r="PJ24" i="2" s="1"/>
  <c r="PK24" i="2" s="1"/>
  <c r="PL24" i="2" s="1"/>
  <c r="PM24" i="2" s="1"/>
  <c r="PN24" i="2" s="1"/>
  <c r="PO24" i="2" s="1"/>
  <c r="PP24" i="2" s="1"/>
  <c r="PQ24" i="2" s="1"/>
  <c r="PR24" i="2" s="1"/>
  <c r="PS24" i="2" s="1"/>
  <c r="PT24" i="2" s="1"/>
  <c r="PU24" i="2" s="1"/>
  <c r="PV24" i="2" s="1"/>
  <c r="PW24" i="2" s="1"/>
  <c r="PX24" i="2" s="1"/>
  <c r="PY24" i="2" s="1"/>
  <c r="PZ24" i="2" s="1"/>
  <c r="QA24" i="2" s="1"/>
  <c r="QB24" i="2" s="1"/>
  <c r="QC24" i="2" s="1"/>
  <c r="QD24" i="2" s="1"/>
  <c r="QE24" i="2" s="1"/>
  <c r="QF24" i="2" s="1"/>
  <c r="QG24" i="2" s="1"/>
  <c r="QH24" i="2" s="1"/>
  <c r="QI24" i="2" s="1"/>
  <c r="QJ24" i="2" s="1"/>
  <c r="QK24" i="2" s="1"/>
  <c r="QL24" i="2" s="1"/>
  <c r="QM24" i="2" s="1"/>
  <c r="QN24" i="2" s="1"/>
  <c r="QO24" i="2" s="1"/>
  <c r="QP24" i="2" s="1"/>
  <c r="QQ24" i="2" s="1"/>
  <c r="QR24" i="2" s="1"/>
  <c r="QS24" i="2" s="1"/>
  <c r="QT24" i="2" s="1"/>
  <c r="QU24" i="2" s="1"/>
  <c r="QV24" i="2" s="1"/>
  <c r="QW24" i="2" s="1"/>
  <c r="QX24" i="2" s="1"/>
  <c r="QY24" i="2" s="1"/>
  <c r="QZ24" i="2" s="1"/>
  <c r="RA24" i="2" s="1"/>
  <c r="RB24" i="2" s="1"/>
  <c r="RC24" i="2" s="1"/>
  <c r="RD24" i="2" s="1"/>
  <c r="RE24" i="2" s="1"/>
  <c r="RF24" i="2" s="1"/>
  <c r="RG24" i="2" s="1"/>
  <c r="RH24" i="2" s="1"/>
  <c r="RI24" i="2" s="1"/>
  <c r="RJ24" i="2" s="1"/>
  <c r="RK24" i="2" s="1"/>
  <c r="RL24" i="2" s="1"/>
  <c r="RM24" i="2" s="1"/>
  <c r="RN24" i="2" s="1"/>
  <c r="RO24" i="2" s="1"/>
  <c r="RP24" i="2" s="1"/>
  <c r="RQ24" i="2" s="1"/>
  <c r="RR24" i="2" s="1"/>
  <c r="RS24" i="2" s="1"/>
  <c r="RT24" i="2" s="1"/>
  <c r="RU24" i="2" s="1"/>
  <c r="RV24" i="2" s="1"/>
  <c r="RW24" i="2" s="1"/>
  <c r="RX24" i="2" s="1"/>
  <c r="RY24" i="2" s="1"/>
  <c r="RZ24" i="2" s="1"/>
  <c r="SA24" i="2" s="1"/>
  <c r="SB24" i="2" s="1"/>
  <c r="SC24" i="2" s="1"/>
  <c r="SD24" i="2" s="1"/>
  <c r="SE24" i="2" s="1"/>
  <c r="SF24" i="2" s="1"/>
  <c r="SG24" i="2" s="1"/>
  <c r="SH24" i="2" s="1"/>
  <c r="SI24" i="2" s="1"/>
  <c r="SJ24" i="2" s="1"/>
  <c r="SK24" i="2" s="1"/>
  <c r="SL24" i="2" s="1"/>
  <c r="SM24" i="2" s="1"/>
  <c r="SN24" i="2" s="1"/>
  <c r="SO24" i="2" s="1"/>
  <c r="SP24" i="2" s="1"/>
  <c r="SQ24" i="2" s="1"/>
  <c r="SR24" i="2" s="1"/>
  <c r="SS24" i="2" s="1"/>
  <c r="ST24" i="2" s="1"/>
  <c r="SU24" i="2" s="1"/>
  <c r="SV24" i="2" s="1"/>
  <c r="SW24" i="2" s="1"/>
  <c r="SX24" i="2" s="1"/>
  <c r="SY24" i="2" s="1"/>
  <c r="SZ24" i="2" s="1"/>
  <c r="TA24" i="2" s="1"/>
  <c r="TB24" i="2" s="1"/>
  <c r="TC24" i="2" s="1"/>
  <c r="TD24" i="2" s="1"/>
  <c r="TE24" i="2" s="1"/>
  <c r="TF24" i="2" s="1"/>
  <c r="TG24" i="2" s="1"/>
  <c r="TH24" i="2" s="1"/>
  <c r="TI24" i="2" s="1"/>
  <c r="TJ24" i="2" s="1"/>
  <c r="TK24" i="2" s="1"/>
  <c r="TL24" i="2" s="1"/>
  <c r="TM24" i="2" s="1"/>
  <c r="TN24" i="2" s="1"/>
  <c r="TO24" i="2" s="1"/>
  <c r="TP24" i="2" s="1"/>
  <c r="TQ24" i="2" s="1"/>
  <c r="TR24" i="2" s="1"/>
  <c r="TS24" i="2" s="1"/>
  <c r="TT24" i="2" s="1"/>
  <c r="TU24" i="2" s="1"/>
  <c r="TV24" i="2" s="1"/>
  <c r="TW24" i="2" s="1"/>
  <c r="TX24" i="2" s="1"/>
  <c r="TY24" i="2" s="1"/>
  <c r="TZ24" i="2" s="1"/>
  <c r="UA24" i="2" s="1"/>
  <c r="UB24" i="2" s="1"/>
  <c r="UC24" i="2" s="1"/>
  <c r="UD24" i="2" s="1"/>
  <c r="UE24" i="2" s="1"/>
  <c r="UF24" i="2" s="1"/>
  <c r="UG24" i="2" s="1"/>
  <c r="UH24" i="2" s="1"/>
  <c r="UI24" i="2" s="1"/>
  <c r="UJ24" i="2" s="1"/>
  <c r="UK24" i="2" s="1"/>
  <c r="UL24" i="2" s="1"/>
  <c r="UM24" i="2" s="1"/>
  <c r="UN24" i="2" s="1"/>
  <c r="UO24" i="2" s="1"/>
  <c r="UP24" i="2" s="1"/>
  <c r="UQ24" i="2" s="1"/>
  <c r="UR24" i="2" s="1"/>
  <c r="US24" i="2" s="1"/>
  <c r="UT24" i="2" s="1"/>
  <c r="UU24" i="2" s="1"/>
  <c r="UV24" i="2" s="1"/>
  <c r="UW24" i="2" s="1"/>
  <c r="UX24" i="2" s="1"/>
  <c r="UY24" i="2" s="1"/>
  <c r="UZ24" i="2" s="1"/>
  <c r="VA24" i="2" s="1"/>
  <c r="VB24" i="2" s="1"/>
  <c r="VC24" i="2" s="1"/>
  <c r="VD24" i="2" s="1"/>
  <c r="VE24" i="2" s="1"/>
  <c r="VF24" i="2" s="1"/>
  <c r="VG24" i="2" s="1"/>
  <c r="VH24" i="2" s="1"/>
  <c r="VI24" i="2" s="1"/>
  <c r="VJ24" i="2" s="1"/>
  <c r="VK24" i="2" s="1"/>
  <c r="VL24" i="2" s="1"/>
  <c r="VM24" i="2" s="1"/>
  <c r="VN24" i="2" s="1"/>
  <c r="VO24" i="2" s="1"/>
  <c r="VP24" i="2" s="1"/>
  <c r="VQ24" i="2" s="1"/>
  <c r="VR24" i="2" s="1"/>
  <c r="VS24" i="2" s="1"/>
  <c r="VT24" i="2" s="1"/>
  <c r="VU24" i="2" s="1"/>
  <c r="VV24" i="2" s="1"/>
  <c r="VW24" i="2" s="1"/>
  <c r="VX24" i="2" s="1"/>
  <c r="VY24" i="2" s="1"/>
  <c r="VZ24" i="2" s="1"/>
  <c r="WA24" i="2" s="1"/>
  <c r="WB24" i="2" s="1"/>
  <c r="WC24" i="2" s="1"/>
  <c r="WD24" i="2" s="1"/>
  <c r="WE24" i="2" s="1"/>
  <c r="WF24" i="2" s="1"/>
  <c r="WG24" i="2" s="1"/>
  <c r="WH24" i="2" s="1"/>
  <c r="WI24" i="2" s="1"/>
  <c r="WJ24" i="2" s="1"/>
  <c r="WK24" i="2" s="1"/>
  <c r="WL24" i="2" s="1"/>
  <c r="WM24" i="2" s="1"/>
  <c r="WN24" i="2" s="1"/>
  <c r="WO24" i="2" s="1"/>
  <c r="WP24" i="2" s="1"/>
  <c r="WQ24" i="2" s="1"/>
  <c r="WR24" i="2" s="1"/>
  <c r="WS24" i="2" s="1"/>
  <c r="WT24" i="2" s="1"/>
  <c r="WU24" i="2" s="1"/>
  <c r="WV24" i="2" s="1"/>
  <c r="WW24" i="2" s="1"/>
  <c r="WX24" i="2" s="1"/>
  <c r="WY24" i="2" s="1"/>
  <c r="WZ24" i="2" s="1"/>
  <c r="XA24" i="2" s="1"/>
  <c r="XB24" i="2" s="1"/>
  <c r="XC24" i="2" s="1"/>
  <c r="XD24" i="2" s="1"/>
  <c r="XE24" i="2" s="1"/>
  <c r="XF24" i="2" s="1"/>
  <c r="XG24" i="2" s="1"/>
  <c r="XH24" i="2" s="1"/>
  <c r="XI24" i="2" s="1"/>
  <c r="XJ24" i="2" s="1"/>
  <c r="XK24" i="2" s="1"/>
  <c r="XL24" i="2" s="1"/>
  <c r="XM24" i="2" s="1"/>
  <c r="XN24" i="2" s="1"/>
  <c r="XO24" i="2" s="1"/>
  <c r="XP24" i="2" s="1"/>
  <c r="XQ24" i="2" s="1"/>
  <c r="XR24" i="2" s="1"/>
  <c r="XS24" i="2" s="1"/>
  <c r="XT24" i="2" s="1"/>
  <c r="XU24" i="2" s="1"/>
  <c r="XV24" i="2" s="1"/>
  <c r="XW24" i="2" s="1"/>
  <c r="XX24" i="2" s="1"/>
  <c r="XY24" i="2" s="1"/>
  <c r="XZ24" i="2" s="1"/>
  <c r="YA24" i="2" s="1"/>
  <c r="YB24" i="2" s="1"/>
  <c r="YC24" i="2" s="1"/>
  <c r="YD24" i="2" s="1"/>
  <c r="YE24" i="2" s="1"/>
  <c r="YF24" i="2" s="1"/>
  <c r="YG24" i="2" s="1"/>
  <c r="YH24" i="2" s="1"/>
  <c r="YI24" i="2" s="1"/>
  <c r="YJ24" i="2" s="1"/>
  <c r="YK24" i="2" s="1"/>
  <c r="YL24" i="2" s="1"/>
  <c r="YM24" i="2" s="1"/>
  <c r="YN24" i="2" s="1"/>
  <c r="YO24" i="2" s="1"/>
  <c r="YP24" i="2" s="1"/>
  <c r="YQ24" i="2" s="1"/>
  <c r="YR24" i="2" s="1"/>
  <c r="YS24" i="2" s="1"/>
  <c r="YT24" i="2" s="1"/>
  <c r="YU24" i="2" s="1"/>
  <c r="YV24" i="2" s="1"/>
  <c r="YW24" i="2" s="1"/>
  <c r="YX24" i="2" s="1"/>
  <c r="YY24" i="2" s="1"/>
  <c r="YZ24" i="2" s="1"/>
  <c r="ZA24" i="2" s="1"/>
  <c r="ZB24" i="2" s="1"/>
  <c r="ZC24" i="2" s="1"/>
  <c r="ZD24" i="2" s="1"/>
  <c r="ZE24" i="2" s="1"/>
  <c r="ZF24" i="2" s="1"/>
  <c r="ZG24" i="2" s="1"/>
  <c r="ZH24" i="2" s="1"/>
  <c r="ZI24" i="2" s="1"/>
  <c r="ZJ24" i="2" s="1"/>
  <c r="ZK24" i="2" s="1"/>
  <c r="ZL24" i="2" s="1"/>
  <c r="ZM24" i="2" s="1"/>
  <c r="ZN24" i="2" s="1"/>
  <c r="ZO24" i="2" s="1"/>
  <c r="ZP24" i="2" s="1"/>
  <c r="ZQ24" i="2" s="1"/>
  <c r="ZR24" i="2" s="1"/>
  <c r="ZS24" i="2" s="1"/>
  <c r="ZT24" i="2" s="1"/>
  <c r="ZU24" i="2" s="1"/>
  <c r="ZV24" i="2" s="1"/>
  <c r="ZW24" i="2" s="1"/>
  <c r="ZX24" i="2" s="1"/>
  <c r="ZY24" i="2" s="1"/>
  <c r="ZZ24" i="2" s="1"/>
  <c r="AAA24" i="2" s="1"/>
  <c r="AAB24" i="2" s="1"/>
  <c r="AAC24" i="2" s="1"/>
  <c r="AAD24" i="2" s="1"/>
  <c r="AAE24" i="2" s="1"/>
  <c r="AAF24" i="2" s="1"/>
  <c r="AAG24" i="2" s="1"/>
  <c r="AAH24" i="2" s="1"/>
  <c r="AAI24" i="2" s="1"/>
  <c r="AAJ24" i="2" s="1"/>
  <c r="AAK24" i="2" s="1"/>
  <c r="AAL24" i="2" s="1"/>
  <c r="AAM24" i="2" s="1"/>
  <c r="AAN24" i="2" s="1"/>
  <c r="AAO24" i="2" s="1"/>
  <c r="AAP24" i="2" s="1"/>
  <c r="AAQ24" i="2" s="1"/>
  <c r="AAR24" i="2" s="1"/>
  <c r="AAS24" i="2" s="1"/>
  <c r="AAT24" i="2" s="1"/>
  <c r="AAU24" i="2" s="1"/>
  <c r="AAV24" i="2" s="1"/>
  <c r="AAW24" i="2" s="1"/>
  <c r="AAX24" i="2" s="1"/>
  <c r="AAY24" i="2" s="1"/>
  <c r="AAZ24" i="2" s="1"/>
  <c r="ABA24" i="2" s="1"/>
  <c r="ABB24" i="2" s="1"/>
  <c r="ABC24" i="2" s="1"/>
  <c r="ABD24" i="2" s="1"/>
  <c r="ABE24" i="2" s="1"/>
  <c r="ABF24" i="2" s="1"/>
  <c r="ABG24" i="2" s="1"/>
  <c r="ABH24" i="2" s="1"/>
  <c r="ABI24" i="2" s="1"/>
  <c r="ABJ24" i="2" s="1"/>
  <c r="ABK24" i="2" s="1"/>
  <c r="ABL24" i="2" s="1"/>
  <c r="ABM24" i="2" s="1"/>
  <c r="ABN24" i="2" s="1"/>
  <c r="ABO24" i="2" s="1"/>
  <c r="ABP24" i="2" s="1"/>
  <c r="ABQ24" i="2" s="1"/>
  <c r="ABR24" i="2" s="1"/>
  <c r="ABS24" i="2" s="1"/>
  <c r="ABT24" i="2" s="1"/>
  <c r="ABU24" i="2" s="1"/>
  <c r="ABV24" i="2" s="1"/>
  <c r="ABW24" i="2" s="1"/>
  <c r="ABX24" i="2" s="1"/>
  <c r="ABY24" i="2" s="1"/>
  <c r="ABZ24" i="2" s="1"/>
  <c r="ACA24" i="2" s="1"/>
  <c r="ACB24" i="2" s="1"/>
  <c r="ACC24" i="2" s="1"/>
  <c r="ACD24" i="2" s="1"/>
  <c r="ACE24" i="2" s="1"/>
  <c r="ACF24" i="2" s="1"/>
  <c r="ACG24" i="2" s="1"/>
  <c r="ACH24" i="2" s="1"/>
  <c r="ACI24" i="2" s="1"/>
  <c r="ACJ24" i="2" s="1"/>
  <c r="ACK24" i="2" s="1"/>
  <c r="ACL24" i="2" s="1"/>
  <c r="ACM24" i="2" s="1"/>
  <c r="ACN24" i="2" s="1"/>
  <c r="ACO24" i="2" s="1"/>
  <c r="ACP24" i="2" s="1"/>
  <c r="ACQ24" i="2" s="1"/>
  <c r="ACR24" i="2" s="1"/>
  <c r="ACS24" i="2" s="1"/>
  <c r="ACT24" i="2" s="1"/>
  <c r="ACU24" i="2" s="1"/>
  <c r="ACV24" i="2" s="1"/>
  <c r="ACW24" i="2" s="1"/>
  <c r="ACX24" i="2" s="1"/>
  <c r="ACY24" i="2" s="1"/>
  <c r="ACZ24" i="2" s="1"/>
  <c r="ADA24" i="2" s="1"/>
  <c r="ADB24" i="2" s="1"/>
  <c r="ADC24" i="2" s="1"/>
  <c r="ADD24" i="2" s="1"/>
  <c r="ADE24" i="2" s="1"/>
  <c r="ADF24" i="2" s="1"/>
  <c r="ADG24" i="2" s="1"/>
  <c r="ADH24" i="2" s="1"/>
  <c r="ADI24" i="2" s="1"/>
  <c r="ADJ24" i="2" s="1"/>
  <c r="ADK24" i="2" s="1"/>
  <c r="ADL24" i="2" s="1"/>
  <c r="ADM24" i="2" s="1"/>
  <c r="ADN24" i="2" s="1"/>
  <c r="ADO24" i="2" s="1"/>
  <c r="AC27" i="2"/>
  <c r="L27" i="2"/>
  <c r="L31" i="2"/>
  <c r="C31" i="2"/>
  <c r="C24" i="2"/>
  <c r="C27" i="2" s="1"/>
  <c r="D31" i="2"/>
  <c r="D24" i="2"/>
  <c r="D27" i="2" s="1"/>
  <c r="H24" i="2"/>
  <c r="H27" i="2" s="1"/>
  <c r="H31" i="2"/>
  <c r="E24" i="2"/>
  <c r="E27" i="2" s="1"/>
  <c r="U24" i="2"/>
  <c r="U27" i="2" s="1"/>
  <c r="G31" i="2"/>
  <c r="G27" i="2"/>
  <c r="I24" i="2"/>
  <c r="I27" i="2" s="1"/>
  <c r="I31" i="2"/>
  <c r="M24" i="2"/>
  <c r="M27" i="2" s="1"/>
  <c r="M31" i="2"/>
  <c r="V27" i="2"/>
  <c r="C116" i="2" l="1"/>
  <c r="C117" i="2" s="1"/>
  <c r="W30" i="2"/>
  <c r="J110" i="2"/>
  <c r="I110" i="2"/>
  <c r="H110" i="2"/>
  <c r="G110" i="2"/>
  <c r="F110" i="2"/>
  <c r="E110" i="2"/>
  <c r="J92" i="2"/>
  <c r="I92" i="2"/>
  <c r="H92" i="2"/>
  <c r="G92" i="2"/>
  <c r="J99" i="2"/>
  <c r="I99" i="2"/>
  <c r="H99" i="2"/>
  <c r="G99" i="2"/>
  <c r="F99" i="2"/>
  <c r="F101" i="2" s="1"/>
  <c r="E99" i="2"/>
  <c r="D99" i="2"/>
  <c r="C99" i="2"/>
  <c r="J90" i="2"/>
  <c r="I90" i="2"/>
  <c r="H90" i="2"/>
  <c r="G90" i="2"/>
  <c r="C90" i="2"/>
  <c r="J63" i="2"/>
  <c r="I63" i="2"/>
  <c r="H63" i="2"/>
  <c r="G63" i="2"/>
  <c r="F65" i="2"/>
  <c r="F69" i="2" s="1"/>
  <c r="E63" i="2"/>
  <c r="D63" i="2"/>
  <c r="C63" i="2"/>
  <c r="J58" i="2"/>
  <c r="J65" i="2" s="1"/>
  <c r="J69" i="2" s="1"/>
  <c r="I58" i="2"/>
  <c r="I65" i="2" s="1"/>
  <c r="I69" i="2" s="1"/>
  <c r="H58" i="2"/>
  <c r="H65" i="2" s="1"/>
  <c r="H69" i="2" s="1"/>
  <c r="G58" i="2"/>
  <c r="G65" i="2" s="1"/>
  <c r="G69" i="2" s="1"/>
  <c r="E58" i="2"/>
  <c r="C58" i="2"/>
  <c r="J52" i="2"/>
  <c r="I52" i="2"/>
  <c r="I54" i="2" s="1"/>
  <c r="H52" i="2"/>
  <c r="H54" i="2" s="1"/>
  <c r="G52" i="2"/>
  <c r="C52" i="2"/>
  <c r="J43" i="2"/>
  <c r="I43" i="2"/>
  <c r="H43" i="2"/>
  <c r="G43" i="2"/>
  <c r="F43" i="2"/>
  <c r="F54" i="2" s="1"/>
  <c r="E43" i="2"/>
  <c r="E54" i="2" s="1"/>
  <c r="C43" i="2"/>
  <c r="K21" i="2"/>
  <c r="K17" i="2"/>
  <c r="K14" i="2"/>
  <c r="K16" i="2" s="1"/>
  <c r="K30" i="2" s="1"/>
  <c r="K9" i="1"/>
  <c r="K6" i="1"/>
  <c r="C54" i="2" l="1"/>
  <c r="J54" i="2"/>
  <c r="D101" i="2"/>
  <c r="C65" i="2"/>
  <c r="C69" i="2" s="1"/>
  <c r="D65" i="2"/>
  <c r="D69" i="2" s="1"/>
  <c r="D54" i="2"/>
  <c r="E65" i="2"/>
  <c r="E69" i="2" s="1"/>
  <c r="G101" i="2"/>
  <c r="H101" i="2"/>
  <c r="G54" i="2"/>
  <c r="I101" i="2"/>
  <c r="J101" i="2"/>
  <c r="E101" i="2"/>
  <c r="C101" i="2"/>
  <c r="V30" i="2"/>
  <c r="K20" i="2"/>
  <c r="K22" i="2" s="1"/>
  <c r="F76" i="2" l="1"/>
  <c r="V31" i="2"/>
  <c r="W24" i="2"/>
  <c r="W31" i="2"/>
  <c r="K31" i="2"/>
  <c r="K24" i="2"/>
  <c r="K27" i="2" s="1"/>
  <c r="W27" i="2" l="1"/>
  <c r="E7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Elitebook</author>
  </authors>
  <commentList>
    <comment ref="U7" authorId="0" shapeId="0" xr:uid="{319D5E1C-AC32-441C-A9D3-6DB37832D41F}">
      <text>
        <r>
          <rPr>
            <b/>
            <sz val="9"/>
            <color indexed="81"/>
            <rFont val="Tahoma"/>
            <charset val="1"/>
          </rPr>
          <t>Elitebook:</t>
        </r>
        <r>
          <rPr>
            <sz val="9"/>
            <color indexed="81"/>
            <rFont val="Tahoma"/>
            <charset val="1"/>
          </rPr>
          <t xml:space="preserve">
total 10613, 
sub-segments idk 
</t>
        </r>
      </text>
    </comment>
    <comment ref="C19" authorId="0" shapeId="0" xr:uid="{A0B7A51D-C5B1-4E49-9579-23821746E747}">
      <text>
        <r>
          <rPr>
            <b/>
            <sz val="9"/>
            <color indexed="81"/>
            <rFont val="Tahoma"/>
            <charset val="1"/>
          </rPr>
          <t>Elitebook:</t>
        </r>
        <r>
          <rPr>
            <sz val="9"/>
            <color indexed="81"/>
            <rFont val="Tahoma"/>
            <charset val="1"/>
          </rPr>
          <t xml:space="preserve">
1353 acquisition termination cost
</t>
        </r>
      </text>
    </comment>
    <comment ref="U19" authorId="0" shapeId="0" xr:uid="{D292330B-9AA7-4F77-8FAA-45EFB25CA291}">
      <text>
        <r>
          <rPr>
            <b/>
            <sz val="9"/>
            <color indexed="81"/>
            <rFont val="Tahoma"/>
            <charset val="1"/>
          </rPr>
          <t>Elitebook:</t>
        </r>
        <r>
          <rPr>
            <sz val="9"/>
            <color indexed="81"/>
            <rFont val="Tahoma"/>
            <charset val="1"/>
          </rPr>
          <t xml:space="preserve">
acquisition termination cost 1353
</t>
        </r>
      </text>
    </comment>
    <comment ref="V19" authorId="0" shapeId="0" xr:uid="{506EF953-8888-4D08-B989-BEFA5AE9EB33}">
      <text>
        <r>
          <rPr>
            <b/>
            <sz val="9"/>
            <color indexed="81"/>
            <rFont val="Tahoma"/>
            <charset val="1"/>
          </rPr>
          <t>Elitebook:</t>
        </r>
        <r>
          <rPr>
            <sz val="9"/>
            <color indexed="81"/>
            <rFont val="Tahoma"/>
            <charset val="1"/>
          </rPr>
          <t xml:space="preserve">
acquisition termination cost 1353
</t>
        </r>
      </text>
    </comment>
    <comment ref="D57" authorId="0" shapeId="0" xr:uid="{3B9FCF64-6ACC-4479-983E-C2A5A34C6DFE}">
      <text>
        <r>
          <rPr>
            <b/>
            <sz val="9"/>
            <color indexed="81"/>
            <rFont val="Tahoma"/>
            <charset val="1"/>
          </rPr>
          <t>Elitebook:</t>
        </r>
        <r>
          <rPr>
            <sz val="9"/>
            <color indexed="81"/>
            <rFont val="Tahoma"/>
            <charset val="1"/>
          </rPr>
          <t xml:space="preserve">
1250 short term debt 
</t>
        </r>
      </text>
    </comment>
    <comment ref="E57" authorId="0" shapeId="0" xr:uid="{2EA0DCFE-B77E-4193-9AB5-3AB1C9D52309}">
      <text>
        <r>
          <rPr>
            <b/>
            <sz val="9"/>
            <color indexed="81"/>
            <rFont val="Tahoma"/>
            <charset val="1"/>
          </rPr>
          <t>Elitebook:</t>
        </r>
        <r>
          <rPr>
            <sz val="9"/>
            <color indexed="81"/>
            <rFont val="Tahoma"/>
            <charset val="1"/>
          </rPr>
          <t xml:space="preserve">
1250 short term debt 
</t>
        </r>
      </text>
    </comment>
    <comment ref="C105" authorId="0" shapeId="0" xr:uid="{F8B855A6-4A2D-4E08-81CD-91BD4F2E5D2E}">
      <text>
        <r>
          <rPr>
            <b/>
            <sz val="9"/>
            <color indexed="81"/>
            <rFont val="Tahoma"/>
            <charset val="1"/>
          </rPr>
          <t>Elitebook:</t>
        </r>
        <r>
          <rPr>
            <sz val="9"/>
            <color indexed="81"/>
            <rFont val="Tahoma"/>
            <charset val="1"/>
          </rPr>
          <t xml:space="preserve">
issuance of debt 
</t>
        </r>
      </text>
    </comment>
  </commentList>
</comments>
</file>

<file path=xl/sharedStrings.xml><?xml version="1.0" encoding="utf-8"?>
<sst xmlns="http://schemas.openxmlformats.org/spreadsheetml/2006/main" count="140" uniqueCount="123">
  <si>
    <t>NVDA</t>
  </si>
  <si>
    <t>Price</t>
  </si>
  <si>
    <t>MC</t>
  </si>
  <si>
    <t>Cash</t>
  </si>
  <si>
    <t>Debt</t>
  </si>
  <si>
    <t>EV</t>
  </si>
  <si>
    <t>Shares</t>
  </si>
  <si>
    <t>Founded</t>
  </si>
  <si>
    <t>A100</t>
  </si>
  <si>
    <t>A800</t>
  </si>
  <si>
    <t>H100</t>
  </si>
  <si>
    <t>H200</t>
  </si>
  <si>
    <t>H800</t>
  </si>
  <si>
    <t>B100</t>
  </si>
  <si>
    <t>B200</t>
  </si>
  <si>
    <t>GB200</t>
  </si>
  <si>
    <t>L4</t>
  </si>
  <si>
    <t>L40S</t>
  </si>
  <si>
    <t>RTX 6000 Ada</t>
  </si>
  <si>
    <t>Income Statement</t>
  </si>
  <si>
    <t xml:space="preserve">Reincorporation </t>
  </si>
  <si>
    <t>Revenue</t>
  </si>
  <si>
    <t>Cost of Revenue</t>
  </si>
  <si>
    <t>Gross Profit</t>
  </si>
  <si>
    <t>Operating Expenses</t>
  </si>
  <si>
    <t>Research &amp; Development</t>
  </si>
  <si>
    <t>Sales, General &amp; Admin</t>
  </si>
  <si>
    <t>Opearing Income</t>
  </si>
  <si>
    <t>Interest Income</t>
  </si>
  <si>
    <t>Pretax</t>
  </si>
  <si>
    <t>Tax</t>
  </si>
  <si>
    <t>Net Income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</si>
  <si>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</si>
  <si>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</si>
  <si>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</si>
  <si>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</si>
  <si>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</si>
  <si>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</si>
  <si>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</si>
  <si>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</si>
  <si>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</si>
  <si>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Q122</t>
  </si>
  <si>
    <t>Q222</t>
  </si>
  <si>
    <t>Q322</t>
  </si>
  <si>
    <t>Q422</t>
  </si>
  <si>
    <t>Compute</t>
  </si>
  <si>
    <t>Networking</t>
  </si>
  <si>
    <t>Gaming</t>
  </si>
  <si>
    <t>Professional Visualization</t>
  </si>
  <si>
    <t>Automative</t>
  </si>
  <si>
    <t>OEM &amp; Other</t>
  </si>
  <si>
    <t>Revenue yoy</t>
  </si>
  <si>
    <t>Gross Margin</t>
  </si>
  <si>
    <t>Tax Rate</t>
  </si>
  <si>
    <t>Main</t>
  </si>
  <si>
    <t>FY22</t>
  </si>
  <si>
    <t>FY23</t>
  </si>
  <si>
    <t>FY24</t>
  </si>
  <si>
    <t>FY26E</t>
  </si>
  <si>
    <t>Q225E</t>
  </si>
  <si>
    <t>Q325E</t>
  </si>
  <si>
    <t>Q425E</t>
  </si>
  <si>
    <t>FY27E</t>
  </si>
  <si>
    <t>FY28E</t>
  </si>
  <si>
    <t>FY29E</t>
  </si>
  <si>
    <t>Balance Sheet</t>
  </si>
  <si>
    <t>x</t>
  </si>
  <si>
    <t>Cash &amp; Cash Equivalents</t>
  </si>
  <si>
    <t>Marketable Securities</t>
  </si>
  <si>
    <t>AR</t>
  </si>
  <si>
    <t>Inventories</t>
  </si>
  <si>
    <t>Prepaids</t>
  </si>
  <si>
    <t>Total Current Assets</t>
  </si>
  <si>
    <t>PPE</t>
  </si>
  <si>
    <t>Operating Lease Liabilities</t>
  </si>
  <si>
    <t>Goodwill</t>
  </si>
  <si>
    <t>Intangibles</t>
  </si>
  <si>
    <t>Deferred Income Taxes</t>
  </si>
  <si>
    <t>Deferred Income Tax Assets</t>
  </si>
  <si>
    <t>Other assets</t>
  </si>
  <si>
    <t>Total Mature Assets</t>
  </si>
  <si>
    <t>Assets</t>
  </si>
  <si>
    <t>AP</t>
  </si>
  <si>
    <t>Accruals</t>
  </si>
  <si>
    <t>Total Current Liabilities</t>
  </si>
  <si>
    <t>Long term debts</t>
  </si>
  <si>
    <t>Long temr operating lease liabilities</t>
  </si>
  <si>
    <t>Other</t>
  </si>
  <si>
    <t>Total Mature Liabliities</t>
  </si>
  <si>
    <t>Liabliities</t>
  </si>
  <si>
    <t>Shareholder's Equity</t>
  </si>
  <si>
    <t>L+SE</t>
  </si>
  <si>
    <t>Net Cash</t>
  </si>
  <si>
    <t>Cash Flow Statement</t>
  </si>
  <si>
    <t>Model NI</t>
  </si>
  <si>
    <t>Reported NI</t>
  </si>
  <si>
    <t>Cash Runway</t>
  </si>
  <si>
    <t>SBC</t>
  </si>
  <si>
    <t>D&amp;A</t>
  </si>
  <si>
    <t>CFFO</t>
  </si>
  <si>
    <t>Maturities of marketable securities</t>
  </si>
  <si>
    <t>PPE &amp; Intangibles</t>
  </si>
  <si>
    <t xml:space="preserve">Marketable secuirities, net </t>
  </si>
  <si>
    <t>Acquisition, net cash requiried</t>
  </si>
  <si>
    <t>CapEx</t>
  </si>
  <si>
    <t>FCF</t>
  </si>
  <si>
    <t>Employee stock plans</t>
  </si>
  <si>
    <t>Repurchases</t>
  </si>
  <si>
    <t>ESP Taxes</t>
  </si>
  <si>
    <t>Dividends</t>
  </si>
  <si>
    <t>Principal payments of PPE &amp; Intangibles</t>
  </si>
  <si>
    <t>CFFI</t>
  </si>
  <si>
    <t>Net Present Value</t>
  </si>
  <si>
    <t>Discount</t>
  </si>
  <si>
    <t>NPV</t>
  </si>
  <si>
    <t>Terminal</t>
  </si>
  <si>
    <t>EPS</t>
  </si>
  <si>
    <t>Shares' Outstanding</t>
  </si>
  <si>
    <t>NWC</t>
  </si>
  <si>
    <t xml:space="preserve">Debt Repayment </t>
  </si>
  <si>
    <t>Gain loss on marketable securities</t>
  </si>
  <si>
    <t>FY25</t>
  </si>
  <si>
    <t>FY30E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</si>
</sst>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7" x14ac:knownFonts="1">
    <font>
      <sz val="11"/>
      <color theme="1"/>
      <name val="Times New Roman"/>
      <family val="2"/>
    </font>
    <font>
      <u val="singleAccounting"/>
      <sz val="11"/>
      <color theme="1"/>
      <name val="Times New Roman"/>
      <family val="2"/>
    </font>
    <font>
      <i/>
      <sz val="11"/>
      <color theme="1"/>
      <name val="Times New Roman"/>
      <family val="1"/>
      <charset val="162"/>
    </font>
    <font>
      <u/>
      <sz val="11"/>
      <color theme="10"/>
      <name val="Times New Roman"/>
      <family val="2"/>
    </font>
    <font>
      <b/>
      <sz val="11"/>
      <color theme="1"/>
      <name val="Times New Roman"/>
      <family val="1"/>
      <charset val="16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43" fontId="0" fillId="0" borderId="0" xfId="0" applyNumberFormat="1"/>
    <xf numFmtId="43" fontId="0" fillId="0" borderId="1" xfId="0" applyNumberFormat="1" applyBorder="1"/>
    <xf numFmtId="43" fontId="0" fillId="0" borderId="0" xfId="0" applyNumberFormat="1" applyAlignment="1">
      <alignment horizontal="left"/>
    </xf>
    <xf numFmtId="43" fontId="1" fillId="0" borderId="0" xfId="0" applyNumberFormat="1" applyFont="1" applyAlignment="1">
      <alignment horizontal="left"/>
    </xf>
    <xf numFmtId="43" fontId="0" fillId="0" borderId="2" xfId="0" applyNumberFormat="1" applyBorder="1"/>
    <xf numFmtId="43" fontId="1" fillId="0" borderId="0" xfId="0" applyNumberFormat="1" applyFont="1"/>
    <xf numFmtId="49" fontId="2" fillId="0" borderId="0" xfId="0" applyNumberFormat="1" applyFont="1" applyAlignment="1">
      <alignment horizontal="left"/>
    </xf>
    <xf numFmtId="43" fontId="0" fillId="0" borderId="3" xfId="0" applyNumberFormat="1" applyBorder="1"/>
    <xf numFmtId="49" fontId="0" fillId="0" borderId="2" xfId="0" applyNumberFormat="1" applyBorder="1" applyAlignment="1">
      <alignment horizontal="center"/>
    </xf>
    <xf numFmtId="43" fontId="0" fillId="0" borderId="0" xfId="0" applyNumberFormat="1" applyAlignment="1">
      <alignment horizontal="right"/>
    </xf>
    <xf numFmtId="43" fontId="2" fillId="0" borderId="0" xfId="0" applyNumberFormat="1" applyFont="1"/>
    <xf numFmtId="43" fontId="3" fillId="0" borderId="0" xfId="1" applyNumberFormat="1"/>
    <xf numFmtId="43" fontId="0" fillId="0" borderId="0" xfId="0" applyNumberFormat="1" applyAlignment="1">
      <alignment horizontal="left" indent="1"/>
    </xf>
    <xf numFmtId="10" fontId="0" fillId="0" borderId="0" xfId="0" applyNumberFormat="1"/>
    <xf numFmtId="0" fontId="0" fillId="0" borderId="0" xfId="0" applyAlignment="1">
      <alignment horizontal="right"/>
    </xf>
    <xf numFmtId="43" fontId="4" fillId="0" borderId="0" xfId="0" applyNumberFormat="1" applyFont="1"/>
    <xf numFmtId="49" fontId="0" fillId="0" borderId="0" xfId="0" applyNumberFormat="1" applyAlignment="1">
      <alignment horizontal="center"/>
    </xf>
    <xf numFmtId="43" fontId="0" fillId="0" borderId="4" xfId="0" applyNumberFormat="1" applyBorder="1"/>
    <xf numFmtId="43" fontId="0" fillId="0" borderId="5" xfId="0" applyNumberFormat="1" applyBorder="1"/>
    <xf numFmtId="43" fontId="0" fillId="0" borderId="0" xfId="0" applyNumberFormat="1" applyBorder="1"/>
    <xf numFmtId="43" fontId="0" fillId="0" borderId="6" xfId="0" applyNumberFormat="1" applyBorder="1"/>
    <xf numFmtId="43" fontId="2" fillId="0" borderId="7" xfId="0" applyNumberFormat="1" applyFont="1" applyBorder="1"/>
    <xf numFmtId="43" fontId="0" fillId="0" borderId="8" xfId="0" applyNumberFormat="1" applyBorder="1"/>
    <xf numFmtId="43" fontId="0" fillId="0" borderId="9" xfId="0" applyNumberFormat="1" applyBorder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C5523-7B55-4E23-929C-582E1A9232DC}">
  <dimension ref="B2:K16"/>
  <sheetViews>
    <sheetView showGridLines="0" topLeftCell="D1" workbookViewId="0">
      <selection activeCell="D7" sqref="D7"/>
    </sheetView>
  </sheetViews>
  <sheetFormatPr defaultRowHeight="13.8" x14ac:dyDescent="0.25"/>
  <cols>
    <col min="1" max="1" width="3.21875" style="2" customWidth="1"/>
    <col min="2" max="2" width="11.6640625" style="2" bestFit="1" customWidth="1"/>
    <col min="3" max="3" width="8.88671875" style="2"/>
    <col min="4" max="4" width="10.44140625" style="2" bestFit="1" customWidth="1"/>
    <col min="5" max="7" width="8.88671875" style="2"/>
    <col min="8" max="8" width="10.44140625" style="2" bestFit="1" customWidth="1"/>
    <col min="9" max="9" width="8.88671875" style="2"/>
    <col min="10" max="10" width="14" style="2" customWidth="1"/>
    <col min="11" max="11" width="13.109375" style="2" bestFit="1" customWidth="1"/>
    <col min="12" max="16384" width="8.88671875" style="2"/>
  </cols>
  <sheetData>
    <row r="2" spans="2:11" x14ac:dyDescent="0.25">
      <c r="B2" s="2" t="s">
        <v>0</v>
      </c>
      <c r="D2" s="1">
        <v>45877</v>
      </c>
    </row>
    <row r="3" spans="2:11" s="3" customFormat="1" x14ac:dyDescent="0.25"/>
    <row r="4" spans="2:11" ht="15.6" x14ac:dyDescent="0.4">
      <c r="B4" s="5"/>
      <c r="J4" s="6" t="s">
        <v>1</v>
      </c>
      <c r="K4" s="6">
        <v>180.77</v>
      </c>
    </row>
    <row r="5" spans="2:11" x14ac:dyDescent="0.25">
      <c r="B5" s="4"/>
      <c r="J5" s="6" t="s">
        <v>6</v>
      </c>
      <c r="K5" s="6">
        <v>24400</v>
      </c>
    </row>
    <row r="6" spans="2:11" x14ac:dyDescent="0.25">
      <c r="C6" s="8" t="s">
        <v>8</v>
      </c>
      <c r="J6" s="6" t="s">
        <v>2</v>
      </c>
      <c r="K6" s="6">
        <f>K4*K5</f>
        <v>4410788</v>
      </c>
    </row>
    <row r="7" spans="2:11" ht="15.6" x14ac:dyDescent="0.4">
      <c r="C7" s="8" t="s">
        <v>9</v>
      </c>
      <c r="D7" s="7"/>
      <c r="E7" s="7"/>
      <c r="F7" s="7"/>
      <c r="G7" s="7"/>
      <c r="H7" s="7"/>
      <c r="J7" s="6" t="s">
        <v>3</v>
      </c>
      <c r="K7" s="6">
        <f>15234+38457</f>
        <v>53691</v>
      </c>
    </row>
    <row r="8" spans="2:11" x14ac:dyDescent="0.25">
      <c r="C8" s="8" t="s">
        <v>10</v>
      </c>
      <c r="J8" s="6" t="s">
        <v>4</v>
      </c>
      <c r="K8" s="6">
        <v>8464</v>
      </c>
    </row>
    <row r="9" spans="2:11" x14ac:dyDescent="0.25">
      <c r="C9" s="8" t="s">
        <v>11</v>
      </c>
      <c r="J9" s="6" t="s">
        <v>5</v>
      </c>
      <c r="K9" s="6">
        <f>+K6-K7+K8</f>
        <v>4365561</v>
      </c>
    </row>
    <row r="10" spans="2:11" x14ac:dyDescent="0.25">
      <c r="C10" s="8" t="s">
        <v>12</v>
      </c>
    </row>
    <row r="11" spans="2:11" x14ac:dyDescent="0.25">
      <c r="C11" s="8" t="s">
        <v>13</v>
      </c>
    </row>
    <row r="12" spans="2:11" x14ac:dyDescent="0.25">
      <c r="C12" s="8" t="s">
        <v>14</v>
      </c>
      <c r="J12" s="6" t="s">
        <v>7</v>
      </c>
      <c r="K12" s="10">
        <v>1993</v>
      </c>
    </row>
    <row r="13" spans="2:11" x14ac:dyDescent="0.25">
      <c r="C13" s="8" t="s">
        <v>15</v>
      </c>
      <c r="J13" s="6" t="s">
        <v>20</v>
      </c>
      <c r="K13" s="10">
        <v>1998</v>
      </c>
    </row>
    <row r="14" spans="2:11" x14ac:dyDescent="0.25">
      <c r="C14" s="8" t="s">
        <v>16</v>
      </c>
    </row>
    <row r="15" spans="2:11" x14ac:dyDescent="0.25">
      <c r="C15" s="8" t="s">
        <v>17</v>
      </c>
    </row>
    <row r="16" spans="2:11" x14ac:dyDescent="0.25">
      <c r="C16" s="8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41BA5-F322-4838-8246-B96E3627187C}">
  <dimension ref="A1:ADO117"/>
  <sheetViews>
    <sheetView showGridLines="0" tabSelected="1" topLeftCell="A107" workbookViewId="0">
      <selection activeCell="A107" sqref="A107"/>
    </sheetView>
  </sheetViews>
  <sheetFormatPr defaultRowHeight="13.8" x14ac:dyDescent="0.25"/>
  <cols>
    <col min="1" max="1" width="6.44140625" style="2" bestFit="1" customWidth="1"/>
    <col min="2" max="2" width="35.6640625" style="2" customWidth="1"/>
    <col min="3" max="3" width="13.44140625" style="2" bestFit="1" customWidth="1"/>
    <col min="4" max="5" width="11.109375" style="2" bestFit="1" customWidth="1"/>
    <col min="6" max="6" width="11.44140625" style="2" bestFit="1" customWidth="1"/>
    <col min="7" max="9" width="10.44140625" style="2" bestFit="1" customWidth="1"/>
    <col min="10" max="10" width="9.44140625" style="2" bestFit="1" customWidth="1"/>
    <col min="11" max="13" width="10.44140625" style="2" bestFit="1" customWidth="1"/>
    <col min="14" max="14" width="8.88671875" style="2"/>
    <col min="15" max="15" width="11.44140625" style="2" bestFit="1" customWidth="1"/>
    <col min="16" max="18" width="10.44140625" style="2" bestFit="1" customWidth="1"/>
    <col min="19" max="20" width="8.88671875" style="2"/>
    <col min="21" max="23" width="10.44140625" style="2" bestFit="1" customWidth="1"/>
    <col min="24" max="28" width="11.44140625" style="2" bestFit="1" customWidth="1"/>
    <col min="29" max="29" width="13.109375" style="2" bestFit="1" customWidth="1"/>
    <col min="30" max="32" width="11.44140625" style="2" bestFit="1" customWidth="1"/>
    <col min="33" max="36" width="8.88671875" style="2"/>
    <col min="37" max="37" width="11.44140625" style="2" bestFit="1" customWidth="1"/>
    <col min="38" max="139" width="8.88671875" style="2"/>
    <col min="140" max="141" width="11.44140625" style="2" bestFit="1" customWidth="1"/>
    <col min="142" max="743" width="8.88671875" style="2"/>
    <col min="744" max="744" width="15.109375" style="2" bestFit="1" customWidth="1"/>
    <col min="745" max="794" width="8.88671875" style="2"/>
    <col min="795" max="795" width="15.109375" style="2" bestFit="1" customWidth="1"/>
    <col min="796" max="16383" width="8.88671875" style="2"/>
    <col min="16384" max="16384" width="54.33203125" style="2" bestFit="1" customWidth="1"/>
  </cols>
  <sheetData>
    <row r="1" spans="1:29" x14ac:dyDescent="0.25">
      <c r="A1" s="13" t="s">
        <v>54</v>
      </c>
    </row>
    <row r="2" spans="1:29" x14ac:dyDescent="0.25">
      <c r="B2" s="2" t="s">
        <v>0</v>
      </c>
      <c r="D2" s="1">
        <v>45877</v>
      </c>
    </row>
    <row r="3" spans="1:29" s="3" customFormat="1" x14ac:dyDescent="0.25"/>
    <row r="4" spans="1:29" ht="15.6" x14ac:dyDescent="0.4">
      <c r="A4" s="2" t="s">
        <v>66</v>
      </c>
      <c r="B4" s="5" t="s">
        <v>19</v>
      </c>
      <c r="C4" s="11" t="s">
        <v>41</v>
      </c>
      <c r="D4" s="11" t="s">
        <v>42</v>
      </c>
      <c r="E4" s="11" t="s">
        <v>43</v>
      </c>
      <c r="F4" s="11" t="s">
        <v>44</v>
      </c>
      <c r="G4" s="11" t="s">
        <v>32</v>
      </c>
      <c r="H4" s="11" t="s">
        <v>33</v>
      </c>
      <c r="I4" s="11" t="s">
        <v>34</v>
      </c>
      <c r="J4" s="11" t="s">
        <v>35</v>
      </c>
      <c r="K4" s="11" t="s">
        <v>36</v>
      </c>
      <c r="L4" s="11" t="s">
        <v>37</v>
      </c>
      <c r="M4" s="11" t="s">
        <v>38</v>
      </c>
      <c r="N4" s="11" t="s">
        <v>39</v>
      </c>
      <c r="O4" s="11" t="s">
        <v>40</v>
      </c>
      <c r="P4" s="11" t="s">
        <v>59</v>
      </c>
      <c r="Q4" s="11" t="s">
        <v>60</v>
      </c>
      <c r="R4" s="11" t="s">
        <v>61</v>
      </c>
      <c r="T4" s="9"/>
      <c r="U4" s="11" t="s">
        <v>55</v>
      </c>
      <c r="V4" s="11" t="s">
        <v>56</v>
      </c>
      <c r="W4" s="11" t="s">
        <v>57</v>
      </c>
      <c r="X4" s="11" t="s">
        <v>121</v>
      </c>
      <c r="Y4" s="11" t="s">
        <v>58</v>
      </c>
      <c r="Z4" s="11" t="s">
        <v>62</v>
      </c>
      <c r="AA4" s="11" t="s">
        <v>63</v>
      </c>
      <c r="AB4" s="11" t="s">
        <v>64</v>
      </c>
      <c r="AC4" s="11" t="s">
        <v>122</v>
      </c>
    </row>
    <row r="5" spans="1:29" x14ac:dyDescent="0.25">
      <c r="B5" s="4"/>
      <c r="T5" s="9"/>
    </row>
    <row r="6" spans="1:29" x14ac:dyDescent="0.25">
      <c r="B6" s="12" t="s">
        <v>45</v>
      </c>
      <c r="C6" s="2">
        <v>3750</v>
      </c>
      <c r="D6" s="2">
        <v>3806</v>
      </c>
      <c r="E6" s="2">
        <v>3833</v>
      </c>
      <c r="G6" s="2">
        <v>3357</v>
      </c>
      <c r="H6" s="2">
        <v>10323</v>
      </c>
      <c r="I6" s="2">
        <v>11908</v>
      </c>
      <c r="K6" s="2">
        <v>19392</v>
      </c>
      <c r="L6" s="2">
        <v>22604</v>
      </c>
      <c r="M6" s="2">
        <v>27644</v>
      </c>
      <c r="O6" s="2">
        <v>34155</v>
      </c>
      <c r="P6" s="2">
        <f>O6*1.15</f>
        <v>39278.25</v>
      </c>
      <c r="Q6" s="2">
        <f>P6*1.1</f>
        <v>43206.075000000004</v>
      </c>
      <c r="R6" s="2">
        <f>Q6*1.07</f>
        <v>46230.500250000005</v>
      </c>
      <c r="T6" s="9"/>
      <c r="U6" s="2">
        <v>10613</v>
      </c>
      <c r="V6" s="2">
        <v>11317</v>
      </c>
      <c r="W6" s="2">
        <v>38950</v>
      </c>
      <c r="X6" s="2">
        <v>102196</v>
      </c>
      <c r="Y6" s="2">
        <f>SUM(O6:R6)</f>
        <v>162869.82525000002</v>
      </c>
      <c r="Z6" s="2">
        <f>Y6*1.6</f>
        <v>260591.72040000005</v>
      </c>
      <c r="AA6" s="2">
        <f>Z6*1.6</f>
        <v>416946.75264000008</v>
      </c>
      <c r="AB6" s="2">
        <f>AA6*1.5</f>
        <v>625420.12896000012</v>
      </c>
      <c r="AC6" s="2">
        <f>AB6*1.4</f>
        <v>875588.18054400012</v>
      </c>
    </row>
    <row r="7" spans="1:29" x14ac:dyDescent="0.25">
      <c r="B7" s="12" t="s">
        <v>46</v>
      </c>
      <c r="C7" s="2">
        <v>0</v>
      </c>
      <c r="D7" s="2">
        <v>0</v>
      </c>
      <c r="E7" s="2">
        <v>0</v>
      </c>
      <c r="G7" s="2">
        <v>927</v>
      </c>
      <c r="H7" s="2">
        <v>0</v>
      </c>
      <c r="I7" s="2">
        <v>2606</v>
      </c>
      <c r="K7" s="2">
        <v>3171</v>
      </c>
      <c r="L7" s="2">
        <v>3668</v>
      </c>
      <c r="M7" s="2">
        <v>3127</v>
      </c>
      <c r="O7" s="2">
        <v>4957</v>
      </c>
      <c r="P7" s="2">
        <f>O7*1.15</f>
        <v>5700.5499999999993</v>
      </c>
      <c r="Q7" s="2">
        <f>P7*1.1</f>
        <v>6270.6049999999996</v>
      </c>
      <c r="R7" s="2">
        <f>Q7*1.07</f>
        <v>6709.5473499999998</v>
      </c>
      <c r="T7" s="9"/>
      <c r="U7" s="2">
        <v>0</v>
      </c>
      <c r="V7" s="2">
        <v>3688</v>
      </c>
      <c r="W7" s="2">
        <v>8575</v>
      </c>
      <c r="X7" s="2">
        <v>12990</v>
      </c>
      <c r="Y7" s="2">
        <f>SUM(O7:R7)</f>
        <v>23637.70235</v>
      </c>
      <c r="Z7" s="2">
        <f>Y7*1.5</f>
        <v>35456.553524999996</v>
      </c>
      <c r="AA7" s="2">
        <f>Z7*1.5</f>
        <v>53184.830287499994</v>
      </c>
      <c r="AB7" s="2">
        <f>AA7*1.5</f>
        <v>79777.24543124999</v>
      </c>
      <c r="AC7" s="2">
        <f>AB7*1.5</f>
        <v>119665.86814687499</v>
      </c>
    </row>
    <row r="8" spans="1:29" x14ac:dyDescent="0.25">
      <c r="B8" s="12" t="s">
        <v>47</v>
      </c>
      <c r="C8" s="2">
        <v>3620</v>
      </c>
      <c r="D8" s="2">
        <v>2042</v>
      </c>
      <c r="E8" s="2">
        <v>1574</v>
      </c>
      <c r="G8" s="2">
        <v>2240</v>
      </c>
      <c r="H8" s="2">
        <v>2486</v>
      </c>
      <c r="I8" s="2">
        <v>2856</v>
      </c>
      <c r="K8" s="2">
        <v>2647</v>
      </c>
      <c r="L8" s="2">
        <v>2880</v>
      </c>
      <c r="M8" s="2">
        <v>3279</v>
      </c>
      <c r="O8" s="2">
        <v>3763</v>
      </c>
      <c r="P8" s="2">
        <f>O8</f>
        <v>3763</v>
      </c>
      <c r="Q8" s="2">
        <f>P8*1.02</f>
        <v>3838.26</v>
      </c>
      <c r="R8" s="2">
        <f>Q8*1.02</f>
        <v>3915.0252000000005</v>
      </c>
      <c r="T8" s="9"/>
      <c r="U8" s="2">
        <v>12462</v>
      </c>
      <c r="V8" s="2">
        <v>9067</v>
      </c>
      <c r="W8" s="2">
        <v>10447</v>
      </c>
      <c r="X8" s="2">
        <v>11350</v>
      </c>
      <c r="Y8" s="2">
        <f>SUM(O8:R8)</f>
        <v>15279.2852</v>
      </c>
      <c r="Z8" s="2">
        <f>Y8*1.2</f>
        <v>18335.142240000001</v>
      </c>
      <c r="AA8" s="2">
        <f>Z8*1.1</f>
        <v>20168.656464000003</v>
      </c>
      <c r="AB8" s="2">
        <f>AA8*1.1</f>
        <v>22185.522110400005</v>
      </c>
      <c r="AC8" s="2">
        <f>AB8*1.1</f>
        <v>24404.074321440006</v>
      </c>
    </row>
    <row r="9" spans="1:29" x14ac:dyDescent="0.25">
      <c r="B9" s="12" t="s">
        <v>48</v>
      </c>
      <c r="C9" s="2">
        <v>622</v>
      </c>
      <c r="D9" s="2">
        <v>496</v>
      </c>
      <c r="E9" s="2">
        <v>200</v>
      </c>
      <c r="G9" s="2">
        <v>295</v>
      </c>
      <c r="H9" s="2">
        <v>379</v>
      </c>
      <c r="I9" s="2">
        <v>416</v>
      </c>
      <c r="K9" s="2">
        <v>427</v>
      </c>
      <c r="L9" s="2">
        <v>454</v>
      </c>
      <c r="M9" s="2">
        <v>486</v>
      </c>
      <c r="O9" s="2">
        <v>509</v>
      </c>
      <c r="P9" s="2">
        <f>O9*1.05</f>
        <v>534.45000000000005</v>
      </c>
      <c r="Q9" s="2">
        <f t="shared" ref="Q9:R9" si="0">P9*1.05</f>
        <v>561.17250000000013</v>
      </c>
      <c r="R9" s="2">
        <f t="shared" si="0"/>
        <v>589.23112500000013</v>
      </c>
      <c r="T9" s="9"/>
      <c r="U9" s="2">
        <v>2111</v>
      </c>
      <c r="V9" s="2">
        <v>1544</v>
      </c>
      <c r="W9" s="2">
        <v>1553</v>
      </c>
      <c r="X9" s="2">
        <v>1878</v>
      </c>
      <c r="Y9" s="2">
        <f>SUM(O9:R9)</f>
        <v>2193.8536250000002</v>
      </c>
      <c r="Z9" s="2">
        <f>Y9*1.1</f>
        <v>2413.2389875000003</v>
      </c>
      <c r="AA9" s="2">
        <f>Z9*1.15</f>
        <v>2775.2248356250002</v>
      </c>
      <c r="AB9" s="2">
        <f>AA9*1.1</f>
        <v>3052.7473191875006</v>
      </c>
      <c r="AC9" s="2">
        <f>AB9*1.1</f>
        <v>3358.0220511062507</v>
      </c>
    </row>
    <row r="10" spans="1:29" x14ac:dyDescent="0.25">
      <c r="B10" s="12" t="s">
        <v>49</v>
      </c>
      <c r="C10" s="2">
        <v>138</v>
      </c>
      <c r="D10" s="2">
        <v>220</v>
      </c>
      <c r="E10" s="2">
        <v>251</v>
      </c>
      <c r="G10" s="2">
        <v>296</v>
      </c>
      <c r="H10" s="2">
        <v>253</v>
      </c>
      <c r="I10" s="2">
        <v>261</v>
      </c>
      <c r="K10" s="2">
        <v>329</v>
      </c>
      <c r="L10" s="2">
        <v>346</v>
      </c>
      <c r="M10" s="2">
        <v>449</v>
      </c>
      <c r="O10" s="2">
        <v>567</v>
      </c>
      <c r="P10" s="2">
        <f>O10*1.1</f>
        <v>623.70000000000005</v>
      </c>
      <c r="Q10" s="2">
        <f>P10*1.07</f>
        <v>667.35900000000004</v>
      </c>
      <c r="R10" s="2">
        <f>Q10*1.05</f>
        <v>700.7269500000001</v>
      </c>
      <c r="T10" s="9"/>
      <c r="U10" s="2">
        <v>566</v>
      </c>
      <c r="V10" s="2">
        <v>903</v>
      </c>
      <c r="W10" s="2">
        <v>1091</v>
      </c>
      <c r="X10" s="2">
        <v>1694</v>
      </c>
      <c r="Y10" s="2">
        <f>SUM(O10:R10)</f>
        <v>2558.7859500000004</v>
      </c>
      <c r="Z10" s="2">
        <f>Y10*1.5</f>
        <v>3838.1789250000006</v>
      </c>
      <c r="AA10" s="2">
        <f>Z10*1.5</f>
        <v>5757.2683875000012</v>
      </c>
      <c r="AB10" s="2">
        <f>AA10*1.5</f>
        <v>8635.9025812500022</v>
      </c>
      <c r="AC10" s="2">
        <f>AB10*1.5</f>
        <v>12953.853871875002</v>
      </c>
    </row>
    <row r="11" spans="1:29" x14ac:dyDescent="0.25">
      <c r="B11" s="12" t="s">
        <v>50</v>
      </c>
      <c r="C11" s="2">
        <v>158</v>
      </c>
      <c r="D11" s="2">
        <v>140</v>
      </c>
      <c r="E11" s="2">
        <v>73</v>
      </c>
      <c r="G11" s="2">
        <v>77</v>
      </c>
      <c r="H11" s="2">
        <v>66</v>
      </c>
      <c r="I11" s="2">
        <v>73</v>
      </c>
      <c r="K11" s="2">
        <v>78</v>
      </c>
      <c r="L11" s="2">
        <v>88</v>
      </c>
      <c r="M11" s="2">
        <v>97</v>
      </c>
      <c r="O11" s="2">
        <v>111</v>
      </c>
      <c r="P11" s="2">
        <f>O11</f>
        <v>111</v>
      </c>
      <c r="Q11" s="2">
        <f>P11*0.97</f>
        <v>107.67</v>
      </c>
      <c r="R11" s="2">
        <f>Q11*0.9</f>
        <v>96.903000000000006</v>
      </c>
      <c r="T11" s="9"/>
      <c r="U11" s="2">
        <v>1162</v>
      </c>
      <c r="V11" s="2">
        <v>455</v>
      </c>
      <c r="W11" s="2">
        <v>306</v>
      </c>
      <c r="X11" s="2">
        <v>389</v>
      </c>
      <c r="Y11" s="2">
        <f>SUM(O11:R11)</f>
        <v>426.57300000000004</v>
      </c>
      <c r="Z11" s="2">
        <f>Y11*1.1</f>
        <v>469.23030000000006</v>
      </c>
      <c r="AA11" s="2">
        <f>Z11*1.1</f>
        <v>516.1533300000001</v>
      </c>
      <c r="AB11" s="2">
        <f>AA11*1.1</f>
        <v>567.76866300000017</v>
      </c>
      <c r="AC11" s="2">
        <f>AB11*1.1</f>
        <v>624.54552930000023</v>
      </c>
    </row>
    <row r="12" spans="1:29" x14ac:dyDescent="0.25">
      <c r="T12" s="9"/>
    </row>
    <row r="13" spans="1:29" x14ac:dyDescent="0.25">
      <c r="T13" s="9"/>
    </row>
    <row r="14" spans="1:29" x14ac:dyDescent="0.25">
      <c r="B14" s="17" t="s">
        <v>21</v>
      </c>
      <c r="C14" s="17">
        <f>SUM(C6:C11)</f>
        <v>8288</v>
      </c>
      <c r="D14" s="17">
        <f>SUM(D6:D11)</f>
        <v>6704</v>
      </c>
      <c r="E14" s="17">
        <f>SUM(E6:E11)</f>
        <v>5931</v>
      </c>
      <c r="F14" s="17"/>
      <c r="G14" s="17">
        <f>SUM(G6:G11)</f>
        <v>7192</v>
      </c>
      <c r="H14" s="17">
        <f>SUM(H6:H11)</f>
        <v>13507</v>
      </c>
      <c r="I14" s="17">
        <f>SUM(I6:I11)</f>
        <v>18120</v>
      </c>
      <c r="J14" s="17"/>
      <c r="K14" s="17">
        <f>SUM(K6:K11)</f>
        <v>26044</v>
      </c>
      <c r="L14" s="17">
        <f>SUM(L6:L11)</f>
        <v>30040</v>
      </c>
      <c r="M14" s="17">
        <f>SUM(M6:M11)</f>
        <v>35082</v>
      </c>
      <c r="N14" s="17"/>
      <c r="O14" s="17">
        <f>SUM(O6:O11)</f>
        <v>44062</v>
      </c>
      <c r="P14" s="17">
        <f>SUM(P6:P11)</f>
        <v>50010.95</v>
      </c>
      <c r="Q14" s="17">
        <f>SUM(Q6:Q11)</f>
        <v>54651.141500000005</v>
      </c>
      <c r="R14" s="17">
        <f>SUM(R6:R11)</f>
        <v>58241.933875000002</v>
      </c>
      <c r="T14" s="9"/>
      <c r="U14" s="17">
        <f>SUM(U6:U11)</f>
        <v>26914</v>
      </c>
      <c r="V14" s="17">
        <f>SUM(V6:V11)</f>
        <v>26974</v>
      </c>
      <c r="W14" s="17">
        <f>SUM(W6:W11)</f>
        <v>60922</v>
      </c>
      <c r="X14" s="17">
        <f>SUM(X6:X11)</f>
        <v>130497</v>
      </c>
      <c r="Y14" s="17">
        <f>SUM(Y6:Y11)</f>
        <v>206966.02537500003</v>
      </c>
      <c r="Z14" s="17">
        <f>SUM(Z6:Z11)</f>
        <v>321104.06437750009</v>
      </c>
      <c r="AA14" s="17">
        <f>SUM(AA6:AA11)</f>
        <v>499348.88594462507</v>
      </c>
      <c r="AB14" s="17">
        <f>SUM(AB6:AB11)</f>
        <v>739639.31506508752</v>
      </c>
      <c r="AC14" s="17">
        <f>SUM(AC6:AC11)</f>
        <v>1036594.5444645962</v>
      </c>
    </row>
    <row r="15" spans="1:29" x14ac:dyDescent="0.25">
      <c r="B15" s="2" t="s">
        <v>22</v>
      </c>
      <c r="C15" s="2">
        <v>2857</v>
      </c>
      <c r="D15" s="2">
        <v>3789</v>
      </c>
      <c r="E15" s="2">
        <v>2754</v>
      </c>
      <c r="G15" s="2">
        <v>2544</v>
      </c>
      <c r="H15" s="2">
        <v>4045</v>
      </c>
      <c r="I15" s="2">
        <v>4720</v>
      </c>
      <c r="K15" s="2">
        <v>5638</v>
      </c>
      <c r="L15" s="2">
        <v>7466</v>
      </c>
      <c r="M15" s="2">
        <v>8926</v>
      </c>
      <c r="O15" s="2">
        <v>17394</v>
      </c>
      <c r="P15" s="2">
        <f>P14*0.3948</f>
        <v>19744.323059999999</v>
      </c>
      <c r="Q15" s="2">
        <f>Q14*0.3948</f>
        <v>21576.270664200001</v>
      </c>
      <c r="R15" s="2">
        <f>R14*0.3948</f>
        <v>22993.91549385</v>
      </c>
      <c r="T15" s="9"/>
      <c r="U15" s="2">
        <v>9439</v>
      </c>
      <c r="V15" s="2">
        <v>11618</v>
      </c>
      <c r="W15" s="2">
        <v>16621</v>
      </c>
      <c r="X15" s="2">
        <v>32639</v>
      </c>
      <c r="Y15" s="2">
        <f>SUM(O15:R15)</f>
        <v>81708.509218049992</v>
      </c>
      <c r="Z15" s="2">
        <f>Z14*0.3948</f>
        <v>126771.88461623703</v>
      </c>
      <c r="AA15" s="2">
        <f t="shared" ref="AA15:AC15" si="1">AA14*0.3948</f>
        <v>197142.94017093797</v>
      </c>
      <c r="AB15" s="2">
        <f t="shared" si="1"/>
        <v>292009.60158769652</v>
      </c>
      <c r="AC15" s="2">
        <f t="shared" si="1"/>
        <v>409247.52615462255</v>
      </c>
    </row>
    <row r="16" spans="1:29" x14ac:dyDescent="0.25">
      <c r="B16" s="2" t="s">
        <v>23</v>
      </c>
      <c r="C16" s="2">
        <f>+C14-C15</f>
        <v>5431</v>
      </c>
      <c r="D16" s="2">
        <f>+D14-D15</f>
        <v>2915</v>
      </c>
      <c r="E16" s="2">
        <f>+E14-E15</f>
        <v>3177</v>
      </c>
      <c r="G16" s="2">
        <f>+G14-G15</f>
        <v>4648</v>
      </c>
      <c r="H16" s="2">
        <f>+H14-H15</f>
        <v>9462</v>
      </c>
      <c r="I16" s="2">
        <f>+I14-I15</f>
        <v>13400</v>
      </c>
      <c r="K16" s="2">
        <f>+K14-K15</f>
        <v>20406</v>
      </c>
      <c r="L16" s="2">
        <f>+L14-L15</f>
        <v>22574</v>
      </c>
      <c r="M16" s="2">
        <f>+M14-M15</f>
        <v>26156</v>
      </c>
      <c r="O16" s="2">
        <f>+O14-O15</f>
        <v>26668</v>
      </c>
      <c r="P16" s="2">
        <f>+P14-P15</f>
        <v>30266.626939999998</v>
      </c>
      <c r="Q16" s="2">
        <f>+Q14-Q15</f>
        <v>33074.8708358</v>
      </c>
      <c r="R16" s="2">
        <f>+R14-R15</f>
        <v>35248.018381150003</v>
      </c>
      <c r="T16" s="9"/>
      <c r="U16" s="2">
        <f>+U14-U15</f>
        <v>17475</v>
      </c>
      <c r="V16" s="2">
        <f>+V14-V15</f>
        <v>15356</v>
      </c>
      <c r="W16" s="2">
        <f>+W14-W15</f>
        <v>44301</v>
      </c>
      <c r="X16" s="2">
        <f>+X14-X15</f>
        <v>97858</v>
      </c>
      <c r="Y16" s="2">
        <f>+Y14-Y15</f>
        <v>125257.51615695003</v>
      </c>
      <c r="Z16" s="2">
        <f>+Z14-Z15</f>
        <v>194332.17976126308</v>
      </c>
      <c r="AA16" s="2">
        <f>+AA14-AA15</f>
        <v>302205.9457736871</v>
      </c>
      <c r="AB16" s="2">
        <f>+AB14-AB15</f>
        <v>447629.71347739099</v>
      </c>
      <c r="AC16" s="2">
        <f>+AC14-AC15</f>
        <v>627347.01830997365</v>
      </c>
    </row>
    <row r="17" spans="2:795" x14ac:dyDescent="0.25">
      <c r="B17" s="2" t="s">
        <v>24</v>
      </c>
      <c r="C17" s="2">
        <f>SUM(C18:C19)</f>
        <v>3563</v>
      </c>
      <c r="D17" s="2">
        <f>SUM(D18:D19)</f>
        <v>2416</v>
      </c>
      <c r="E17" s="2">
        <f>SUM(E18:E19)</f>
        <v>2576</v>
      </c>
      <c r="G17" s="2">
        <f>SUM(G18:G19)</f>
        <v>2508</v>
      </c>
      <c r="H17" s="2">
        <f>SUM(H18:H19)</f>
        <v>2662</v>
      </c>
      <c r="I17" s="2">
        <f>SUM(I18:I19)</f>
        <v>2983</v>
      </c>
      <c r="K17" s="2">
        <f>SUM(K18:K19)</f>
        <v>3497</v>
      </c>
      <c r="L17" s="2">
        <f>SUM(L18:L19)</f>
        <v>3932</v>
      </c>
      <c r="M17" s="2">
        <f>SUM(M18:M19)</f>
        <v>4287</v>
      </c>
      <c r="O17" s="2">
        <f>SUM(O18:O19)</f>
        <v>5030</v>
      </c>
      <c r="P17" s="2">
        <f>SUM(P18:P19)</f>
        <v>6036</v>
      </c>
      <c r="Q17" s="2">
        <f>SUM(Q18:Q19)</f>
        <v>7243.2</v>
      </c>
      <c r="R17" s="2">
        <f>SUM(R18:R19)</f>
        <v>8691.84</v>
      </c>
      <c r="T17" s="9"/>
      <c r="U17" s="2">
        <f>SUM(U18:U19)</f>
        <v>7434</v>
      </c>
      <c r="V17" s="2">
        <f>SUM(V18:V19)</f>
        <v>11132</v>
      </c>
      <c r="W17" s="2">
        <f>SUM(W18:W19)</f>
        <v>11329</v>
      </c>
      <c r="X17" s="2">
        <f>SUM(X18:X19)</f>
        <v>16405</v>
      </c>
      <c r="Y17" s="2">
        <f>SUM(Y18:Y19)</f>
        <v>27001.039999999997</v>
      </c>
      <c r="Z17" s="2">
        <f>SUM(Z18:Z19)</f>
        <v>31842.439199999993</v>
      </c>
      <c r="AA17" s="2">
        <f>SUM(AA18:AA19)</f>
        <v>37596.237359999992</v>
      </c>
      <c r="AB17" s="2">
        <f>SUM(AB18:AB19)</f>
        <v>44439.32618399999</v>
      </c>
      <c r="AC17" s="2">
        <f>SUM(AC18:AC19)</f>
        <v>52583.416907999992</v>
      </c>
    </row>
    <row r="18" spans="2:795" x14ac:dyDescent="0.25">
      <c r="B18" s="14" t="s">
        <v>25</v>
      </c>
      <c r="C18" s="2">
        <v>1618</v>
      </c>
      <c r="D18" s="2">
        <v>1824</v>
      </c>
      <c r="E18" s="2">
        <v>1945</v>
      </c>
      <c r="G18" s="2">
        <v>1875</v>
      </c>
      <c r="H18" s="2">
        <v>2040</v>
      </c>
      <c r="I18" s="2">
        <v>2294</v>
      </c>
      <c r="K18" s="2">
        <v>2720</v>
      </c>
      <c r="L18" s="2">
        <v>3090</v>
      </c>
      <c r="M18" s="2">
        <v>3390</v>
      </c>
      <c r="O18" s="2">
        <v>3989</v>
      </c>
      <c r="P18" s="2">
        <f>O18*1.2</f>
        <v>4786.8</v>
      </c>
      <c r="Q18" s="2">
        <f>P18*1.2</f>
        <v>5744.16</v>
      </c>
      <c r="R18" s="2">
        <f>Q18*1.2</f>
        <v>6892.9919999999993</v>
      </c>
      <c r="T18" s="9"/>
      <c r="U18" s="2">
        <v>5268</v>
      </c>
      <c r="V18" s="2">
        <v>7339</v>
      </c>
      <c r="W18" s="2">
        <v>8675</v>
      </c>
      <c r="X18" s="2">
        <v>12914</v>
      </c>
      <c r="Y18" s="2">
        <f>SUM(O18:R18)</f>
        <v>21412.951999999997</v>
      </c>
      <c r="Z18" s="2">
        <f>Y18*1.2</f>
        <v>25695.542399999995</v>
      </c>
      <c r="AA18" s="2">
        <f>Z18*1.2</f>
        <v>30834.650879999994</v>
      </c>
      <c r="AB18" s="2">
        <f>AA18*1.2</f>
        <v>37001.581055999988</v>
      </c>
      <c r="AC18" s="2">
        <f>AB18*1.2</f>
        <v>44401.897267199987</v>
      </c>
    </row>
    <row r="19" spans="2:795" x14ac:dyDescent="0.25">
      <c r="B19" s="14" t="s">
        <v>26</v>
      </c>
      <c r="C19" s="2">
        <f>592+1353</f>
        <v>1945</v>
      </c>
      <c r="D19" s="2">
        <v>592</v>
      </c>
      <c r="E19" s="2">
        <v>631</v>
      </c>
      <c r="G19" s="2">
        <v>633</v>
      </c>
      <c r="H19" s="2">
        <v>622</v>
      </c>
      <c r="I19" s="2">
        <v>689</v>
      </c>
      <c r="K19" s="2">
        <v>777</v>
      </c>
      <c r="L19" s="2">
        <v>842</v>
      </c>
      <c r="M19" s="2">
        <v>897</v>
      </c>
      <c r="O19" s="2">
        <v>1041</v>
      </c>
      <c r="P19" s="2">
        <f>O19*1.2</f>
        <v>1249.2</v>
      </c>
      <c r="Q19" s="2">
        <f>P19*1.2</f>
        <v>1499.04</v>
      </c>
      <c r="R19" s="2">
        <f>Q19*1.2</f>
        <v>1798.848</v>
      </c>
      <c r="T19" s="9"/>
      <c r="U19" s="2">
        <v>2166</v>
      </c>
      <c r="V19" s="2">
        <f>2440+1353</f>
        <v>3793</v>
      </c>
      <c r="W19" s="2">
        <v>2654</v>
      </c>
      <c r="X19" s="2">
        <v>3491</v>
      </c>
      <c r="Y19" s="2">
        <f>SUM(O19:R19)</f>
        <v>5588.0879999999997</v>
      </c>
      <c r="Z19" s="2">
        <f>Y19*1.1</f>
        <v>6146.8968000000004</v>
      </c>
      <c r="AA19" s="2">
        <f>Z19*1.1</f>
        <v>6761.5864800000008</v>
      </c>
      <c r="AB19" s="2">
        <f>AA19*1.1</f>
        <v>7437.7451280000014</v>
      </c>
      <c r="AC19" s="2">
        <f>AB19*1.1</f>
        <v>8181.519640800002</v>
      </c>
    </row>
    <row r="20" spans="2:795" x14ac:dyDescent="0.25">
      <c r="B20" s="2" t="s">
        <v>27</v>
      </c>
      <c r="C20" s="2">
        <f>+C16-C17</f>
        <v>1868</v>
      </c>
      <c r="D20" s="2">
        <f>+D16-D17</f>
        <v>499</v>
      </c>
      <c r="E20" s="2">
        <f>+E16-E17</f>
        <v>601</v>
      </c>
      <c r="G20" s="2">
        <f>+G16-G17</f>
        <v>2140</v>
      </c>
      <c r="H20" s="2">
        <f>+H16-H17</f>
        <v>6800</v>
      </c>
      <c r="I20" s="2">
        <f>+I16-I17</f>
        <v>10417</v>
      </c>
      <c r="K20" s="2">
        <f>+K16-K17</f>
        <v>16909</v>
      </c>
      <c r="L20" s="2">
        <f>+L16-L17</f>
        <v>18642</v>
      </c>
      <c r="M20" s="2">
        <f>+M16-M17</f>
        <v>21869</v>
      </c>
      <c r="O20" s="2">
        <f>+O16-O17</f>
        <v>21638</v>
      </c>
      <c r="P20" s="2">
        <f>+P16-P17</f>
        <v>24230.626939999998</v>
      </c>
      <c r="Q20" s="2">
        <f>+Q16-Q17</f>
        <v>25831.6708358</v>
      </c>
      <c r="R20" s="2">
        <f>+R16-R17</f>
        <v>26556.178381150003</v>
      </c>
      <c r="T20" s="9"/>
      <c r="U20" s="2">
        <f>+U16-U17</f>
        <v>10041</v>
      </c>
      <c r="V20" s="2">
        <f>+V16-V17</f>
        <v>4224</v>
      </c>
      <c r="W20" s="2">
        <f>+W16-W17</f>
        <v>32972</v>
      </c>
      <c r="X20" s="2">
        <f>+X16-X17</f>
        <v>81453</v>
      </c>
      <c r="Y20" s="2">
        <f>+Y16-Y17</f>
        <v>98256.476156950041</v>
      </c>
      <c r="Z20" s="2">
        <f>+Z16-Z17</f>
        <v>162489.74056126308</v>
      </c>
      <c r="AA20" s="2">
        <f t="shared" ref="AA20:AC20" si="2">+AA16-AA17</f>
        <v>264609.70841368713</v>
      </c>
      <c r="AB20" s="2">
        <f t="shared" si="2"/>
        <v>403190.38729339099</v>
      </c>
      <c r="AC20" s="2">
        <f t="shared" si="2"/>
        <v>574763.60140197363</v>
      </c>
    </row>
    <row r="21" spans="2:795" x14ac:dyDescent="0.25">
      <c r="B21" s="2" t="s">
        <v>28</v>
      </c>
      <c r="C21" s="2">
        <f>18-68-13</f>
        <v>-63</v>
      </c>
      <c r="D21" s="2">
        <f>46-65-5</f>
        <v>-24</v>
      </c>
      <c r="E21" s="2">
        <f>88-65-11</f>
        <v>12</v>
      </c>
      <c r="G21" s="2">
        <f>150-66-15</f>
        <v>69</v>
      </c>
      <c r="H21" s="2">
        <f>187-65+59</f>
        <v>181</v>
      </c>
      <c r="I21" s="2">
        <f>234-63-66</f>
        <v>105</v>
      </c>
      <c r="K21" s="2">
        <f>359-64+75</f>
        <v>370</v>
      </c>
      <c r="L21" s="2">
        <f>444-61+189</f>
        <v>572</v>
      </c>
      <c r="M21" s="2">
        <f>472-61+36</f>
        <v>447</v>
      </c>
      <c r="O21" s="2">
        <f>515-63-180</f>
        <v>272</v>
      </c>
      <c r="P21" s="2">
        <f>O21*1.1</f>
        <v>299.20000000000005</v>
      </c>
      <c r="Q21" s="2">
        <f>P21*1.1</f>
        <v>329.12000000000006</v>
      </c>
      <c r="R21" s="2">
        <f>Q21*1.1</f>
        <v>362.0320000000001</v>
      </c>
      <c r="T21" s="9"/>
      <c r="U21" s="2">
        <f>29-236+107</f>
        <v>-100</v>
      </c>
      <c r="V21" s="2">
        <f>267-262-48</f>
        <v>-43</v>
      </c>
      <c r="W21" s="2">
        <f>866-257+237</f>
        <v>846</v>
      </c>
      <c r="X21" s="2">
        <f>1786-247+1034</f>
        <v>2573</v>
      </c>
      <c r="Y21" s="2">
        <f>SUM(O21:R21)</f>
        <v>1262.3520000000003</v>
      </c>
      <c r="Z21" s="2">
        <f>Y21*1.1</f>
        <v>1388.5872000000004</v>
      </c>
      <c r="AA21" s="2">
        <f>Z21*1.1</f>
        <v>1527.4459200000006</v>
      </c>
      <c r="AB21" s="2">
        <f t="shared" ref="AB21:AC21" si="3">AA21*1.1</f>
        <v>1680.1905120000008</v>
      </c>
      <c r="AC21" s="2">
        <f t="shared" si="3"/>
        <v>1848.209563200001</v>
      </c>
    </row>
    <row r="22" spans="2:795" x14ac:dyDescent="0.25">
      <c r="B22" s="2" t="s">
        <v>29</v>
      </c>
      <c r="C22" s="2">
        <f>+C21+C20</f>
        <v>1805</v>
      </c>
      <c r="D22" s="2">
        <f>+D21+D20</f>
        <v>475</v>
      </c>
      <c r="E22" s="2">
        <f>+E21+E20</f>
        <v>613</v>
      </c>
      <c r="G22" s="2">
        <f>+G21+G20</f>
        <v>2209</v>
      </c>
      <c r="H22" s="2">
        <f>+H21+H20</f>
        <v>6981</v>
      </c>
      <c r="I22" s="2">
        <f>+I21+I20</f>
        <v>10522</v>
      </c>
      <c r="K22" s="2">
        <f>+K21+K20</f>
        <v>17279</v>
      </c>
      <c r="L22" s="2">
        <f>+L21+L20</f>
        <v>19214</v>
      </c>
      <c r="M22" s="2">
        <f>+M21+M20</f>
        <v>22316</v>
      </c>
      <c r="O22" s="2">
        <f>+O21+O20</f>
        <v>21910</v>
      </c>
      <c r="P22" s="2">
        <f>+P21+P20</f>
        <v>24529.826939999999</v>
      </c>
      <c r="Q22" s="2">
        <f>+Q21+Q20</f>
        <v>26160.790835799999</v>
      </c>
      <c r="R22" s="2">
        <f>+R21+R20</f>
        <v>26918.210381150002</v>
      </c>
      <c r="T22" s="9"/>
      <c r="U22" s="2">
        <f>+U21+U20</f>
        <v>9941</v>
      </c>
      <c r="V22" s="2">
        <f>+V21+V20</f>
        <v>4181</v>
      </c>
      <c r="W22" s="2">
        <f>+W21+W20</f>
        <v>33818</v>
      </c>
      <c r="X22" s="2">
        <f>+X21+X20</f>
        <v>84026</v>
      </c>
      <c r="Y22" s="2">
        <f>+Y21+Y20</f>
        <v>99518.82815695004</v>
      </c>
      <c r="Z22" s="2">
        <f>+Z21+Z20</f>
        <v>163878.32776126309</v>
      </c>
      <c r="AA22" s="2">
        <f>+AA21+AA20</f>
        <v>266137.15433368715</v>
      </c>
      <c r="AB22" s="2">
        <f>+AB21+AB20</f>
        <v>404870.57780539099</v>
      </c>
      <c r="AC22" s="2">
        <f>+AC21+AC20</f>
        <v>576611.81096517364</v>
      </c>
    </row>
    <row r="23" spans="2:795" x14ac:dyDescent="0.25">
      <c r="B23" s="2" t="s">
        <v>30</v>
      </c>
      <c r="C23" s="2">
        <v>-187</v>
      </c>
      <c r="D23" s="2">
        <v>181</v>
      </c>
      <c r="E23" s="2">
        <v>67</v>
      </c>
      <c r="G23" s="2">
        <v>-166</v>
      </c>
      <c r="H23" s="2">
        <v>-793</v>
      </c>
      <c r="I23" s="2">
        <v>-1279</v>
      </c>
      <c r="K23" s="2">
        <v>-2398</v>
      </c>
      <c r="L23" s="2">
        <v>-2615</v>
      </c>
      <c r="M23" s="2">
        <v>-3007</v>
      </c>
      <c r="O23" s="2">
        <v>-3135</v>
      </c>
      <c r="P23" s="2">
        <f>P22*-0.1431</f>
        <v>-3510.218235114</v>
      </c>
      <c r="Q23" s="2">
        <f>Q22*-0.1431</f>
        <v>-3743.6091686029799</v>
      </c>
      <c r="R23" s="2">
        <f t="shared" ref="Q23:R23" si="4">R22*-0.1431</f>
        <v>-3851.9959055425652</v>
      </c>
      <c r="T23" s="9"/>
      <c r="U23" s="2">
        <v>-189</v>
      </c>
      <c r="V23" s="2">
        <v>187</v>
      </c>
      <c r="W23" s="2">
        <v>-4058</v>
      </c>
      <c r="X23" s="2">
        <v>-11146</v>
      </c>
      <c r="Y23" s="2">
        <f>SUM(O23:R23)</f>
        <v>-14240.823309259544</v>
      </c>
      <c r="Z23" s="2">
        <f>Z22*-0.1431</f>
        <v>-23450.988702636751</v>
      </c>
      <c r="AA23" s="2">
        <f>AA22*-0.1431</f>
        <v>-38084.226785150633</v>
      </c>
      <c r="AB23" s="2">
        <f>AB22*-0.1431</f>
        <v>-57936.979683951453</v>
      </c>
      <c r="AC23" s="2">
        <f>AC22*-0.1431</f>
        <v>-82513.150149116351</v>
      </c>
    </row>
    <row r="24" spans="2:795" x14ac:dyDescent="0.25">
      <c r="B24" s="17" t="s">
        <v>31</v>
      </c>
      <c r="C24" s="17">
        <f>SUM(C22:C23)</f>
        <v>1618</v>
      </c>
      <c r="D24" s="17">
        <f>SUM(D22:D23)</f>
        <v>656</v>
      </c>
      <c r="E24" s="17">
        <f>SUM(E22:E23)</f>
        <v>680</v>
      </c>
      <c r="F24" s="17"/>
      <c r="G24" s="17">
        <f>SUM(G22:G23)</f>
        <v>2043</v>
      </c>
      <c r="H24" s="17">
        <f>SUM(H22:H23)</f>
        <v>6188</v>
      </c>
      <c r="I24" s="17">
        <f>SUM(I22:I23)</f>
        <v>9243</v>
      </c>
      <c r="J24" s="17"/>
      <c r="K24" s="17">
        <f>SUM(K22:K23)</f>
        <v>14881</v>
      </c>
      <c r="L24" s="17">
        <f>SUM(L22:L23)</f>
        <v>16599</v>
      </c>
      <c r="M24" s="17">
        <f>SUM(M22:M23)</f>
        <v>19309</v>
      </c>
      <c r="N24" s="17"/>
      <c r="O24" s="17">
        <f>SUM(O22:O23)</f>
        <v>18775</v>
      </c>
      <c r="P24" s="17">
        <f>SUM(P22:P23)</f>
        <v>21019.608704885999</v>
      </c>
      <c r="Q24" s="17">
        <f>SUM(Q22:Q23)</f>
        <v>22417.181667197019</v>
      </c>
      <c r="R24" s="17">
        <f>SUM(R22:R23)</f>
        <v>23066.214475607438</v>
      </c>
      <c r="T24" s="9"/>
      <c r="U24" s="17">
        <f>SUM(U22:U23)</f>
        <v>9752</v>
      </c>
      <c r="V24" s="17">
        <f>SUM(V22:V23)</f>
        <v>4368</v>
      </c>
      <c r="W24" s="17">
        <f>SUM(W22:W23)</f>
        <v>29760</v>
      </c>
      <c r="X24" s="17">
        <f>SUM(X22:X23)</f>
        <v>72880</v>
      </c>
      <c r="Y24" s="17">
        <f>SUM(Y22:Y23)</f>
        <v>85278.004847690492</v>
      </c>
      <c r="Z24" s="17">
        <f>SUM(Z22:Z23)</f>
        <v>140427.33905862633</v>
      </c>
      <c r="AA24" s="17">
        <f>SUM(AA22:AA23)</f>
        <v>228052.92754853651</v>
      </c>
      <c r="AB24" s="17">
        <f>SUM(AB22:AB23)</f>
        <v>346933.59812143951</v>
      </c>
      <c r="AC24" s="17">
        <f>SUM(AC22:AC23)</f>
        <v>494098.66081605729</v>
      </c>
      <c r="AD24" s="2">
        <f>AC24*(1+$C$114)</f>
        <v>499039.6474242179</v>
      </c>
      <c r="AE24" s="2">
        <f>AD24*(1+$C$114)</f>
        <v>504030.04389846011</v>
      </c>
      <c r="AF24" s="2">
        <f>AE24*(1+$C$114)</f>
        <v>509070.34433744469</v>
      </c>
      <c r="AG24" s="2">
        <f t="shared" ref="AE24:CP24" si="5">AF24*(1+$C$114)</f>
        <v>514161.04778081912</v>
      </c>
      <c r="AH24" s="2">
        <f t="shared" si="5"/>
        <v>519302.65825862734</v>
      </c>
      <c r="AI24" s="2">
        <f t="shared" si="5"/>
        <v>524495.68484121363</v>
      </c>
      <c r="AJ24" s="2">
        <f t="shared" si="5"/>
        <v>529740.6416896258</v>
      </c>
      <c r="AK24" s="2">
        <f>AJ24*(1+$C$114)</f>
        <v>535038.04810652207</v>
      </c>
      <c r="AL24" s="2">
        <f t="shared" ref="AL24:CW24" si="6">AK24*(1+$C$114)</f>
        <v>540388.42858758732</v>
      </c>
      <c r="AM24" s="2">
        <f t="shared" si="6"/>
        <v>545792.31287346315</v>
      </c>
      <c r="AN24" s="2">
        <f t="shared" si="6"/>
        <v>551250.23600219784</v>
      </c>
      <c r="AO24" s="2">
        <f t="shared" si="6"/>
        <v>556762.73836221977</v>
      </c>
      <c r="AP24" s="2">
        <f t="shared" si="6"/>
        <v>562330.36574584199</v>
      </c>
      <c r="AQ24" s="2">
        <f t="shared" si="6"/>
        <v>567953.66940330039</v>
      </c>
      <c r="AR24" s="2">
        <f t="shared" si="6"/>
        <v>573633.20609733334</v>
      </c>
      <c r="AS24" s="2">
        <f t="shared" si="6"/>
        <v>579369.53815830674</v>
      </c>
      <c r="AT24" s="2">
        <f t="shared" si="6"/>
        <v>585163.2335398898</v>
      </c>
      <c r="AU24" s="2">
        <f t="shared" si="6"/>
        <v>591014.86587528873</v>
      </c>
      <c r="AV24" s="2">
        <f t="shared" si="6"/>
        <v>596925.01453404163</v>
      </c>
      <c r="AW24" s="2">
        <f t="shared" si="6"/>
        <v>602894.26467938209</v>
      </c>
      <c r="AX24" s="2">
        <f t="shared" si="6"/>
        <v>608923.20732617588</v>
      </c>
      <c r="AY24" s="2">
        <f t="shared" si="6"/>
        <v>615012.43939943763</v>
      </c>
      <c r="AZ24" s="2">
        <f t="shared" si="6"/>
        <v>621162.56379343197</v>
      </c>
      <c r="BA24" s="2">
        <f t="shared" si="6"/>
        <v>627374.18943136628</v>
      </c>
      <c r="BB24" s="2">
        <f t="shared" si="6"/>
        <v>633647.93132567999</v>
      </c>
      <c r="BC24" s="2">
        <f t="shared" si="6"/>
        <v>639984.4106389368</v>
      </c>
      <c r="BD24" s="2">
        <f t="shared" si="6"/>
        <v>646384.25474532612</v>
      </c>
      <c r="BE24" s="2">
        <f t="shared" si="6"/>
        <v>652848.09729277936</v>
      </c>
      <c r="BF24" s="2">
        <f t="shared" si="6"/>
        <v>659376.57826570712</v>
      </c>
      <c r="BG24" s="2">
        <f t="shared" si="6"/>
        <v>665970.3440483642</v>
      </c>
      <c r="BH24" s="2">
        <f t="shared" si="6"/>
        <v>672630.04748884786</v>
      </c>
      <c r="BI24" s="2">
        <f t="shared" si="6"/>
        <v>679356.34796373639</v>
      </c>
      <c r="BJ24" s="2">
        <f t="shared" si="6"/>
        <v>686149.91144337377</v>
      </c>
      <c r="BK24" s="2">
        <f t="shared" si="6"/>
        <v>693011.41055780754</v>
      </c>
      <c r="BL24" s="2">
        <f t="shared" si="6"/>
        <v>699941.52466338559</v>
      </c>
      <c r="BM24" s="2">
        <f t="shared" si="6"/>
        <v>706940.9399100194</v>
      </c>
      <c r="BN24" s="2">
        <f t="shared" si="6"/>
        <v>714010.34930911963</v>
      </c>
      <c r="BO24" s="2">
        <f t="shared" si="6"/>
        <v>721150.45280221081</v>
      </c>
      <c r="BP24" s="2">
        <f t="shared" si="6"/>
        <v>728361.95733023295</v>
      </c>
      <c r="BQ24" s="2">
        <f t="shared" si="6"/>
        <v>735645.57690353529</v>
      </c>
      <c r="BR24" s="2">
        <f t="shared" si="6"/>
        <v>743002.03267257067</v>
      </c>
      <c r="BS24" s="2">
        <f t="shared" si="6"/>
        <v>750432.05299929634</v>
      </c>
      <c r="BT24" s="2">
        <f t="shared" si="6"/>
        <v>757936.37352928927</v>
      </c>
      <c r="BU24" s="2">
        <f t="shared" si="6"/>
        <v>765515.73726458219</v>
      </c>
      <c r="BV24" s="2">
        <f t="shared" si="6"/>
        <v>773170.89463722799</v>
      </c>
      <c r="BW24" s="2">
        <f t="shared" si="6"/>
        <v>780902.60358360026</v>
      </c>
      <c r="BX24" s="2">
        <f t="shared" si="6"/>
        <v>788711.62961943622</v>
      </c>
      <c r="BY24" s="2">
        <f t="shared" si="6"/>
        <v>796598.7459156306</v>
      </c>
      <c r="BZ24" s="2">
        <f t="shared" si="6"/>
        <v>804564.73337478691</v>
      </c>
      <c r="CA24" s="2">
        <f t="shared" si="6"/>
        <v>812610.38070853474</v>
      </c>
      <c r="CB24" s="2">
        <f t="shared" si="6"/>
        <v>820736.48451562005</v>
      </c>
      <c r="CC24" s="2">
        <f t="shared" si="6"/>
        <v>828943.84936077625</v>
      </c>
      <c r="CD24" s="2">
        <f t="shared" si="6"/>
        <v>837233.28785438405</v>
      </c>
      <c r="CE24" s="2">
        <f t="shared" si="6"/>
        <v>845605.62073292793</v>
      </c>
      <c r="CF24" s="2">
        <f t="shared" si="6"/>
        <v>854061.6769402572</v>
      </c>
      <c r="CG24" s="2">
        <f t="shared" si="6"/>
        <v>862602.29370965983</v>
      </c>
      <c r="CH24" s="2">
        <f t="shared" si="6"/>
        <v>871228.31664675649</v>
      </c>
      <c r="CI24" s="2">
        <f t="shared" si="6"/>
        <v>879940.59981322405</v>
      </c>
      <c r="CJ24" s="2">
        <f t="shared" si="6"/>
        <v>888740.00581135624</v>
      </c>
      <c r="CK24" s="2">
        <f t="shared" si="6"/>
        <v>897627.40586946986</v>
      </c>
      <c r="CL24" s="2">
        <f t="shared" si="6"/>
        <v>906603.67992816458</v>
      </c>
      <c r="CM24" s="2">
        <f t="shared" si="6"/>
        <v>915669.71672744618</v>
      </c>
      <c r="CN24" s="2">
        <f t="shared" si="6"/>
        <v>924826.41389472061</v>
      </c>
      <c r="CO24" s="2">
        <f t="shared" si="6"/>
        <v>934074.67803366785</v>
      </c>
      <c r="CP24" s="2">
        <f t="shared" si="6"/>
        <v>943415.42481400457</v>
      </c>
      <c r="CQ24" s="2">
        <f t="shared" si="6"/>
        <v>952849.57906214462</v>
      </c>
      <c r="CR24" s="2">
        <f t="shared" si="6"/>
        <v>962378.07485276612</v>
      </c>
      <c r="CS24" s="2">
        <f t="shared" si="6"/>
        <v>972001.85560129373</v>
      </c>
      <c r="CT24" s="2">
        <f t="shared" si="6"/>
        <v>981721.87415730662</v>
      </c>
      <c r="CU24" s="2">
        <f t="shared" si="6"/>
        <v>991539.09289887967</v>
      </c>
      <c r="CV24" s="2">
        <f t="shared" si="6"/>
        <v>1001454.4838278685</v>
      </c>
      <c r="CW24" s="2">
        <f t="shared" si="6"/>
        <v>1011469.0286661471</v>
      </c>
      <c r="CX24" s="2">
        <f t="shared" ref="CX24:FI24" si="7">CW24*(1+$C$114)</f>
        <v>1021583.7189528086</v>
      </c>
      <c r="CY24" s="2">
        <f t="shared" si="7"/>
        <v>1031799.5561423367</v>
      </c>
      <c r="CZ24" s="2">
        <f t="shared" si="7"/>
        <v>1042117.5517037601</v>
      </c>
      <c r="DA24" s="2">
        <f t="shared" si="7"/>
        <v>1052538.7272207977</v>
      </c>
      <c r="DB24" s="2">
        <f t="shared" si="7"/>
        <v>1063064.1144930057</v>
      </c>
      <c r="DC24" s="2">
        <f t="shared" si="7"/>
        <v>1073694.7556379358</v>
      </c>
      <c r="DD24" s="2">
        <f t="shared" si="7"/>
        <v>1084431.7031943153</v>
      </c>
      <c r="DE24" s="2">
        <f t="shared" si="7"/>
        <v>1095276.0202262586</v>
      </c>
      <c r="DF24" s="2">
        <f t="shared" si="7"/>
        <v>1106228.7804285211</v>
      </c>
      <c r="DG24" s="2">
        <f t="shared" si="7"/>
        <v>1117291.0682328064</v>
      </c>
      <c r="DH24" s="2">
        <f t="shared" si="7"/>
        <v>1128463.9789151344</v>
      </c>
      <c r="DI24" s="2">
        <f t="shared" si="7"/>
        <v>1139748.6187042857</v>
      </c>
      <c r="DJ24" s="2">
        <f t="shared" si="7"/>
        <v>1151146.1048913286</v>
      </c>
      <c r="DK24" s="2">
        <f t="shared" si="7"/>
        <v>1162657.5659402418</v>
      </c>
      <c r="DL24" s="2">
        <f t="shared" si="7"/>
        <v>1174284.1415996442</v>
      </c>
      <c r="DM24" s="2">
        <f t="shared" si="7"/>
        <v>1186026.9830156406</v>
      </c>
      <c r="DN24" s="2">
        <f t="shared" si="7"/>
        <v>1197887.252845797</v>
      </c>
      <c r="DO24" s="2">
        <f t="shared" si="7"/>
        <v>1209866.125374255</v>
      </c>
      <c r="DP24" s="2">
        <f t="shared" si="7"/>
        <v>1221964.7866279976</v>
      </c>
      <c r="DQ24" s="2">
        <f t="shared" si="7"/>
        <v>1234184.4344942777</v>
      </c>
      <c r="DR24" s="2">
        <f t="shared" si="7"/>
        <v>1246526.2788392205</v>
      </c>
      <c r="DS24" s="2">
        <f t="shared" si="7"/>
        <v>1258991.5416276127</v>
      </c>
      <c r="DT24" s="2">
        <f t="shared" si="7"/>
        <v>1271581.4570438887</v>
      </c>
      <c r="DU24" s="2">
        <f t="shared" si="7"/>
        <v>1284297.2716143276</v>
      </c>
      <c r="DV24" s="2">
        <f t="shared" si="7"/>
        <v>1297140.2443304709</v>
      </c>
      <c r="DW24" s="2">
        <f t="shared" si="7"/>
        <v>1310111.6467737756</v>
      </c>
      <c r="DX24" s="2">
        <f t="shared" si="7"/>
        <v>1323212.7632415134</v>
      </c>
      <c r="DY24" s="2">
        <f t="shared" si="7"/>
        <v>1336444.8908739286</v>
      </c>
      <c r="DZ24" s="2">
        <f t="shared" si="7"/>
        <v>1349809.3397826678</v>
      </c>
      <c r="EA24" s="2">
        <f t="shared" si="7"/>
        <v>1363307.4331804945</v>
      </c>
      <c r="EB24" s="2">
        <f t="shared" si="7"/>
        <v>1376940.5075122993</v>
      </c>
      <c r="EC24" s="2">
        <f t="shared" si="7"/>
        <v>1390709.9125874224</v>
      </c>
      <c r="ED24" s="2">
        <f t="shared" si="7"/>
        <v>1404617.0117132966</v>
      </c>
      <c r="EE24" s="2">
        <f t="shared" si="7"/>
        <v>1418663.1818304297</v>
      </c>
      <c r="EF24" s="2">
        <f t="shared" si="7"/>
        <v>1432849.813648734</v>
      </c>
      <c r="EG24" s="2">
        <f t="shared" si="7"/>
        <v>1447178.3117852213</v>
      </c>
      <c r="EH24" s="2">
        <f t="shared" si="7"/>
        <v>1461650.0949030735</v>
      </c>
      <c r="EI24" s="2">
        <f t="shared" si="7"/>
        <v>1476266.5958521042</v>
      </c>
      <c r="EJ24" s="2">
        <f t="shared" si="7"/>
        <v>1491029.2618106252</v>
      </c>
      <c r="EK24" s="2">
        <f t="shared" si="7"/>
        <v>1505939.5544287316</v>
      </c>
      <c r="EL24" s="2">
        <f t="shared" si="7"/>
        <v>1520998.9499730188</v>
      </c>
      <c r="EM24" s="2">
        <f t="shared" si="7"/>
        <v>1536208.9394727491</v>
      </c>
      <c r="EN24" s="2">
        <f t="shared" si="7"/>
        <v>1551571.0288674766</v>
      </c>
      <c r="EO24" s="2">
        <f t="shared" si="7"/>
        <v>1567086.7391561514</v>
      </c>
      <c r="EP24" s="2">
        <f t="shared" si="7"/>
        <v>1582757.606547713</v>
      </c>
      <c r="EQ24" s="2">
        <f t="shared" si="7"/>
        <v>1598585.1826131903</v>
      </c>
      <c r="ER24" s="2">
        <f t="shared" si="7"/>
        <v>1614571.0344393221</v>
      </c>
      <c r="ES24" s="2">
        <f t="shared" si="7"/>
        <v>1630716.7447837153</v>
      </c>
      <c r="ET24" s="2">
        <f t="shared" si="7"/>
        <v>1647023.9122315524</v>
      </c>
      <c r="EU24" s="2">
        <f t="shared" si="7"/>
        <v>1663494.151353868</v>
      </c>
      <c r="EV24" s="2">
        <f t="shared" si="7"/>
        <v>1680129.0928674066</v>
      </c>
      <c r="EW24" s="2">
        <f t="shared" si="7"/>
        <v>1696930.3837960807</v>
      </c>
      <c r="EX24" s="2">
        <f t="shared" si="7"/>
        <v>1713899.6876340415</v>
      </c>
      <c r="EY24" s="2">
        <f t="shared" si="7"/>
        <v>1731038.6845103819</v>
      </c>
      <c r="EZ24" s="2">
        <f t="shared" si="7"/>
        <v>1748349.0713554858</v>
      </c>
      <c r="FA24" s="2">
        <f t="shared" si="7"/>
        <v>1765832.5620690407</v>
      </c>
      <c r="FB24" s="2">
        <f t="shared" si="7"/>
        <v>1783490.8876897311</v>
      </c>
      <c r="FC24" s="2">
        <f t="shared" si="7"/>
        <v>1801325.7965666284</v>
      </c>
      <c r="FD24" s="2">
        <f t="shared" si="7"/>
        <v>1819339.0545322946</v>
      </c>
      <c r="FE24" s="2">
        <f t="shared" si="7"/>
        <v>1837532.4450776177</v>
      </c>
      <c r="FF24" s="2">
        <f t="shared" si="7"/>
        <v>1855907.7695283939</v>
      </c>
      <c r="FG24" s="2">
        <f t="shared" si="7"/>
        <v>1874466.8472236779</v>
      </c>
      <c r="FH24" s="2">
        <f t="shared" si="7"/>
        <v>1893211.5156959146</v>
      </c>
      <c r="FI24" s="2">
        <f t="shared" si="7"/>
        <v>1912143.6308528739</v>
      </c>
      <c r="FJ24" s="2">
        <f t="shared" ref="FJ24:HU24" si="8">FI24*(1+$C$114)</f>
        <v>1931265.0671614027</v>
      </c>
      <c r="FK24" s="2">
        <f t="shared" si="8"/>
        <v>1950577.7178330168</v>
      </c>
      <c r="FL24" s="2">
        <f t="shared" si="8"/>
        <v>1970083.4950113469</v>
      </c>
      <c r="FM24" s="2">
        <f t="shared" si="8"/>
        <v>1989784.3299614603</v>
      </c>
      <c r="FN24" s="2">
        <f t="shared" si="8"/>
        <v>2009682.173261075</v>
      </c>
      <c r="FO24" s="2">
        <f t="shared" si="8"/>
        <v>2029778.9949936857</v>
      </c>
      <c r="FP24" s="2">
        <f t="shared" si="8"/>
        <v>2050076.7849436225</v>
      </c>
      <c r="FQ24" s="2">
        <f t="shared" si="8"/>
        <v>2070577.5527930588</v>
      </c>
      <c r="FR24" s="2">
        <f t="shared" si="8"/>
        <v>2091283.3283209894</v>
      </c>
      <c r="FS24" s="2">
        <f t="shared" si="8"/>
        <v>2112196.1616041991</v>
      </c>
      <c r="FT24" s="2">
        <f t="shared" si="8"/>
        <v>2133318.1232202412</v>
      </c>
      <c r="FU24" s="2">
        <f t="shared" si="8"/>
        <v>2154651.3044524435</v>
      </c>
      <c r="FV24" s="2">
        <f t="shared" si="8"/>
        <v>2176197.817496968</v>
      </c>
      <c r="FW24" s="2">
        <f t="shared" si="8"/>
        <v>2197959.7956719375</v>
      </c>
      <c r="FX24" s="2">
        <f t="shared" si="8"/>
        <v>2219939.3936286569</v>
      </c>
      <c r="FY24" s="2">
        <f t="shared" si="8"/>
        <v>2242138.7875649435</v>
      </c>
      <c r="FZ24" s="2">
        <f t="shared" si="8"/>
        <v>2264560.1754405932</v>
      </c>
      <c r="GA24" s="2">
        <f t="shared" si="8"/>
        <v>2287205.7771949992</v>
      </c>
      <c r="GB24" s="2">
        <f t="shared" si="8"/>
        <v>2310077.8349669492</v>
      </c>
      <c r="GC24" s="2">
        <f t="shared" si="8"/>
        <v>2333178.6133166188</v>
      </c>
      <c r="GD24" s="2">
        <f t="shared" si="8"/>
        <v>2356510.3994497852</v>
      </c>
      <c r="GE24" s="2">
        <f t="shared" si="8"/>
        <v>2380075.5034442833</v>
      </c>
      <c r="GF24" s="2">
        <f t="shared" si="8"/>
        <v>2403876.2584787263</v>
      </c>
      <c r="GG24" s="2">
        <f t="shared" si="8"/>
        <v>2427915.0210635136</v>
      </c>
      <c r="GH24" s="2">
        <f t="shared" si="8"/>
        <v>2452194.1712741489</v>
      </c>
      <c r="GI24" s="2">
        <f t="shared" si="8"/>
        <v>2476716.1129868906</v>
      </c>
      <c r="GJ24" s="2">
        <f t="shared" si="8"/>
        <v>2501483.2741167597</v>
      </c>
      <c r="GK24" s="2">
        <f t="shared" si="8"/>
        <v>2526498.1068579271</v>
      </c>
      <c r="GL24" s="2">
        <f t="shared" si="8"/>
        <v>2551763.0879265065</v>
      </c>
      <c r="GM24" s="2">
        <f t="shared" si="8"/>
        <v>2577280.7188057718</v>
      </c>
      <c r="GN24" s="2">
        <f t="shared" si="8"/>
        <v>2603053.5259938296</v>
      </c>
      <c r="GO24" s="2">
        <f t="shared" si="8"/>
        <v>2629084.0612537679</v>
      </c>
      <c r="GP24" s="2">
        <f t="shared" si="8"/>
        <v>2655374.9018663056</v>
      </c>
      <c r="GQ24" s="2">
        <f t="shared" si="8"/>
        <v>2681928.6508849687</v>
      </c>
      <c r="GR24" s="2">
        <f t="shared" si="8"/>
        <v>2708747.9373938185</v>
      </c>
      <c r="GS24" s="2">
        <f t="shared" si="8"/>
        <v>2735835.4167677569</v>
      </c>
      <c r="GT24" s="2">
        <f t="shared" si="8"/>
        <v>2763193.7709354344</v>
      </c>
      <c r="GU24" s="2">
        <f t="shared" si="8"/>
        <v>2790825.7086447887</v>
      </c>
      <c r="GV24" s="2">
        <f t="shared" si="8"/>
        <v>2818733.9657312366</v>
      </c>
      <c r="GW24" s="2">
        <f t="shared" si="8"/>
        <v>2846921.3053885489</v>
      </c>
      <c r="GX24" s="2">
        <f t="shared" si="8"/>
        <v>2875390.5184424343</v>
      </c>
      <c r="GY24" s="2">
        <f t="shared" si="8"/>
        <v>2904144.4236268587</v>
      </c>
      <c r="GZ24" s="2">
        <f t="shared" si="8"/>
        <v>2933185.8678631275</v>
      </c>
      <c r="HA24" s="2">
        <f t="shared" si="8"/>
        <v>2962517.726541759</v>
      </c>
      <c r="HB24" s="2">
        <f t="shared" si="8"/>
        <v>2992142.9038071767</v>
      </c>
      <c r="HC24" s="2">
        <f t="shared" si="8"/>
        <v>3022064.3328452487</v>
      </c>
      <c r="HD24" s="2">
        <f t="shared" si="8"/>
        <v>3052284.9761737012</v>
      </c>
      <c r="HE24" s="2">
        <f t="shared" si="8"/>
        <v>3082807.8259354383</v>
      </c>
      <c r="HF24" s="2">
        <f t="shared" si="8"/>
        <v>3113635.9041947927</v>
      </c>
      <c r="HG24" s="2">
        <f t="shared" si="8"/>
        <v>3144772.2632367406</v>
      </c>
      <c r="HH24" s="2">
        <f t="shared" si="8"/>
        <v>3176219.9858691082</v>
      </c>
      <c r="HI24" s="2">
        <f t="shared" si="8"/>
        <v>3207982.1857277993</v>
      </c>
      <c r="HJ24" s="2">
        <f t="shared" si="8"/>
        <v>3240062.0075850775</v>
      </c>
      <c r="HK24" s="2">
        <f t="shared" si="8"/>
        <v>3272462.6276609283</v>
      </c>
      <c r="HL24" s="2">
        <f t="shared" si="8"/>
        <v>3305187.2539375378</v>
      </c>
      <c r="HM24" s="2">
        <f t="shared" si="8"/>
        <v>3338239.1264769132</v>
      </c>
      <c r="HN24" s="2">
        <f t="shared" si="8"/>
        <v>3371621.5177416825</v>
      </c>
      <c r="HO24" s="2">
        <f t="shared" si="8"/>
        <v>3405337.7329190993</v>
      </c>
      <c r="HP24" s="2">
        <f t="shared" si="8"/>
        <v>3439391.1102482905</v>
      </c>
      <c r="HQ24" s="2">
        <f t="shared" si="8"/>
        <v>3473785.0213507735</v>
      </c>
      <c r="HR24" s="2">
        <f t="shared" si="8"/>
        <v>3508522.8715642812</v>
      </c>
      <c r="HS24" s="2">
        <f t="shared" si="8"/>
        <v>3543608.100279924</v>
      </c>
      <c r="HT24" s="2">
        <f t="shared" si="8"/>
        <v>3579044.1812827233</v>
      </c>
      <c r="HU24" s="2">
        <f t="shared" si="8"/>
        <v>3614834.6230955506</v>
      </c>
      <c r="HV24" s="2">
        <f t="shared" ref="HV24:KG24" si="9">HU24*(1+$C$114)</f>
        <v>3650982.9693265059</v>
      </c>
      <c r="HW24" s="2">
        <f t="shared" si="9"/>
        <v>3687492.7990197712</v>
      </c>
      <c r="HX24" s="2">
        <f t="shared" si="9"/>
        <v>3724367.7270099688</v>
      </c>
      <c r="HY24" s="2">
        <f t="shared" si="9"/>
        <v>3761611.4042800684</v>
      </c>
      <c r="HZ24" s="2">
        <f t="shared" si="9"/>
        <v>3799227.5183228692</v>
      </c>
      <c r="IA24" s="2">
        <f t="shared" si="9"/>
        <v>3837219.793506098</v>
      </c>
      <c r="IB24" s="2">
        <f t="shared" si="9"/>
        <v>3875591.991441159</v>
      </c>
      <c r="IC24" s="2">
        <f t="shared" si="9"/>
        <v>3914347.9113555709</v>
      </c>
      <c r="ID24" s="2">
        <f t="shared" si="9"/>
        <v>3953491.3904691264</v>
      </c>
      <c r="IE24" s="2">
        <f t="shared" si="9"/>
        <v>3993026.3043738175</v>
      </c>
      <c r="IF24" s="2">
        <f t="shared" si="9"/>
        <v>4032956.567417556</v>
      </c>
      <c r="IG24" s="2">
        <f t="shared" si="9"/>
        <v>4073286.1330917315</v>
      </c>
      <c r="IH24" s="2">
        <f t="shared" si="9"/>
        <v>4114018.994422649</v>
      </c>
      <c r="II24" s="2">
        <f t="shared" si="9"/>
        <v>4155159.1843668753</v>
      </c>
      <c r="IJ24" s="2">
        <f t="shared" si="9"/>
        <v>4196710.7762105437</v>
      </c>
      <c r="IK24" s="2">
        <f t="shared" si="9"/>
        <v>4238677.8839726495</v>
      </c>
      <c r="IL24" s="2">
        <f t="shared" si="9"/>
        <v>4281064.6628123764</v>
      </c>
      <c r="IM24" s="2">
        <f t="shared" si="9"/>
        <v>4323875.3094405001</v>
      </c>
      <c r="IN24" s="2">
        <f t="shared" si="9"/>
        <v>4367114.062534905</v>
      </c>
      <c r="IO24" s="2">
        <f t="shared" si="9"/>
        <v>4410785.2031602543</v>
      </c>
      <c r="IP24" s="2">
        <f t="shared" si="9"/>
        <v>4454893.0551918568</v>
      </c>
      <c r="IQ24" s="2">
        <f t="shared" si="9"/>
        <v>4499441.985743775</v>
      </c>
      <c r="IR24" s="2">
        <f t="shared" si="9"/>
        <v>4544436.4056012128</v>
      </c>
      <c r="IS24" s="2">
        <f t="shared" si="9"/>
        <v>4589880.7696572253</v>
      </c>
      <c r="IT24" s="2">
        <f t="shared" si="9"/>
        <v>4635779.5773537979</v>
      </c>
      <c r="IU24" s="2">
        <f t="shared" si="9"/>
        <v>4682137.3731273357</v>
      </c>
      <c r="IV24" s="2">
        <f t="shared" si="9"/>
        <v>4728958.7468586089</v>
      </c>
      <c r="IW24" s="2">
        <f t="shared" si="9"/>
        <v>4776248.3343271948</v>
      </c>
      <c r="IX24" s="2">
        <f t="shared" si="9"/>
        <v>4824010.8176704664</v>
      </c>
      <c r="IY24" s="2">
        <f t="shared" si="9"/>
        <v>4872250.9258471709</v>
      </c>
      <c r="IZ24" s="2">
        <f t="shared" si="9"/>
        <v>4920973.4351056423</v>
      </c>
      <c r="JA24" s="2">
        <f t="shared" si="9"/>
        <v>4970183.1694566989</v>
      </c>
      <c r="JB24" s="2">
        <f t="shared" si="9"/>
        <v>5019885.0011512656</v>
      </c>
      <c r="JC24" s="2">
        <f t="shared" si="9"/>
        <v>5070083.8511627782</v>
      </c>
      <c r="JD24" s="2">
        <f t="shared" si="9"/>
        <v>5120784.6896744063</v>
      </c>
      <c r="JE24" s="2">
        <f t="shared" si="9"/>
        <v>5171992.5365711506</v>
      </c>
      <c r="JF24" s="2">
        <f t="shared" si="9"/>
        <v>5223712.4619368622</v>
      </c>
      <c r="JG24" s="2">
        <f t="shared" si="9"/>
        <v>5275949.5865562307</v>
      </c>
      <c r="JH24" s="2">
        <f t="shared" si="9"/>
        <v>5328709.0824217927</v>
      </c>
      <c r="JI24" s="2">
        <f t="shared" si="9"/>
        <v>5381996.1732460102</v>
      </c>
      <c r="JJ24" s="2">
        <f t="shared" si="9"/>
        <v>5435816.1349784704</v>
      </c>
      <c r="JK24" s="2">
        <f t="shared" si="9"/>
        <v>5490174.296328255</v>
      </c>
      <c r="JL24" s="2">
        <f t="shared" si="9"/>
        <v>5545076.0392915374</v>
      </c>
      <c r="JM24" s="2">
        <f t="shared" si="9"/>
        <v>5600526.7996844528</v>
      </c>
      <c r="JN24" s="2">
        <f t="shared" si="9"/>
        <v>5656532.0676812977</v>
      </c>
      <c r="JO24" s="2">
        <f t="shared" si="9"/>
        <v>5713097.3883581106</v>
      </c>
      <c r="JP24" s="2">
        <f t="shared" si="9"/>
        <v>5770228.3622416919</v>
      </c>
      <c r="JQ24" s="2">
        <f t="shared" si="9"/>
        <v>5827930.6458641086</v>
      </c>
      <c r="JR24" s="2">
        <f t="shared" si="9"/>
        <v>5886209.9523227494</v>
      </c>
      <c r="JS24" s="2">
        <f t="shared" si="9"/>
        <v>5945072.0518459771</v>
      </c>
      <c r="JT24" s="2">
        <f t="shared" si="9"/>
        <v>6004522.7723644366</v>
      </c>
      <c r="JU24" s="2">
        <f t="shared" si="9"/>
        <v>6064568.0000880808</v>
      </c>
      <c r="JV24" s="2">
        <f t="shared" si="9"/>
        <v>6125213.6800889615</v>
      </c>
      <c r="JW24" s="2">
        <f t="shared" si="9"/>
        <v>6186465.8168898514</v>
      </c>
      <c r="JX24" s="2">
        <f t="shared" si="9"/>
        <v>6248330.4750587502</v>
      </c>
      <c r="JY24" s="2">
        <f t="shared" si="9"/>
        <v>6310813.779809338</v>
      </c>
      <c r="JZ24" s="2">
        <f t="shared" si="9"/>
        <v>6373921.9176074313</v>
      </c>
      <c r="KA24" s="2">
        <f t="shared" si="9"/>
        <v>6437661.1367835058</v>
      </c>
      <c r="KB24" s="2">
        <f t="shared" si="9"/>
        <v>6502037.7481513405</v>
      </c>
      <c r="KC24" s="2">
        <f t="shared" si="9"/>
        <v>6567058.1256328542</v>
      </c>
      <c r="KD24" s="2">
        <f t="shared" si="9"/>
        <v>6632728.7068891823</v>
      </c>
      <c r="KE24" s="2">
        <f t="shared" si="9"/>
        <v>6699055.9939580746</v>
      </c>
      <c r="KF24" s="2">
        <f t="shared" si="9"/>
        <v>6766046.5538976556</v>
      </c>
      <c r="KG24" s="2">
        <f t="shared" si="9"/>
        <v>6833707.0194366323</v>
      </c>
      <c r="KH24" s="2">
        <f t="shared" ref="KH24:MS24" si="10">KG24*(1+$C$114)</f>
        <v>6902044.0896309987</v>
      </c>
      <c r="KI24" s="2">
        <f t="shared" si="10"/>
        <v>6971064.5305273086</v>
      </c>
      <c r="KJ24" s="2">
        <f t="shared" si="10"/>
        <v>7040775.1758325817</v>
      </c>
      <c r="KK24" s="2">
        <f t="shared" si="10"/>
        <v>7111182.9275909076</v>
      </c>
      <c r="KL24" s="2">
        <f t="shared" si="10"/>
        <v>7182294.7568668164</v>
      </c>
      <c r="KM24" s="2">
        <f t="shared" si="10"/>
        <v>7254117.7044354845</v>
      </c>
      <c r="KN24" s="2">
        <f t="shared" si="10"/>
        <v>7326658.8814798398</v>
      </c>
      <c r="KO24" s="2">
        <f t="shared" si="10"/>
        <v>7399925.4702946385</v>
      </c>
      <c r="KP24" s="2">
        <f t="shared" si="10"/>
        <v>7473924.7249975847</v>
      </c>
      <c r="KQ24" s="2">
        <f t="shared" si="10"/>
        <v>7548663.9722475605</v>
      </c>
      <c r="KR24" s="2">
        <f t="shared" si="10"/>
        <v>7624150.6119700363</v>
      </c>
      <c r="KS24" s="2">
        <f t="shared" si="10"/>
        <v>7700392.1180897364</v>
      </c>
      <c r="KT24" s="2">
        <f t="shared" si="10"/>
        <v>7777396.0392706338</v>
      </c>
      <c r="KU24" s="2">
        <f t="shared" si="10"/>
        <v>7855169.9996633399</v>
      </c>
      <c r="KV24" s="2">
        <f t="shared" si="10"/>
        <v>7933721.6996599734</v>
      </c>
      <c r="KW24" s="2">
        <f t="shared" si="10"/>
        <v>8013058.9166565733</v>
      </c>
      <c r="KX24" s="2">
        <f t="shared" si="10"/>
        <v>8093189.5058231391</v>
      </c>
      <c r="KY24" s="2">
        <f t="shared" si="10"/>
        <v>8174121.4008813705</v>
      </c>
      <c r="KZ24" s="2">
        <f t="shared" si="10"/>
        <v>8255862.6148901843</v>
      </c>
      <c r="LA24" s="2">
        <f t="shared" si="10"/>
        <v>8338421.2410390861</v>
      </c>
      <c r="LB24" s="2">
        <f t="shared" si="10"/>
        <v>8421805.4534494765</v>
      </c>
      <c r="LC24" s="2">
        <f t="shared" si="10"/>
        <v>8506023.5079839714</v>
      </c>
      <c r="LD24" s="2">
        <f t="shared" si="10"/>
        <v>8591083.7430638112</v>
      </c>
      <c r="LE24" s="2">
        <f t="shared" si="10"/>
        <v>8676994.5804944485</v>
      </c>
      <c r="LF24" s="2">
        <f t="shared" si="10"/>
        <v>8763764.5262993928</v>
      </c>
      <c r="LG24" s="2">
        <f t="shared" si="10"/>
        <v>8851402.1715623867</v>
      </c>
      <c r="LH24" s="2">
        <f t="shared" si="10"/>
        <v>8939916.1932780109</v>
      </c>
      <c r="LI24" s="2">
        <f t="shared" si="10"/>
        <v>9029315.3552107904</v>
      </c>
      <c r="LJ24" s="2">
        <f t="shared" si="10"/>
        <v>9119608.5087628979</v>
      </c>
      <c r="LK24" s="2">
        <f t="shared" si="10"/>
        <v>9210804.593850527</v>
      </c>
      <c r="LL24" s="2">
        <f t="shared" si="10"/>
        <v>9302912.6397890318</v>
      </c>
      <c r="LM24" s="2">
        <f t="shared" si="10"/>
        <v>9395941.7661869228</v>
      </c>
      <c r="LN24" s="2">
        <f t="shared" si="10"/>
        <v>9489901.1838487927</v>
      </c>
      <c r="LO24" s="2">
        <f t="shared" si="10"/>
        <v>9584800.195687281</v>
      </c>
      <c r="LP24" s="2">
        <f t="shared" si="10"/>
        <v>9680648.1976441536</v>
      </c>
      <c r="LQ24" s="2">
        <f t="shared" si="10"/>
        <v>9777454.6796205956</v>
      </c>
      <c r="LR24" s="2">
        <f t="shared" si="10"/>
        <v>9875229.226416802</v>
      </c>
      <c r="LS24" s="2">
        <f t="shared" si="10"/>
        <v>9973981.5186809693</v>
      </c>
      <c r="LT24" s="2">
        <f t="shared" si="10"/>
        <v>10073721.333867779</v>
      </c>
      <c r="LU24" s="2">
        <f t="shared" si="10"/>
        <v>10174458.547206458</v>
      </c>
      <c r="LV24" s="2">
        <f t="shared" si="10"/>
        <v>10276203.132678522</v>
      </c>
      <c r="LW24" s="2">
        <f t="shared" si="10"/>
        <v>10378965.164005307</v>
      </c>
      <c r="LX24" s="2">
        <f t="shared" si="10"/>
        <v>10482754.815645361</v>
      </c>
      <c r="LY24" s="2">
        <f t="shared" si="10"/>
        <v>10587582.363801815</v>
      </c>
      <c r="LZ24" s="2">
        <f t="shared" si="10"/>
        <v>10693458.187439833</v>
      </c>
      <c r="MA24" s="2">
        <f t="shared" si="10"/>
        <v>10800392.769314231</v>
      </c>
      <c r="MB24" s="2">
        <f t="shared" si="10"/>
        <v>10908396.697007373</v>
      </c>
      <c r="MC24" s="2">
        <f t="shared" si="10"/>
        <v>11017480.663977446</v>
      </c>
      <c r="MD24" s="2">
        <f t="shared" si="10"/>
        <v>11127655.47061722</v>
      </c>
      <c r="ME24" s="2">
        <f t="shared" si="10"/>
        <v>11238932.025323393</v>
      </c>
      <c r="MF24" s="2">
        <f t="shared" si="10"/>
        <v>11351321.345576627</v>
      </c>
      <c r="MG24" s="2">
        <f t="shared" si="10"/>
        <v>11464834.559032394</v>
      </c>
      <c r="MH24" s="2">
        <f t="shared" si="10"/>
        <v>11579482.904622717</v>
      </c>
      <c r="MI24" s="2">
        <f t="shared" si="10"/>
        <v>11695277.733668944</v>
      </c>
      <c r="MJ24" s="2">
        <f t="shared" si="10"/>
        <v>11812230.511005633</v>
      </c>
      <c r="MK24" s="2">
        <f t="shared" si="10"/>
        <v>11930352.816115689</v>
      </c>
      <c r="ML24" s="2">
        <f t="shared" si="10"/>
        <v>12049656.344276845</v>
      </c>
      <c r="MM24" s="2">
        <f t="shared" si="10"/>
        <v>12170152.907719614</v>
      </c>
      <c r="MN24" s="2">
        <f t="shared" si="10"/>
        <v>12291854.43679681</v>
      </c>
      <c r="MO24" s="2">
        <f t="shared" si="10"/>
        <v>12414772.98116478</v>
      </c>
      <c r="MP24" s="2">
        <f t="shared" si="10"/>
        <v>12538920.710976427</v>
      </c>
      <c r="MQ24" s="2">
        <f t="shared" si="10"/>
        <v>12664309.918086192</v>
      </c>
      <c r="MR24" s="2">
        <f t="shared" si="10"/>
        <v>12790953.017267054</v>
      </c>
      <c r="MS24" s="2">
        <f t="shared" si="10"/>
        <v>12918862.547439724</v>
      </c>
      <c r="MT24" s="2">
        <f t="shared" ref="MT24:PE24" si="11">MS24*(1+$C$114)</f>
        <v>13048051.172914121</v>
      </c>
      <c r="MU24" s="2">
        <f t="shared" si="11"/>
        <v>13178531.684643263</v>
      </c>
      <c r="MV24" s="2">
        <f t="shared" si="11"/>
        <v>13310317.001489695</v>
      </c>
      <c r="MW24" s="2">
        <f t="shared" si="11"/>
        <v>13443420.171504593</v>
      </c>
      <c r="MX24" s="2">
        <f t="shared" si="11"/>
        <v>13577854.373219639</v>
      </c>
      <c r="MY24" s="2">
        <f t="shared" si="11"/>
        <v>13713632.916951835</v>
      </c>
      <c r="MZ24" s="2">
        <f t="shared" si="11"/>
        <v>13850769.246121354</v>
      </c>
      <c r="NA24" s="2">
        <f t="shared" si="11"/>
        <v>13989276.938582567</v>
      </c>
      <c r="NB24" s="2">
        <f t="shared" si="11"/>
        <v>14129169.707968393</v>
      </c>
      <c r="NC24" s="2">
        <f t="shared" si="11"/>
        <v>14270461.405048078</v>
      </c>
      <c r="ND24" s="2">
        <f t="shared" si="11"/>
        <v>14413166.019098559</v>
      </c>
      <c r="NE24" s="2">
        <f t="shared" si="11"/>
        <v>14557297.679289546</v>
      </c>
      <c r="NF24" s="2">
        <f t="shared" si="11"/>
        <v>14702870.656082442</v>
      </c>
      <c r="NG24" s="2">
        <f t="shared" si="11"/>
        <v>14849899.362643266</v>
      </c>
      <c r="NH24" s="2">
        <f t="shared" si="11"/>
        <v>14998398.356269699</v>
      </c>
      <c r="NI24" s="2">
        <f t="shared" si="11"/>
        <v>15148382.339832395</v>
      </c>
      <c r="NJ24" s="2">
        <f t="shared" si="11"/>
        <v>15299866.163230719</v>
      </c>
      <c r="NK24" s="2">
        <f t="shared" si="11"/>
        <v>15452864.824863026</v>
      </c>
      <c r="NL24" s="2">
        <f t="shared" si="11"/>
        <v>15607393.473111656</v>
      </c>
      <c r="NM24" s="2">
        <f t="shared" si="11"/>
        <v>15763467.407842772</v>
      </c>
      <c r="NN24" s="2">
        <f t="shared" si="11"/>
        <v>15921102.081921199</v>
      </c>
      <c r="NO24" s="2">
        <f t="shared" si="11"/>
        <v>16080313.102740411</v>
      </c>
      <c r="NP24" s="2">
        <f t="shared" si="11"/>
        <v>16241116.233767815</v>
      </c>
      <c r="NQ24" s="2">
        <f t="shared" si="11"/>
        <v>16403527.396105492</v>
      </c>
      <c r="NR24" s="2">
        <f t="shared" si="11"/>
        <v>16567562.670066547</v>
      </c>
      <c r="NS24" s="2">
        <f t="shared" si="11"/>
        <v>16733238.296767212</v>
      </c>
      <c r="NT24" s="2">
        <f t="shared" si="11"/>
        <v>16900570.679734886</v>
      </c>
      <c r="NU24" s="2">
        <f t="shared" si="11"/>
        <v>17069576.386532236</v>
      </c>
      <c r="NV24" s="2">
        <f t="shared" si="11"/>
        <v>17240272.150397558</v>
      </c>
      <c r="NW24" s="2">
        <f t="shared" si="11"/>
        <v>17412674.871901534</v>
      </c>
      <c r="NX24" s="2">
        <f t="shared" si="11"/>
        <v>17586801.620620549</v>
      </c>
      <c r="NY24" s="2">
        <f t="shared" si="11"/>
        <v>17762669.636826754</v>
      </c>
      <c r="NZ24" s="2">
        <f t="shared" si="11"/>
        <v>17940296.33319502</v>
      </c>
      <c r="OA24" s="2">
        <f t="shared" si="11"/>
        <v>18119699.296526968</v>
      </c>
      <c r="OB24" s="2">
        <f t="shared" si="11"/>
        <v>18300896.289492238</v>
      </c>
      <c r="OC24" s="2">
        <f t="shared" si="11"/>
        <v>18483905.252387162</v>
      </c>
      <c r="OD24" s="2">
        <f t="shared" si="11"/>
        <v>18668744.304911032</v>
      </c>
      <c r="OE24" s="2">
        <f t="shared" si="11"/>
        <v>18855431.747960143</v>
      </c>
      <c r="OF24" s="2">
        <f t="shared" si="11"/>
        <v>19043986.065439746</v>
      </c>
      <c r="OG24" s="2">
        <f t="shared" si="11"/>
        <v>19234425.926094145</v>
      </c>
      <c r="OH24" s="2">
        <f t="shared" si="11"/>
        <v>19426770.185355086</v>
      </c>
      <c r="OI24" s="2">
        <f t="shared" si="11"/>
        <v>19621037.887208637</v>
      </c>
      <c r="OJ24" s="2">
        <f t="shared" si="11"/>
        <v>19817248.266080722</v>
      </c>
      <c r="OK24" s="2">
        <f t="shared" si="11"/>
        <v>20015420.74874153</v>
      </c>
      <c r="OL24" s="2">
        <f t="shared" si="11"/>
        <v>20215574.956228945</v>
      </c>
      <c r="OM24" s="2">
        <f t="shared" si="11"/>
        <v>20417730.705791235</v>
      </c>
      <c r="ON24" s="2">
        <f t="shared" si="11"/>
        <v>20621908.012849148</v>
      </c>
      <c r="OO24" s="2">
        <f t="shared" si="11"/>
        <v>20828127.092977639</v>
      </c>
      <c r="OP24" s="2">
        <f t="shared" si="11"/>
        <v>21036408.363907415</v>
      </c>
      <c r="OQ24" s="2">
        <f t="shared" si="11"/>
        <v>21246772.44754649</v>
      </c>
      <c r="OR24" s="2">
        <f t="shared" si="11"/>
        <v>21459240.172021955</v>
      </c>
      <c r="OS24" s="2">
        <f t="shared" si="11"/>
        <v>21673832.573742174</v>
      </c>
      <c r="OT24" s="2">
        <f t="shared" si="11"/>
        <v>21890570.899479594</v>
      </c>
      <c r="OU24" s="2">
        <f t="shared" si="11"/>
        <v>22109476.608474389</v>
      </c>
      <c r="OV24" s="2">
        <f t="shared" si="11"/>
        <v>22330571.374559134</v>
      </c>
      <c r="OW24" s="2">
        <f t="shared" si="11"/>
        <v>22553877.088304725</v>
      </c>
      <c r="OX24" s="2">
        <f t="shared" si="11"/>
        <v>22779415.859187771</v>
      </c>
      <c r="OY24" s="2">
        <f t="shared" si="11"/>
        <v>23007210.017779648</v>
      </c>
      <c r="OZ24" s="2">
        <f t="shared" si="11"/>
        <v>23237282.117957447</v>
      </c>
      <c r="PA24" s="2">
        <f t="shared" si="11"/>
        <v>23469654.939137023</v>
      </c>
      <c r="PB24" s="2">
        <f t="shared" si="11"/>
        <v>23704351.488528393</v>
      </c>
      <c r="PC24" s="2">
        <f t="shared" si="11"/>
        <v>23941395.003413677</v>
      </c>
      <c r="PD24" s="2">
        <f t="shared" si="11"/>
        <v>24180808.953447815</v>
      </c>
      <c r="PE24" s="2">
        <f t="shared" si="11"/>
        <v>24422617.042982295</v>
      </c>
      <c r="PF24" s="2">
        <f t="shared" ref="PF24:RQ24" si="12">PE24*(1+$C$114)</f>
        <v>24666843.213412117</v>
      </c>
      <c r="PG24" s="2">
        <f t="shared" si="12"/>
        <v>24913511.645546239</v>
      </c>
      <c r="PH24" s="2">
        <f t="shared" si="12"/>
        <v>25162646.762001701</v>
      </c>
      <c r="PI24" s="2">
        <f t="shared" si="12"/>
        <v>25414273.22962172</v>
      </c>
      <c r="PJ24" s="2">
        <f t="shared" si="12"/>
        <v>25668415.961917937</v>
      </c>
      <c r="PK24" s="2">
        <f t="shared" si="12"/>
        <v>25925100.121537115</v>
      </c>
      <c r="PL24" s="2">
        <f t="shared" si="12"/>
        <v>26184351.122752488</v>
      </c>
      <c r="PM24" s="2">
        <f t="shared" si="12"/>
        <v>26446194.633980013</v>
      </c>
      <c r="PN24" s="2">
        <f t="shared" si="12"/>
        <v>26710656.580319814</v>
      </c>
      <c r="PO24" s="2">
        <f t="shared" si="12"/>
        <v>26977763.146123014</v>
      </c>
      <c r="PP24" s="2">
        <f t="shared" si="12"/>
        <v>27247540.777584244</v>
      </c>
      <c r="PQ24" s="2">
        <f t="shared" si="12"/>
        <v>27520016.185360085</v>
      </c>
      <c r="PR24" s="2">
        <f t="shared" si="12"/>
        <v>27795216.347213686</v>
      </c>
      <c r="PS24" s="2">
        <f t="shared" si="12"/>
        <v>28073168.510685824</v>
      </c>
      <c r="PT24" s="2">
        <f t="shared" si="12"/>
        <v>28353900.195792682</v>
      </c>
      <c r="PU24" s="2">
        <f t="shared" si="12"/>
        <v>28637439.197750609</v>
      </c>
      <c r="PV24" s="2">
        <f t="shared" si="12"/>
        <v>28923813.589728117</v>
      </c>
      <c r="PW24" s="2">
        <f t="shared" si="12"/>
        <v>29213051.7256254</v>
      </c>
      <c r="PX24" s="2">
        <f t="shared" si="12"/>
        <v>29505182.242881652</v>
      </c>
      <c r="PY24" s="2">
        <f t="shared" si="12"/>
        <v>29800234.065310467</v>
      </c>
      <c r="PZ24" s="2">
        <f t="shared" si="12"/>
        <v>30098236.405963574</v>
      </c>
      <c r="QA24" s="2">
        <f t="shared" si="12"/>
        <v>30399218.770023208</v>
      </c>
      <c r="QB24" s="2">
        <f t="shared" si="12"/>
        <v>30703210.957723439</v>
      </c>
      <c r="QC24" s="2">
        <f t="shared" si="12"/>
        <v>31010243.067300674</v>
      </c>
      <c r="QD24" s="2">
        <f t="shared" si="12"/>
        <v>31320345.49797368</v>
      </c>
      <c r="QE24" s="2">
        <f t="shared" si="12"/>
        <v>31633548.952953417</v>
      </c>
      <c r="QF24" s="2">
        <f t="shared" si="12"/>
        <v>31949884.442482952</v>
      </c>
      <c r="QG24" s="2">
        <f t="shared" si="12"/>
        <v>32269383.286907781</v>
      </c>
      <c r="QH24" s="2">
        <f t="shared" si="12"/>
        <v>32592077.11977686</v>
      </c>
      <c r="QI24" s="2">
        <f t="shared" si="12"/>
        <v>32917997.89097463</v>
      </c>
      <c r="QJ24" s="2">
        <f t="shared" si="12"/>
        <v>33247177.869884375</v>
      </c>
      <c r="QK24" s="2">
        <f t="shared" si="12"/>
        <v>33579649.648583218</v>
      </c>
      <c r="QL24" s="2">
        <f t="shared" si="12"/>
        <v>33915446.145069048</v>
      </c>
      <c r="QM24" s="2">
        <f t="shared" si="12"/>
        <v>34254600.606519736</v>
      </c>
      <c r="QN24" s="2">
        <f t="shared" si="12"/>
        <v>34597146.612584934</v>
      </c>
      <c r="QO24" s="2">
        <f t="shared" si="12"/>
        <v>34943118.078710787</v>
      </c>
      <c r="QP24" s="2">
        <f t="shared" si="12"/>
        <v>35292549.259497896</v>
      </c>
      <c r="QQ24" s="2">
        <f t="shared" si="12"/>
        <v>35645474.752092876</v>
      </c>
      <c r="QR24" s="2">
        <f t="shared" si="12"/>
        <v>36001929.499613807</v>
      </c>
      <c r="QS24" s="2">
        <f t="shared" si="12"/>
        <v>36361948.794609942</v>
      </c>
      <c r="QT24" s="2">
        <f t="shared" si="12"/>
        <v>36725568.282556042</v>
      </c>
      <c r="QU24" s="2">
        <f t="shared" si="12"/>
        <v>37092823.9653816</v>
      </c>
      <c r="QV24" s="2">
        <f t="shared" si="12"/>
        <v>37463752.205035418</v>
      </c>
      <c r="QW24" s="2">
        <f t="shared" si="12"/>
        <v>37838389.727085769</v>
      </c>
      <c r="QX24" s="2">
        <f t="shared" si="12"/>
        <v>38216773.624356627</v>
      </c>
      <c r="QY24" s="2">
        <f t="shared" si="12"/>
        <v>38598941.360600196</v>
      </c>
      <c r="QZ24" s="2">
        <f t="shared" si="12"/>
        <v>38984930.774206199</v>
      </c>
      <c r="RA24" s="2">
        <f t="shared" si="12"/>
        <v>39374780.081948258</v>
      </c>
      <c r="RB24" s="2">
        <f t="shared" si="12"/>
        <v>39768527.882767744</v>
      </c>
      <c r="RC24" s="2">
        <f t="shared" si="12"/>
        <v>40166213.161595419</v>
      </c>
      <c r="RD24" s="2">
        <f t="shared" si="12"/>
        <v>40567875.293211371</v>
      </c>
      <c r="RE24" s="2">
        <f t="shared" si="12"/>
        <v>40973554.046143487</v>
      </c>
      <c r="RF24" s="2">
        <f t="shared" si="12"/>
        <v>41383289.586604923</v>
      </c>
      <c r="RG24" s="2">
        <f t="shared" si="12"/>
        <v>41797122.482470974</v>
      </c>
      <c r="RH24" s="2">
        <f t="shared" si="12"/>
        <v>42215093.707295686</v>
      </c>
      <c r="RI24" s="2">
        <f t="shared" si="12"/>
        <v>42637244.644368641</v>
      </c>
      <c r="RJ24" s="2">
        <f t="shared" si="12"/>
        <v>43063617.090812325</v>
      </c>
      <c r="RK24" s="2">
        <f t="shared" si="12"/>
        <v>43494253.261720449</v>
      </c>
      <c r="RL24" s="2">
        <f t="shared" si="12"/>
        <v>43929195.794337653</v>
      </c>
      <c r="RM24" s="2">
        <f t="shared" si="12"/>
        <v>44368487.752281033</v>
      </c>
      <c r="RN24" s="2">
        <f t="shared" si="12"/>
        <v>44812172.629803844</v>
      </c>
      <c r="RO24" s="2">
        <f t="shared" si="12"/>
        <v>45260294.356101885</v>
      </c>
      <c r="RP24" s="2">
        <f t="shared" si="12"/>
        <v>45712897.299662903</v>
      </c>
      <c r="RQ24" s="2">
        <f t="shared" si="12"/>
        <v>46170026.272659533</v>
      </c>
      <c r="RR24" s="2">
        <f t="shared" ref="RR24:UC24" si="13">RQ24*(1+$C$114)</f>
        <v>46631726.53538613</v>
      </c>
      <c r="RS24" s="2">
        <f t="shared" si="13"/>
        <v>47098043.800739989</v>
      </c>
      <c r="RT24" s="2">
        <f t="shared" si="13"/>
        <v>47569024.238747388</v>
      </c>
      <c r="RU24" s="2">
        <f t="shared" si="13"/>
        <v>48044714.481134862</v>
      </c>
      <c r="RV24" s="2">
        <f t="shared" si="13"/>
        <v>48525161.625946209</v>
      </c>
      <c r="RW24" s="2">
        <f t="shared" si="13"/>
        <v>49010413.242205672</v>
      </c>
      <c r="RX24" s="2">
        <f t="shared" si="13"/>
        <v>49500517.374627732</v>
      </c>
      <c r="RY24" s="2">
        <f t="shared" si="13"/>
        <v>49995522.548374012</v>
      </c>
      <c r="RZ24" s="2">
        <f t="shared" si="13"/>
        <v>50495477.77385775</v>
      </c>
      <c r="SA24" s="2">
        <f t="shared" si="13"/>
        <v>51000432.551596329</v>
      </c>
      <c r="SB24" s="2">
        <f t="shared" si="13"/>
        <v>51510436.877112292</v>
      </c>
      <c r="SC24" s="2">
        <f t="shared" si="13"/>
        <v>52025541.245883413</v>
      </c>
      <c r="SD24" s="2">
        <f t="shared" si="13"/>
        <v>52545796.65834225</v>
      </c>
      <c r="SE24" s="2">
        <f t="shared" si="13"/>
        <v>53071254.624925673</v>
      </c>
      <c r="SF24" s="2">
        <f t="shared" si="13"/>
        <v>53601967.171174929</v>
      </c>
      <c r="SG24" s="2">
        <f t="shared" si="13"/>
        <v>54137986.842886679</v>
      </c>
      <c r="SH24" s="2">
        <f t="shared" si="13"/>
        <v>54679366.711315542</v>
      </c>
      <c r="SI24" s="2">
        <f t="shared" si="13"/>
        <v>55226160.378428698</v>
      </c>
      <c r="SJ24" s="2">
        <f t="shared" si="13"/>
        <v>55778421.982212983</v>
      </c>
      <c r="SK24" s="2">
        <f t="shared" si="13"/>
        <v>56336206.202035114</v>
      </c>
      <c r="SL24" s="2">
        <f t="shared" si="13"/>
        <v>56899568.264055468</v>
      </c>
      <c r="SM24" s="2">
        <f t="shared" si="13"/>
        <v>57468563.946696021</v>
      </c>
      <c r="SN24" s="2">
        <f t="shared" si="13"/>
        <v>58043249.586162984</v>
      </c>
      <c r="SO24" s="2">
        <f t="shared" si="13"/>
        <v>58623682.082024612</v>
      </c>
      <c r="SP24" s="2">
        <f t="shared" si="13"/>
        <v>59209918.902844861</v>
      </c>
      <c r="SQ24" s="2">
        <f t="shared" si="13"/>
        <v>59802018.091873311</v>
      </c>
      <c r="SR24" s="2">
        <f t="shared" si="13"/>
        <v>60400038.272792041</v>
      </c>
      <c r="SS24" s="2">
        <f t="shared" si="13"/>
        <v>61004038.655519962</v>
      </c>
      <c r="ST24" s="2">
        <f t="shared" si="13"/>
        <v>61614079.042075165</v>
      </c>
      <c r="SU24" s="2">
        <f t="shared" si="13"/>
        <v>62230219.83249592</v>
      </c>
      <c r="SV24" s="2">
        <f t="shared" si="13"/>
        <v>62852522.030820884</v>
      </c>
      <c r="SW24" s="2">
        <f t="shared" si="13"/>
        <v>63481047.251129091</v>
      </c>
      <c r="SX24" s="2">
        <f t="shared" si="13"/>
        <v>64115857.723640382</v>
      </c>
      <c r="SY24" s="2">
        <f t="shared" si="13"/>
        <v>64757016.300876789</v>
      </c>
      <c r="SZ24" s="2">
        <f t="shared" si="13"/>
        <v>65404586.463885561</v>
      </c>
      <c r="TA24" s="2">
        <f t="shared" si="13"/>
        <v>66058632.328524418</v>
      </c>
      <c r="TB24" s="2">
        <f t="shared" si="13"/>
        <v>66719218.651809663</v>
      </c>
      <c r="TC24" s="2">
        <f t="shared" si="13"/>
        <v>67386410.838327765</v>
      </c>
      <c r="TD24" s="2">
        <f t="shared" si="13"/>
        <v>68060274.946711048</v>
      </c>
      <c r="TE24" s="2">
        <f t="shared" si="13"/>
        <v>68740877.696178153</v>
      </c>
      <c r="TF24" s="2">
        <f t="shared" si="13"/>
        <v>69428286.473139942</v>
      </c>
      <c r="TG24" s="2">
        <f t="shared" si="13"/>
        <v>70122569.337871343</v>
      </c>
      <c r="TH24" s="2">
        <f t="shared" si="13"/>
        <v>70823795.03125006</v>
      </c>
      <c r="TI24" s="2">
        <f t="shared" si="13"/>
        <v>71532032.981562555</v>
      </c>
      <c r="TJ24" s="2">
        <f t="shared" si="13"/>
        <v>72247353.311378181</v>
      </c>
      <c r="TK24" s="2">
        <f t="shared" si="13"/>
        <v>72969826.844491959</v>
      </c>
      <c r="TL24" s="2">
        <f t="shared" si="13"/>
        <v>73699525.112936884</v>
      </c>
      <c r="TM24" s="2">
        <f t="shared" si="13"/>
        <v>74436520.364066258</v>
      </c>
      <c r="TN24" s="2">
        <f t="shared" si="13"/>
        <v>75180885.567706928</v>
      </c>
      <c r="TO24" s="2">
        <f t="shared" si="13"/>
        <v>75932694.423383996</v>
      </c>
      <c r="TP24" s="2">
        <f t="shared" si="13"/>
        <v>76692021.367617831</v>
      </c>
      <c r="TQ24" s="2">
        <f t="shared" si="13"/>
        <v>77458941.581294015</v>
      </c>
      <c r="TR24" s="2">
        <f t="shared" si="13"/>
        <v>78233530.997106954</v>
      </c>
      <c r="TS24" s="2">
        <f t="shared" si="13"/>
        <v>79015866.307078019</v>
      </c>
      <c r="TT24" s="2">
        <f t="shared" si="13"/>
        <v>79806024.970148802</v>
      </c>
      <c r="TU24" s="2">
        <f t="shared" si="13"/>
        <v>80604085.219850287</v>
      </c>
      <c r="TV24" s="2">
        <f t="shared" si="13"/>
        <v>81410126.072048783</v>
      </c>
      <c r="TW24" s="2">
        <f t="shared" si="13"/>
        <v>82224227.332769275</v>
      </c>
      <c r="TX24" s="2">
        <f t="shared" si="13"/>
        <v>83046469.606096968</v>
      </c>
      <c r="TY24" s="2">
        <f t="shared" si="13"/>
        <v>83876934.302157938</v>
      </c>
      <c r="TZ24" s="2">
        <f t="shared" si="13"/>
        <v>84715703.645179525</v>
      </c>
      <c r="UA24" s="2">
        <f t="shared" si="13"/>
        <v>85562860.681631327</v>
      </c>
      <c r="UB24" s="2">
        <f t="shared" si="13"/>
        <v>86418489.288447633</v>
      </c>
      <c r="UC24" s="2">
        <f t="shared" si="13"/>
        <v>87282674.181332111</v>
      </c>
      <c r="UD24" s="2">
        <f t="shared" ref="UD24:WO24" si="14">UC24*(1+$C$114)</f>
        <v>88155500.923145428</v>
      </c>
      <c r="UE24" s="2">
        <f t="shared" si="14"/>
        <v>89037055.932376876</v>
      </c>
      <c r="UF24" s="2">
        <f t="shared" si="14"/>
        <v>89927426.491700649</v>
      </c>
      <c r="UG24" s="2">
        <f t="shared" si="14"/>
        <v>90826700.75661765</v>
      </c>
      <c r="UH24" s="2">
        <f t="shared" si="14"/>
        <v>91734967.764183834</v>
      </c>
      <c r="UI24" s="2">
        <f t="shared" si="14"/>
        <v>92652317.441825673</v>
      </c>
      <c r="UJ24" s="2">
        <f t="shared" si="14"/>
        <v>93578840.616243929</v>
      </c>
      <c r="UK24" s="2">
        <f t="shared" si="14"/>
        <v>94514629.022406369</v>
      </c>
      <c r="UL24" s="2">
        <f t="shared" si="14"/>
        <v>95459775.31263043</v>
      </c>
      <c r="UM24" s="2">
        <f t="shared" si="14"/>
        <v>96414373.065756738</v>
      </c>
      <c r="UN24" s="2">
        <f t="shared" si="14"/>
        <v>97378516.796414301</v>
      </c>
      <c r="UO24" s="2">
        <f t="shared" si="14"/>
        <v>98352301.964378446</v>
      </c>
      <c r="UP24" s="2">
        <f t="shared" si="14"/>
        <v>99335824.98402223</v>
      </c>
      <c r="UQ24" s="2">
        <f t="shared" si="14"/>
        <v>100329183.23386246</v>
      </c>
      <c r="UR24" s="2">
        <f t="shared" si="14"/>
        <v>101332475.06620109</v>
      </c>
      <c r="US24" s="2">
        <f t="shared" si="14"/>
        <v>102345799.8168631</v>
      </c>
      <c r="UT24" s="2">
        <f t="shared" si="14"/>
        <v>103369257.81503174</v>
      </c>
      <c r="UU24" s="2">
        <f t="shared" si="14"/>
        <v>104402950.39318205</v>
      </c>
      <c r="UV24" s="2">
        <f t="shared" si="14"/>
        <v>105446979.89711387</v>
      </c>
      <c r="UW24" s="2">
        <f t="shared" si="14"/>
        <v>106501449.69608502</v>
      </c>
      <c r="UX24" s="2">
        <f t="shared" si="14"/>
        <v>107566464.19304587</v>
      </c>
      <c r="UY24" s="2">
        <f t="shared" si="14"/>
        <v>108642128.83497633</v>
      </c>
      <c r="UZ24" s="2">
        <f t="shared" si="14"/>
        <v>109728550.12332609</v>
      </c>
      <c r="VA24" s="2">
        <f t="shared" si="14"/>
        <v>110825835.62455936</v>
      </c>
      <c r="VB24" s="2">
        <f t="shared" si="14"/>
        <v>111934093.98080495</v>
      </c>
      <c r="VC24" s="2">
        <f t="shared" si="14"/>
        <v>113053434.92061301</v>
      </c>
      <c r="VD24" s="2">
        <f t="shared" si="14"/>
        <v>114183969.26981914</v>
      </c>
      <c r="VE24" s="2">
        <f t="shared" si="14"/>
        <v>115325808.96251734</v>
      </c>
      <c r="VF24" s="2">
        <f t="shared" si="14"/>
        <v>116479067.05214252</v>
      </c>
      <c r="VG24" s="2">
        <f t="shared" si="14"/>
        <v>117643857.72266394</v>
      </c>
      <c r="VH24" s="2">
        <f t="shared" si="14"/>
        <v>118820296.29989058</v>
      </c>
      <c r="VI24" s="2">
        <f t="shared" si="14"/>
        <v>120008499.26288949</v>
      </c>
      <c r="VJ24" s="2">
        <f t="shared" si="14"/>
        <v>121208584.25551839</v>
      </c>
      <c r="VK24" s="2">
        <f t="shared" si="14"/>
        <v>122420670.09807357</v>
      </c>
      <c r="VL24" s="2">
        <f t="shared" si="14"/>
        <v>123644876.79905431</v>
      </c>
      <c r="VM24" s="2">
        <f t="shared" si="14"/>
        <v>124881325.56704485</v>
      </c>
      <c r="VN24" s="2">
        <f t="shared" si="14"/>
        <v>126130138.8227153</v>
      </c>
      <c r="VO24" s="2">
        <f t="shared" si="14"/>
        <v>127391440.21094245</v>
      </c>
      <c r="VP24" s="2">
        <f t="shared" si="14"/>
        <v>128665354.61305188</v>
      </c>
      <c r="VQ24" s="2">
        <f t="shared" si="14"/>
        <v>129952008.1591824</v>
      </c>
      <c r="VR24" s="2">
        <f t="shared" si="14"/>
        <v>131251528.24077423</v>
      </c>
      <c r="VS24" s="2">
        <f t="shared" si="14"/>
        <v>132564043.52318197</v>
      </c>
      <c r="VT24" s="2">
        <f t="shared" si="14"/>
        <v>133889683.95841379</v>
      </c>
      <c r="VU24" s="2">
        <f t="shared" si="14"/>
        <v>135228580.79799792</v>
      </c>
      <c r="VV24" s="2">
        <f t="shared" si="14"/>
        <v>136580866.60597789</v>
      </c>
      <c r="VW24" s="2">
        <f t="shared" si="14"/>
        <v>137946675.27203768</v>
      </c>
      <c r="VX24" s="2">
        <f t="shared" si="14"/>
        <v>139326142.02475807</v>
      </c>
      <c r="VY24" s="2">
        <f t="shared" si="14"/>
        <v>140719403.44500566</v>
      </c>
      <c r="VZ24" s="2">
        <f t="shared" si="14"/>
        <v>142126597.47945571</v>
      </c>
      <c r="WA24" s="2">
        <f t="shared" si="14"/>
        <v>143547863.45425028</v>
      </c>
      <c r="WB24" s="2">
        <f t="shared" si="14"/>
        <v>144983342.08879277</v>
      </c>
      <c r="WC24" s="2">
        <f t="shared" si="14"/>
        <v>146433175.50968069</v>
      </c>
      <c r="WD24" s="2">
        <f t="shared" si="14"/>
        <v>147897507.26477751</v>
      </c>
      <c r="WE24" s="2">
        <f t="shared" si="14"/>
        <v>149376482.33742529</v>
      </c>
      <c r="WF24" s="2">
        <f t="shared" si="14"/>
        <v>150870247.16079953</v>
      </c>
      <c r="WG24" s="2">
        <f t="shared" si="14"/>
        <v>152378949.63240752</v>
      </c>
      <c r="WH24" s="2">
        <f t="shared" si="14"/>
        <v>153902739.12873158</v>
      </c>
      <c r="WI24" s="2">
        <f t="shared" si="14"/>
        <v>155441766.52001891</v>
      </c>
      <c r="WJ24" s="2">
        <f t="shared" si="14"/>
        <v>156996184.18521911</v>
      </c>
      <c r="WK24" s="2">
        <f t="shared" si="14"/>
        <v>158566146.0270713</v>
      </c>
      <c r="WL24" s="2">
        <f t="shared" si="14"/>
        <v>160151807.487342</v>
      </c>
      <c r="WM24" s="2">
        <f t="shared" si="14"/>
        <v>161753325.56221542</v>
      </c>
      <c r="WN24" s="2">
        <f t="shared" si="14"/>
        <v>163370858.81783757</v>
      </c>
      <c r="WO24" s="2">
        <f t="shared" si="14"/>
        <v>165004567.40601593</v>
      </c>
      <c r="WP24" s="2">
        <f t="shared" ref="WP24:ZA24" si="15">WO24*(1+$C$114)</f>
        <v>166654613.0800761</v>
      </c>
      <c r="WQ24" s="2">
        <f t="shared" si="15"/>
        <v>168321159.21087685</v>
      </c>
      <c r="WR24" s="2">
        <f t="shared" si="15"/>
        <v>170004370.80298561</v>
      </c>
      <c r="WS24" s="2">
        <f t="shared" si="15"/>
        <v>171704414.51101547</v>
      </c>
      <c r="WT24" s="2">
        <f t="shared" si="15"/>
        <v>173421458.65612563</v>
      </c>
      <c r="WU24" s="2">
        <f t="shared" si="15"/>
        <v>175155673.2426869</v>
      </c>
      <c r="WV24" s="2">
        <f t="shared" si="15"/>
        <v>176907229.97511378</v>
      </c>
      <c r="WW24" s="2">
        <f t="shared" si="15"/>
        <v>178676302.27486491</v>
      </c>
      <c r="WX24" s="2">
        <f t="shared" si="15"/>
        <v>180463065.29761356</v>
      </c>
      <c r="WY24" s="2">
        <f t="shared" si="15"/>
        <v>182267695.95058969</v>
      </c>
      <c r="WZ24" s="2">
        <f t="shared" si="15"/>
        <v>184090372.91009557</v>
      </c>
      <c r="XA24" s="2">
        <f t="shared" si="15"/>
        <v>185931276.63919652</v>
      </c>
      <c r="XB24" s="2">
        <f t="shared" si="15"/>
        <v>187790589.40558848</v>
      </c>
      <c r="XC24" s="2">
        <f t="shared" si="15"/>
        <v>189668495.29964435</v>
      </c>
      <c r="XD24" s="2">
        <f t="shared" si="15"/>
        <v>191565180.25264078</v>
      </c>
      <c r="XE24" s="2">
        <f t="shared" si="15"/>
        <v>193480832.0551672</v>
      </c>
      <c r="XF24" s="2">
        <f t="shared" si="15"/>
        <v>195415640.37571886</v>
      </c>
      <c r="XG24" s="2">
        <f t="shared" si="15"/>
        <v>197369796.77947605</v>
      </c>
      <c r="XH24" s="2">
        <f t="shared" si="15"/>
        <v>199343494.74727082</v>
      </c>
      <c r="XI24" s="2">
        <f t="shared" si="15"/>
        <v>201336929.69474354</v>
      </c>
      <c r="XJ24" s="2">
        <f t="shared" si="15"/>
        <v>203350298.99169099</v>
      </c>
      <c r="XK24" s="2">
        <f t="shared" si="15"/>
        <v>205383801.98160791</v>
      </c>
      <c r="XL24" s="2">
        <f t="shared" si="15"/>
        <v>207437640.00142398</v>
      </c>
      <c r="XM24" s="2">
        <f t="shared" si="15"/>
        <v>209512016.40143824</v>
      </c>
      <c r="XN24" s="2">
        <f t="shared" si="15"/>
        <v>211607136.56545264</v>
      </c>
      <c r="XO24" s="2">
        <f t="shared" si="15"/>
        <v>213723207.93110716</v>
      </c>
      <c r="XP24" s="2">
        <f t="shared" si="15"/>
        <v>215860440.01041824</v>
      </c>
      <c r="XQ24" s="2">
        <f t="shared" si="15"/>
        <v>218019044.41052243</v>
      </c>
      <c r="XR24" s="2">
        <f t="shared" si="15"/>
        <v>220199234.85462767</v>
      </c>
      <c r="XS24" s="2">
        <f t="shared" si="15"/>
        <v>222401227.20317394</v>
      </c>
      <c r="XT24" s="2">
        <f t="shared" si="15"/>
        <v>224625239.47520569</v>
      </c>
      <c r="XU24" s="2">
        <f t="shared" si="15"/>
        <v>226871491.86995775</v>
      </c>
      <c r="XV24" s="2">
        <f t="shared" si="15"/>
        <v>229140206.78865734</v>
      </c>
      <c r="XW24" s="2">
        <f t="shared" si="15"/>
        <v>231431608.8565439</v>
      </c>
      <c r="XX24" s="2">
        <f t="shared" si="15"/>
        <v>233745924.94510934</v>
      </c>
      <c r="XY24" s="2">
        <f t="shared" si="15"/>
        <v>236083384.19456044</v>
      </c>
      <c r="XZ24" s="2">
        <f t="shared" si="15"/>
        <v>238444218.03650606</v>
      </c>
      <c r="YA24" s="2">
        <f t="shared" si="15"/>
        <v>240828660.21687111</v>
      </c>
      <c r="YB24" s="2">
        <f t="shared" si="15"/>
        <v>243236946.81903982</v>
      </c>
      <c r="YC24" s="2">
        <f t="shared" si="15"/>
        <v>245669316.28723022</v>
      </c>
      <c r="YD24" s="2">
        <f t="shared" si="15"/>
        <v>248126009.45010254</v>
      </c>
      <c r="YE24" s="2">
        <f t="shared" si="15"/>
        <v>250607269.54460356</v>
      </c>
      <c r="YF24" s="2">
        <f t="shared" si="15"/>
        <v>253113342.2400496</v>
      </c>
      <c r="YG24" s="2">
        <f t="shared" si="15"/>
        <v>255644475.6624501</v>
      </c>
      <c r="YH24" s="2">
        <f t="shared" si="15"/>
        <v>258200920.41907459</v>
      </c>
      <c r="YI24" s="2">
        <f t="shared" si="15"/>
        <v>260782929.62326536</v>
      </c>
      <c r="YJ24" s="2">
        <f t="shared" si="15"/>
        <v>263390758.91949803</v>
      </c>
      <c r="YK24" s="2">
        <f t="shared" si="15"/>
        <v>266024666.50869301</v>
      </c>
      <c r="YL24" s="2">
        <f t="shared" si="15"/>
        <v>268684913.17377996</v>
      </c>
      <c r="YM24" s="2">
        <f t="shared" si="15"/>
        <v>271371762.30551779</v>
      </c>
      <c r="YN24" s="2">
        <f t="shared" si="15"/>
        <v>274085479.92857295</v>
      </c>
      <c r="YO24" s="2">
        <f t="shared" si="15"/>
        <v>276826334.72785866</v>
      </c>
      <c r="YP24" s="2">
        <f t="shared" si="15"/>
        <v>279594598.07513726</v>
      </c>
      <c r="YQ24" s="2">
        <f t="shared" si="15"/>
        <v>282390544.05588865</v>
      </c>
      <c r="YR24" s="2">
        <f t="shared" si="15"/>
        <v>285214449.49644756</v>
      </c>
      <c r="YS24" s="2">
        <f t="shared" si="15"/>
        <v>288066593.99141204</v>
      </c>
      <c r="YT24" s="2">
        <f t="shared" si="15"/>
        <v>290947259.93132615</v>
      </c>
      <c r="YU24" s="2">
        <f t="shared" si="15"/>
        <v>293856732.53063941</v>
      </c>
      <c r="YV24" s="2">
        <f t="shared" si="15"/>
        <v>296795299.85594583</v>
      </c>
      <c r="YW24" s="2">
        <f t="shared" si="15"/>
        <v>299763252.8545053</v>
      </c>
      <c r="YX24" s="2">
        <f t="shared" si="15"/>
        <v>302760885.38305038</v>
      </c>
      <c r="YY24" s="2">
        <f t="shared" si="15"/>
        <v>305788494.2368809</v>
      </c>
      <c r="YZ24" s="2">
        <f t="shared" si="15"/>
        <v>308846379.1792497</v>
      </c>
      <c r="ZA24" s="2">
        <f t="shared" si="15"/>
        <v>311934842.97104222</v>
      </c>
      <c r="ZB24" s="2">
        <f t="shared" ref="ZB24:ABM24" si="16">ZA24*(1+$C$114)</f>
        <v>315054191.40075266</v>
      </c>
      <c r="ZC24" s="2">
        <f t="shared" si="16"/>
        <v>318204733.31476021</v>
      </c>
      <c r="ZD24" s="2">
        <f t="shared" si="16"/>
        <v>321386780.64790779</v>
      </c>
      <c r="ZE24" s="2">
        <f t="shared" si="16"/>
        <v>324600648.45438689</v>
      </c>
      <c r="ZF24" s="2">
        <f t="shared" si="16"/>
        <v>327846654.93893075</v>
      </c>
      <c r="ZG24" s="2">
        <f t="shared" si="16"/>
        <v>331125121.48832005</v>
      </c>
      <c r="ZH24" s="2">
        <f t="shared" si="16"/>
        <v>334436372.70320326</v>
      </c>
      <c r="ZI24" s="2">
        <f t="shared" si="16"/>
        <v>337780736.43023527</v>
      </c>
      <c r="ZJ24" s="2">
        <f t="shared" si="16"/>
        <v>341158543.7945376</v>
      </c>
      <c r="ZK24" s="2">
        <f t="shared" si="16"/>
        <v>344570129.23248297</v>
      </c>
      <c r="ZL24" s="2">
        <f t="shared" si="16"/>
        <v>348015830.52480781</v>
      </c>
      <c r="ZM24" s="2">
        <f t="shared" si="16"/>
        <v>351495988.83005589</v>
      </c>
      <c r="ZN24" s="2">
        <f t="shared" si="16"/>
        <v>355010948.71835643</v>
      </c>
      <c r="ZO24" s="2">
        <f t="shared" si="16"/>
        <v>358561058.20554</v>
      </c>
      <c r="ZP24" s="2">
        <f t="shared" si="16"/>
        <v>362146668.78759539</v>
      </c>
      <c r="ZQ24" s="2">
        <f t="shared" si="16"/>
        <v>365768135.47547138</v>
      </c>
      <c r="ZR24" s="2">
        <f t="shared" si="16"/>
        <v>369425816.83022612</v>
      </c>
      <c r="ZS24" s="2">
        <f t="shared" si="16"/>
        <v>373120074.99852836</v>
      </c>
      <c r="ZT24" s="2">
        <f t="shared" si="16"/>
        <v>376851275.74851364</v>
      </c>
      <c r="ZU24" s="2">
        <f t="shared" si="16"/>
        <v>380619788.50599879</v>
      </c>
      <c r="ZV24" s="2">
        <f t="shared" si="16"/>
        <v>384425986.3910588</v>
      </c>
      <c r="ZW24" s="2">
        <f t="shared" si="16"/>
        <v>388270246.25496942</v>
      </c>
      <c r="ZX24" s="2">
        <f t="shared" si="16"/>
        <v>392152948.7175191</v>
      </c>
      <c r="ZY24" s="2">
        <f t="shared" si="16"/>
        <v>396074478.20469427</v>
      </c>
      <c r="ZZ24" s="2">
        <f t="shared" si="16"/>
        <v>400035222.98674124</v>
      </c>
      <c r="AAA24" s="2">
        <f t="shared" si="16"/>
        <v>404035575.21660864</v>
      </c>
      <c r="AAB24" s="2">
        <f t="shared" si="16"/>
        <v>408075930.96877474</v>
      </c>
      <c r="AAC24" s="2">
        <f t="shared" si="16"/>
        <v>412156690.27846247</v>
      </c>
      <c r="AAD24" s="2">
        <f t="shared" si="16"/>
        <v>416278257.18124712</v>
      </c>
      <c r="AAE24" s="2">
        <f t="shared" si="16"/>
        <v>420441039.75305957</v>
      </c>
      <c r="AAF24" s="2">
        <f t="shared" si="16"/>
        <v>424645450.15059018</v>
      </c>
      <c r="AAG24" s="2">
        <f t="shared" si="16"/>
        <v>428891904.65209609</v>
      </c>
      <c r="AAH24" s="2">
        <f t="shared" si="16"/>
        <v>433180823.69861704</v>
      </c>
      <c r="AAI24" s="2">
        <f t="shared" si="16"/>
        <v>437512631.9356032</v>
      </c>
      <c r="AAJ24" s="2">
        <f t="shared" si="16"/>
        <v>441887758.25495923</v>
      </c>
      <c r="AAK24" s="2">
        <f t="shared" si="16"/>
        <v>446306635.8375088</v>
      </c>
      <c r="AAL24" s="2">
        <f t="shared" si="16"/>
        <v>450769702.19588387</v>
      </c>
      <c r="AAM24" s="2">
        <f t="shared" si="16"/>
        <v>455277399.2178427</v>
      </c>
      <c r="AAN24" s="2">
        <f t="shared" si="16"/>
        <v>459830173.21002114</v>
      </c>
      <c r="AAO24" s="2">
        <f t="shared" si="16"/>
        <v>464428474.94212133</v>
      </c>
      <c r="AAP24" s="2">
        <f t="shared" si="16"/>
        <v>469072759.69154257</v>
      </c>
      <c r="AAQ24" s="2">
        <f t="shared" si="16"/>
        <v>473763487.28845799</v>
      </c>
      <c r="AAR24" s="2">
        <f t="shared" si="16"/>
        <v>478501122.16134256</v>
      </c>
      <c r="AAS24" s="2">
        <f t="shared" si="16"/>
        <v>483286133.38295597</v>
      </c>
      <c r="AAT24" s="2">
        <f t="shared" si="16"/>
        <v>488118994.71678555</v>
      </c>
      <c r="AAU24" s="2">
        <f t="shared" si="16"/>
        <v>493000184.66395342</v>
      </c>
      <c r="AAV24" s="2">
        <f t="shared" si="16"/>
        <v>497930186.51059294</v>
      </c>
      <c r="AAW24" s="2">
        <f t="shared" si="16"/>
        <v>502909488.37569886</v>
      </c>
      <c r="AAX24" s="2">
        <f t="shared" si="16"/>
        <v>507938583.25945586</v>
      </c>
      <c r="AAY24" s="2">
        <f t="shared" si="16"/>
        <v>513017969.09205043</v>
      </c>
      <c r="AAZ24" s="2">
        <f t="shared" si="16"/>
        <v>518148148.78297096</v>
      </c>
      <c r="ABA24" s="2">
        <f t="shared" si="16"/>
        <v>523329630.27080065</v>
      </c>
      <c r="ABB24" s="2">
        <f t="shared" si="16"/>
        <v>528562926.57350868</v>
      </c>
      <c r="ABC24" s="2">
        <f t="shared" si="16"/>
        <v>533848555.83924377</v>
      </c>
      <c r="ABD24" s="2">
        <f t="shared" si="16"/>
        <v>539187041.39763618</v>
      </c>
      <c r="ABE24" s="2">
        <f t="shared" si="16"/>
        <v>544578911.81161249</v>
      </c>
      <c r="ABF24" s="2">
        <f t="shared" si="16"/>
        <v>550024700.92972863</v>
      </c>
      <c r="ABG24" s="2">
        <f t="shared" si="16"/>
        <v>555524947.93902588</v>
      </c>
      <c r="ABH24" s="2">
        <f t="shared" si="16"/>
        <v>561080197.41841614</v>
      </c>
      <c r="ABI24" s="2">
        <f t="shared" si="16"/>
        <v>566690999.3926003</v>
      </c>
      <c r="ABJ24" s="2">
        <f t="shared" si="16"/>
        <v>572357909.38652635</v>
      </c>
      <c r="ABK24" s="2">
        <f t="shared" si="16"/>
        <v>578081488.48039162</v>
      </c>
      <c r="ABL24" s="2">
        <f t="shared" si="16"/>
        <v>583862303.36519551</v>
      </c>
      <c r="ABM24" s="2">
        <f t="shared" si="16"/>
        <v>589700926.39884746</v>
      </c>
      <c r="ABN24" s="2">
        <f t="shared" ref="ABN24:ABP24" si="17">ABM24*(1+$C$114)</f>
        <v>595597935.66283596</v>
      </c>
      <c r="ABO24" s="2">
        <f t="shared" si="17"/>
        <v>601553915.01946437</v>
      </c>
      <c r="ABP24" s="2">
        <f>ABO24*(1+$C$114)</f>
        <v>607569454.16965902</v>
      </c>
      <c r="ABQ24" s="2">
        <f t="shared" ref="ABQ24:ADO24" si="18">ABP24*(1+$C$114)</f>
        <v>613645148.71135557</v>
      </c>
      <c r="ABR24" s="2">
        <f t="shared" si="18"/>
        <v>619781600.19846916</v>
      </c>
      <c r="ABS24" s="2">
        <f t="shared" si="18"/>
        <v>625979416.20045388</v>
      </c>
      <c r="ABT24" s="2">
        <f t="shared" si="18"/>
        <v>632239210.36245847</v>
      </c>
      <c r="ABU24" s="2">
        <f t="shared" si="18"/>
        <v>638561602.46608305</v>
      </c>
      <c r="ABV24" s="2">
        <f t="shared" si="18"/>
        <v>644947218.49074388</v>
      </c>
      <c r="ABW24" s="2">
        <f t="shared" si="18"/>
        <v>651396690.67565131</v>
      </c>
      <c r="ABX24" s="2">
        <f t="shared" si="18"/>
        <v>657910657.58240783</v>
      </c>
      <c r="ABY24" s="2">
        <f t="shared" si="18"/>
        <v>664489764.15823197</v>
      </c>
      <c r="ABZ24" s="2">
        <f t="shared" si="18"/>
        <v>671134661.79981434</v>
      </c>
      <c r="ACA24" s="2">
        <f t="shared" si="18"/>
        <v>677846008.41781247</v>
      </c>
      <c r="ACB24" s="2">
        <f t="shared" si="18"/>
        <v>684624468.50199056</v>
      </c>
      <c r="ACC24" s="2">
        <f t="shared" si="18"/>
        <v>691470713.18701053</v>
      </c>
      <c r="ACD24" s="2">
        <f t="shared" si="18"/>
        <v>698385420.31888068</v>
      </c>
      <c r="ACE24" s="2">
        <f t="shared" si="18"/>
        <v>705369274.52206945</v>
      </c>
      <c r="ACF24" s="2">
        <f t="shared" si="18"/>
        <v>712422967.26729012</v>
      </c>
      <c r="ACG24" s="2">
        <f t="shared" si="18"/>
        <v>719547196.93996298</v>
      </c>
      <c r="ACH24" s="2">
        <f t="shared" si="18"/>
        <v>726742668.90936267</v>
      </c>
      <c r="ACI24" s="2">
        <f t="shared" si="18"/>
        <v>734010095.59845626</v>
      </c>
      <c r="ACJ24" s="2">
        <f t="shared" si="18"/>
        <v>741350196.55444086</v>
      </c>
      <c r="ACK24" s="2">
        <f t="shared" si="18"/>
        <v>748763698.51998532</v>
      </c>
      <c r="ACL24" s="2">
        <f t="shared" si="18"/>
        <v>756251335.50518513</v>
      </c>
      <c r="ACM24" s="2">
        <f t="shared" si="18"/>
        <v>763813848.860237</v>
      </c>
      <c r="ACN24" s="2">
        <f t="shared" si="18"/>
        <v>771451987.3488394</v>
      </c>
      <c r="ACO24" s="2">
        <f t="shared" si="18"/>
        <v>779166507.22232783</v>
      </c>
      <c r="ACP24" s="2">
        <f t="shared" si="18"/>
        <v>786958172.29455113</v>
      </c>
      <c r="ACQ24" s="2">
        <f t="shared" si="18"/>
        <v>794827754.01749671</v>
      </c>
      <c r="ACR24" s="2">
        <f t="shared" si="18"/>
        <v>802776031.55767167</v>
      </c>
      <c r="ACS24" s="2">
        <f t="shared" si="18"/>
        <v>810803791.87324834</v>
      </c>
      <c r="ACT24" s="2">
        <f t="shared" si="18"/>
        <v>818911829.79198086</v>
      </c>
      <c r="ACU24" s="2">
        <f t="shared" si="18"/>
        <v>827100948.08990073</v>
      </c>
      <c r="ACV24" s="2">
        <f t="shared" si="18"/>
        <v>835371957.57079971</v>
      </c>
      <c r="ACW24" s="2">
        <f t="shared" si="18"/>
        <v>843725677.14650774</v>
      </c>
      <c r="ACX24" s="2">
        <f t="shared" si="18"/>
        <v>852162933.9179728</v>
      </c>
      <c r="ACY24" s="2">
        <f t="shared" si="18"/>
        <v>860684563.25715256</v>
      </c>
      <c r="ACZ24" s="2">
        <f t="shared" si="18"/>
        <v>869291408.88972414</v>
      </c>
      <c r="ADA24" s="2">
        <f t="shared" si="18"/>
        <v>877984322.97862136</v>
      </c>
      <c r="ADB24" s="2">
        <f t="shared" si="18"/>
        <v>886764166.20840764</v>
      </c>
      <c r="ADC24" s="2">
        <f t="shared" si="18"/>
        <v>895631807.87049174</v>
      </c>
      <c r="ADD24" s="2">
        <f t="shared" si="18"/>
        <v>904588125.9491967</v>
      </c>
      <c r="ADE24" s="2">
        <f t="shared" si="18"/>
        <v>913634007.20868862</v>
      </c>
      <c r="ADF24" s="2">
        <f t="shared" si="18"/>
        <v>922770347.28077555</v>
      </c>
      <c r="ADG24" s="2">
        <f t="shared" si="18"/>
        <v>931998050.75358331</v>
      </c>
      <c r="ADH24" s="2">
        <f t="shared" si="18"/>
        <v>941318031.26111913</v>
      </c>
      <c r="ADI24" s="2">
        <f t="shared" si="18"/>
        <v>950731211.57373035</v>
      </c>
      <c r="ADJ24" s="2">
        <f t="shared" si="18"/>
        <v>960238523.68946767</v>
      </c>
      <c r="ADK24" s="2">
        <f t="shared" si="18"/>
        <v>969840908.9263624</v>
      </c>
      <c r="ADL24" s="2">
        <f t="shared" si="18"/>
        <v>979539318.01562607</v>
      </c>
      <c r="ADM24" s="2">
        <f t="shared" si="18"/>
        <v>989334711.1957823</v>
      </c>
      <c r="ADN24" s="2">
        <f t="shared" si="18"/>
        <v>999228058.30774009</v>
      </c>
      <c r="ADO24" s="2">
        <f>ADN24*(1+$C$114)</f>
        <v>1009220338.8908175</v>
      </c>
    </row>
    <row r="25" spans="2:795" x14ac:dyDescent="0.25">
      <c r="T25" s="9"/>
    </row>
    <row r="26" spans="2:795" x14ac:dyDescent="0.25">
      <c r="B26" s="2" t="s">
        <v>117</v>
      </c>
      <c r="C26" s="2">
        <v>2506</v>
      </c>
      <c r="D26" s="2">
        <v>2495</v>
      </c>
      <c r="E26" s="2">
        <v>2483</v>
      </c>
      <c r="G26" s="2">
        <v>2470</v>
      </c>
      <c r="H26" s="2">
        <v>2473</v>
      </c>
      <c r="I26" s="2">
        <v>24680</v>
      </c>
      <c r="K26" s="2">
        <v>24461</v>
      </c>
      <c r="L26" s="2">
        <v>24578</v>
      </c>
      <c r="M26" s="2">
        <v>24533</v>
      </c>
      <c r="O26" s="2">
        <v>24441</v>
      </c>
      <c r="P26" s="2">
        <v>24441</v>
      </c>
      <c r="Q26" s="2">
        <v>24441</v>
      </c>
      <c r="R26" s="2">
        <v>24441</v>
      </c>
      <c r="U26" s="2">
        <v>2496</v>
      </c>
      <c r="V26" s="2">
        <v>24870</v>
      </c>
      <c r="W26" s="2">
        <v>24690</v>
      </c>
      <c r="X26" s="2">
        <v>24555</v>
      </c>
      <c r="Y26" s="2">
        <f>O26</f>
        <v>24441</v>
      </c>
      <c r="Z26" s="2">
        <f>Y26</f>
        <v>24441</v>
      </c>
      <c r="AA26" s="2">
        <f t="shared" ref="AA26:AC26" si="19">Z26</f>
        <v>24441</v>
      </c>
      <c r="AB26" s="2">
        <f t="shared" si="19"/>
        <v>24441</v>
      </c>
      <c r="AC26" s="2">
        <f t="shared" si="19"/>
        <v>24441</v>
      </c>
    </row>
    <row r="27" spans="2:795" x14ac:dyDescent="0.25">
      <c r="B27" s="2" t="s">
        <v>116</v>
      </c>
      <c r="C27" s="2">
        <f>C24/C26</f>
        <v>0.64565043894652829</v>
      </c>
      <c r="D27" s="2">
        <f>D24/D26</f>
        <v>0.26292585170340682</v>
      </c>
      <c r="E27" s="2">
        <f>E24/E26</f>
        <v>0.27386226339105918</v>
      </c>
      <c r="G27" s="2">
        <f>G24/G26</f>
        <v>0.82712550607287449</v>
      </c>
      <c r="H27" s="2">
        <f>H24/H26</f>
        <v>2.5022240194096241</v>
      </c>
      <c r="I27" s="2">
        <f>I24/I26</f>
        <v>0.37451377633711508</v>
      </c>
      <c r="K27" s="2">
        <f>K24/K26</f>
        <v>0.60835615878336946</v>
      </c>
      <c r="L27" s="2">
        <f>L24/L26</f>
        <v>0.67536007811864274</v>
      </c>
      <c r="M27" s="2">
        <f>M24/M26</f>
        <v>0.78706232421636169</v>
      </c>
      <c r="O27" s="2">
        <f>O24/O26</f>
        <v>0.76817642485986659</v>
      </c>
      <c r="P27" s="2">
        <f>P24/P26</f>
        <v>0.86001426721026142</v>
      </c>
      <c r="Q27" s="2">
        <f t="shared" ref="Q27:R27" si="20">Q24/Q26</f>
        <v>0.91719576397025571</v>
      </c>
      <c r="R27" s="2">
        <f t="shared" si="20"/>
        <v>0.94375084798524767</v>
      </c>
      <c r="U27" s="2">
        <f>U24/U26</f>
        <v>3.9070512820512819</v>
      </c>
      <c r="V27" s="2">
        <f>V24/V26</f>
        <v>0.17563329312424608</v>
      </c>
      <c r="W27" s="2">
        <f>W24/W26</f>
        <v>1.2053462940461726</v>
      </c>
      <c r="X27" s="2">
        <f>X24/X26</f>
        <v>2.9680309509264915</v>
      </c>
      <c r="Y27" s="2">
        <f>Y24/Y26</f>
        <v>3.489137304025633</v>
      </c>
      <c r="Z27" s="2">
        <f>Z24/Z26</f>
        <v>5.7455643819248934</v>
      </c>
      <c r="AA27" s="2">
        <f t="shared" ref="AA27:AC27" si="21">AA24/AA26</f>
        <v>9.3307527330525151</v>
      </c>
      <c r="AB27" s="2">
        <f t="shared" si="21"/>
        <v>14.194738272633669</v>
      </c>
      <c r="AC27" s="2">
        <f t="shared" si="21"/>
        <v>20.215975648134581</v>
      </c>
    </row>
    <row r="29" spans="2:795" x14ac:dyDescent="0.25">
      <c r="B29" s="12" t="s">
        <v>51</v>
      </c>
      <c r="N29" s="15"/>
      <c r="O29" s="15">
        <f>O14/K14-1</f>
        <v>0.69182921210259551</v>
      </c>
      <c r="P29" s="15">
        <f>P14/L14-1</f>
        <v>0.66481191744340862</v>
      </c>
      <c r="Q29" s="15">
        <f>Q14/M14-1</f>
        <v>0.55781145601733106</v>
      </c>
      <c r="R29" s="15"/>
      <c r="T29" s="9"/>
      <c r="U29" s="15"/>
      <c r="V29" s="15">
        <f>V14/U14-1</f>
        <v>2.2293230289069932E-3</v>
      </c>
      <c r="W29" s="15">
        <f>W14/V14-1</f>
        <v>1.2585452658115224</v>
      </c>
      <c r="X29" s="15">
        <f>X14/W14-1</f>
        <v>1.1420340763599355</v>
      </c>
      <c r="Y29" s="15">
        <f>Y14/X14-1</f>
        <v>0.58598301397733299</v>
      </c>
      <c r="Z29" s="15">
        <f>Z14/Y14-1</f>
        <v>0.5514820067481816</v>
      </c>
      <c r="AA29" s="15">
        <f>AA14/Z14-1</f>
        <v>0.55509986120130428</v>
      </c>
      <c r="AB29" s="15">
        <f>AB14/AA14-1</f>
        <v>0.48120750017475622</v>
      </c>
      <c r="AC29" s="15">
        <f>AC14/AB14-1</f>
        <v>0.40148653992706818</v>
      </c>
    </row>
    <row r="30" spans="2:795" x14ac:dyDescent="0.25">
      <c r="B30" s="12" t="s">
        <v>52</v>
      </c>
      <c r="C30" s="15">
        <f>C16/C14</f>
        <v>0.65528474903474898</v>
      </c>
      <c r="D30" s="15">
        <f>D16/D14</f>
        <v>0.43481503579952269</v>
      </c>
      <c r="E30" s="15">
        <f>E16/E14</f>
        <v>0.53566009104704093</v>
      </c>
      <c r="G30" s="15">
        <f>G16/G14</f>
        <v>0.64627363737486099</v>
      </c>
      <c r="H30" s="15">
        <f>H16/H14</f>
        <v>0.7005256533649219</v>
      </c>
      <c r="I30" s="15">
        <f>I16/I14</f>
        <v>0.73951434878587197</v>
      </c>
      <c r="K30" s="15">
        <f>K16/K14</f>
        <v>0.78352019659038552</v>
      </c>
      <c r="L30" s="15">
        <f>L16/L14</f>
        <v>0.75146471371504664</v>
      </c>
      <c r="M30" s="15">
        <f>M16/M14</f>
        <v>0.74556752750698363</v>
      </c>
      <c r="N30" s="15"/>
      <c r="O30" s="15">
        <f>O16/O14</f>
        <v>0.60523807362353044</v>
      </c>
      <c r="P30" s="15">
        <f>P16/P14</f>
        <v>0.60519999999999996</v>
      </c>
      <c r="Q30" s="15">
        <f>Q16/Q14</f>
        <v>0.60519999999999996</v>
      </c>
      <c r="R30" s="15">
        <f>R16/R14</f>
        <v>0.60520000000000007</v>
      </c>
      <c r="T30" s="9"/>
      <c r="U30" s="15">
        <f>U16/U14</f>
        <v>0.64929033216913135</v>
      </c>
      <c r="V30" s="15">
        <f>V16/V14</f>
        <v>0.56928894490991322</v>
      </c>
      <c r="W30" s="15">
        <f>W16/W14</f>
        <v>0.72717573290436954</v>
      </c>
      <c r="X30" s="15">
        <f>X16/X14</f>
        <v>0.74988697058169917</v>
      </c>
      <c r="Y30" s="15">
        <f>Y16/Y14</f>
        <v>0.60520810567819994</v>
      </c>
      <c r="Z30" s="15">
        <f>Z16/Z14</f>
        <v>0.60520000000000007</v>
      </c>
      <c r="AA30" s="15">
        <f t="shared" ref="AA30:AC30" si="22">AA16/AA14</f>
        <v>0.60519999999999996</v>
      </c>
      <c r="AB30" s="15">
        <f t="shared" si="22"/>
        <v>0.60520000000000007</v>
      </c>
      <c r="AC30" s="15">
        <f t="shared" si="22"/>
        <v>0.60520000000000007</v>
      </c>
    </row>
    <row r="31" spans="2:795" x14ac:dyDescent="0.25">
      <c r="B31" s="12" t="s">
        <v>53</v>
      </c>
      <c r="C31" s="15">
        <f>C23/C22</f>
        <v>-0.10360110803324099</v>
      </c>
      <c r="D31" s="15">
        <f>D23/D22</f>
        <v>0.38105263157894737</v>
      </c>
      <c r="E31" s="15">
        <f>E23/E22</f>
        <v>0.10929853181076672</v>
      </c>
      <c r="G31" s="15">
        <f>G23/G22</f>
        <v>-7.5147125396106837E-2</v>
      </c>
      <c r="H31" s="15">
        <f>H23/H22</f>
        <v>-0.11359404096834265</v>
      </c>
      <c r="I31" s="15">
        <f>I23/I22</f>
        <v>-0.12155483748336818</v>
      </c>
      <c r="K31" s="15">
        <f>K23/K22</f>
        <v>-0.13878117946640431</v>
      </c>
      <c r="L31" s="15">
        <f>L23/L22</f>
        <v>-0.1360986780472572</v>
      </c>
      <c r="M31" s="15">
        <f>M23/M22</f>
        <v>-0.13474637031726117</v>
      </c>
      <c r="N31" s="15"/>
      <c r="O31" s="15">
        <f>O23/O22</f>
        <v>-0.1430853491556367</v>
      </c>
      <c r="P31" s="15">
        <f>P23/P22</f>
        <v>-0.1431</v>
      </c>
      <c r="Q31" s="15">
        <f>Q23/Q22</f>
        <v>-0.1431</v>
      </c>
      <c r="R31" s="15">
        <f>R23/R22</f>
        <v>-0.1431</v>
      </c>
      <c r="T31" s="9"/>
      <c r="U31" s="15">
        <f>U23/U22</f>
        <v>-1.9012171813700834E-2</v>
      </c>
      <c r="V31" s="15">
        <f>V23/V22</f>
        <v>4.4726142071274816E-2</v>
      </c>
      <c r="W31" s="15">
        <f>W23/W22</f>
        <v>-0.1199952687917677</v>
      </c>
      <c r="X31" s="15">
        <f>X23/X22</f>
        <v>-0.13264941803727417</v>
      </c>
      <c r="Y31" s="15">
        <f>Y23/Y22</f>
        <v>-0.14309677447970448</v>
      </c>
      <c r="Z31" s="15">
        <f>Z23/Z22</f>
        <v>-0.1431</v>
      </c>
      <c r="AA31" s="15">
        <f t="shared" ref="AA31:AC31" si="23">AA23/AA22</f>
        <v>-0.1431</v>
      </c>
      <c r="AB31" s="15">
        <f t="shared" si="23"/>
        <v>-0.1431</v>
      </c>
      <c r="AC31" s="15">
        <f t="shared" si="23"/>
        <v>-0.1431</v>
      </c>
    </row>
    <row r="32" spans="2:795" x14ac:dyDescent="0.25">
      <c r="B32" s="12" t="s">
        <v>96</v>
      </c>
      <c r="T32" s="9"/>
    </row>
    <row r="34" spans="1:28" ht="15.6" x14ac:dyDescent="0.4">
      <c r="A34" s="2" t="s">
        <v>66</v>
      </c>
      <c r="B34" s="5" t="s">
        <v>65</v>
      </c>
      <c r="C34" s="16" t="s">
        <v>55</v>
      </c>
      <c r="D34" s="16" t="s">
        <v>56</v>
      </c>
      <c r="E34" s="16" t="s">
        <v>57</v>
      </c>
      <c r="F34" s="16" t="s">
        <v>121</v>
      </c>
      <c r="G34" s="16"/>
      <c r="H34" s="16"/>
      <c r="I34" s="16"/>
      <c r="J34" s="16"/>
      <c r="L34" s="11"/>
      <c r="M34" s="11"/>
      <c r="N34" s="11"/>
      <c r="O34" s="11"/>
      <c r="P34" s="11"/>
      <c r="Q34" s="11"/>
      <c r="R34" s="11"/>
      <c r="U34" s="11"/>
      <c r="V34" s="11"/>
      <c r="W34" s="11"/>
      <c r="X34" s="11"/>
      <c r="Y34" s="11"/>
      <c r="Z34" s="11"/>
      <c r="AA34" s="11"/>
      <c r="AB34" s="11"/>
    </row>
    <row r="36" spans="1:28" x14ac:dyDescent="0.25">
      <c r="B36" s="17" t="s">
        <v>92</v>
      </c>
      <c r="D36" s="2">
        <f>3389+9907-1250-9703</f>
        <v>2343</v>
      </c>
      <c r="E36" s="2">
        <f>7280+18704-1250-8459</f>
        <v>16275</v>
      </c>
      <c r="F36" s="2">
        <f>8589+34621-0-8463</f>
        <v>34747</v>
      </c>
    </row>
    <row r="38" spans="1:28" x14ac:dyDescent="0.25">
      <c r="B38" s="12" t="s">
        <v>67</v>
      </c>
      <c r="D38" s="2">
        <v>3389</v>
      </c>
      <c r="E38" s="2">
        <v>7280</v>
      </c>
      <c r="F38" s="2">
        <v>8589</v>
      </c>
    </row>
    <row r="39" spans="1:28" x14ac:dyDescent="0.25">
      <c r="B39" s="12" t="s">
        <v>68</v>
      </c>
      <c r="D39" s="2">
        <v>9907</v>
      </c>
      <c r="E39" s="2">
        <v>18704</v>
      </c>
      <c r="F39" s="2">
        <v>34621</v>
      </c>
    </row>
    <row r="40" spans="1:28" x14ac:dyDescent="0.25">
      <c r="B40" s="12" t="s">
        <v>69</v>
      </c>
      <c r="D40" s="2">
        <v>3827</v>
      </c>
      <c r="E40" s="2">
        <v>9999</v>
      </c>
      <c r="F40" s="2">
        <v>23065</v>
      </c>
    </row>
    <row r="41" spans="1:28" x14ac:dyDescent="0.25">
      <c r="B41" s="12" t="s">
        <v>70</v>
      </c>
      <c r="D41" s="2">
        <v>5159</v>
      </c>
      <c r="E41" s="2">
        <v>5282</v>
      </c>
      <c r="F41" s="2">
        <v>10080</v>
      </c>
    </row>
    <row r="42" spans="1:28" x14ac:dyDescent="0.25">
      <c r="B42" s="12" t="s">
        <v>71</v>
      </c>
      <c r="D42" s="2">
        <v>791</v>
      </c>
      <c r="E42" s="2">
        <v>3080</v>
      </c>
      <c r="F42" s="2">
        <v>3771</v>
      </c>
    </row>
    <row r="43" spans="1:28" x14ac:dyDescent="0.25">
      <c r="B43" s="2" t="s">
        <v>72</v>
      </c>
      <c r="C43" s="2">
        <f>SUM(C38:C42)</f>
        <v>0</v>
      </c>
      <c r="D43" s="2">
        <f>SUM(D38:D42)</f>
        <v>23073</v>
      </c>
      <c r="E43" s="2">
        <f t="shared" ref="D43:J43" si="24">SUM(E38:E42)</f>
        <v>44345</v>
      </c>
      <c r="F43" s="2">
        <f t="shared" si="24"/>
        <v>80126</v>
      </c>
      <c r="G43" s="2">
        <f t="shared" si="24"/>
        <v>0</v>
      </c>
      <c r="H43" s="2">
        <f t="shared" si="24"/>
        <v>0</v>
      </c>
      <c r="I43" s="2">
        <f t="shared" si="24"/>
        <v>0</v>
      </c>
      <c r="J43" s="2">
        <f t="shared" si="24"/>
        <v>0</v>
      </c>
    </row>
    <row r="46" spans="1:28" x14ac:dyDescent="0.25">
      <c r="B46" s="12" t="s">
        <v>73</v>
      </c>
      <c r="D46" s="2">
        <v>3807</v>
      </c>
      <c r="E46" s="2">
        <v>3914</v>
      </c>
      <c r="F46" s="2">
        <v>6283</v>
      </c>
    </row>
    <row r="47" spans="1:28" x14ac:dyDescent="0.25">
      <c r="B47" s="12" t="s">
        <v>74</v>
      </c>
      <c r="D47" s="2">
        <v>1038</v>
      </c>
      <c r="E47" s="2">
        <v>1346</v>
      </c>
      <c r="F47" s="2">
        <v>1793</v>
      </c>
    </row>
    <row r="48" spans="1:28" x14ac:dyDescent="0.25">
      <c r="B48" s="12" t="s">
        <v>75</v>
      </c>
      <c r="D48" s="2">
        <v>4372</v>
      </c>
      <c r="E48" s="2">
        <v>4430</v>
      </c>
      <c r="F48" s="2">
        <v>5188</v>
      </c>
    </row>
    <row r="49" spans="2:10" x14ac:dyDescent="0.25">
      <c r="B49" s="12" t="s">
        <v>76</v>
      </c>
      <c r="D49" s="2">
        <v>1676</v>
      </c>
      <c r="E49" s="2">
        <v>1112</v>
      </c>
      <c r="F49" s="2">
        <v>807</v>
      </c>
    </row>
    <row r="50" spans="2:10" x14ac:dyDescent="0.25">
      <c r="B50" s="12" t="s">
        <v>78</v>
      </c>
      <c r="D50" s="2">
        <v>3396</v>
      </c>
      <c r="E50" s="2">
        <v>6081</v>
      </c>
      <c r="F50" s="2">
        <v>10979</v>
      </c>
    </row>
    <row r="51" spans="2:10" x14ac:dyDescent="0.25">
      <c r="B51" s="12" t="s">
        <v>79</v>
      </c>
      <c r="D51" s="2">
        <v>3820</v>
      </c>
      <c r="E51" s="2">
        <v>4500</v>
      </c>
      <c r="F51" s="2">
        <v>6425</v>
      </c>
    </row>
    <row r="52" spans="2:10" x14ac:dyDescent="0.25">
      <c r="B52" s="2" t="s">
        <v>80</v>
      </c>
      <c r="C52" s="2">
        <f t="shared" ref="C52:J52" si="25">SUM(C46:C51)</f>
        <v>0</v>
      </c>
      <c r="D52" s="2">
        <f>SUM(D46:D51)</f>
        <v>18109</v>
      </c>
      <c r="E52" s="2">
        <f>SUM(E46:E51)</f>
        <v>21383</v>
      </c>
      <c r="F52" s="2">
        <f>SUM(F46:F51)</f>
        <v>31475</v>
      </c>
      <c r="G52" s="2">
        <f t="shared" si="25"/>
        <v>0</v>
      </c>
      <c r="H52" s="2">
        <f t="shared" si="25"/>
        <v>0</v>
      </c>
      <c r="I52" s="2">
        <f t="shared" si="25"/>
        <v>0</v>
      </c>
      <c r="J52" s="2">
        <f t="shared" si="25"/>
        <v>0</v>
      </c>
    </row>
    <row r="54" spans="2:10" ht="15.6" x14ac:dyDescent="0.4">
      <c r="B54" s="7" t="s">
        <v>81</v>
      </c>
      <c r="C54" s="2">
        <f>+C52+C43</f>
        <v>0</v>
      </c>
      <c r="D54" s="2">
        <f t="shared" ref="D54:J54" si="26">+D52+D43</f>
        <v>41182</v>
      </c>
      <c r="E54" s="2">
        <f>+E52+E43</f>
        <v>65728</v>
      </c>
      <c r="F54" s="2">
        <f>+F52+F43</f>
        <v>111601</v>
      </c>
      <c r="G54" s="2">
        <f t="shared" si="26"/>
        <v>0</v>
      </c>
      <c r="H54" s="2">
        <f t="shared" si="26"/>
        <v>0</v>
      </c>
      <c r="I54" s="2">
        <f t="shared" si="26"/>
        <v>0</v>
      </c>
      <c r="J54" s="2">
        <f t="shared" si="26"/>
        <v>0</v>
      </c>
    </row>
    <row r="56" spans="2:10" x14ac:dyDescent="0.25">
      <c r="B56" s="12" t="s">
        <v>82</v>
      </c>
      <c r="D56" s="2">
        <v>1193</v>
      </c>
      <c r="E56" s="2">
        <v>2699</v>
      </c>
      <c r="F56" s="2">
        <v>6310</v>
      </c>
    </row>
    <row r="57" spans="2:10" x14ac:dyDescent="0.25">
      <c r="B57" s="12" t="s">
        <v>83</v>
      </c>
      <c r="D57" s="2">
        <f>4120+1250</f>
        <v>5370</v>
      </c>
      <c r="E57" s="2">
        <f>6682+1250</f>
        <v>7932</v>
      </c>
      <c r="F57" s="2">
        <v>11737</v>
      </c>
    </row>
    <row r="58" spans="2:10" x14ac:dyDescent="0.25">
      <c r="B58" s="2" t="s">
        <v>84</v>
      </c>
      <c r="C58" s="2">
        <f>SUM(C56:C57)</f>
        <v>0</v>
      </c>
      <c r="D58" s="2">
        <f>SUM(D56:D57)</f>
        <v>6563</v>
      </c>
      <c r="E58" s="2">
        <f t="shared" ref="D58:J58" si="27">SUM(E56:E57)</f>
        <v>10631</v>
      </c>
      <c r="F58" s="2">
        <f>SUM(F56:F57)</f>
        <v>18047</v>
      </c>
      <c r="G58" s="2">
        <f t="shared" si="27"/>
        <v>0</v>
      </c>
      <c r="H58" s="2">
        <f t="shared" si="27"/>
        <v>0</v>
      </c>
      <c r="I58" s="2">
        <f t="shared" si="27"/>
        <v>0</v>
      </c>
      <c r="J58" s="2">
        <f t="shared" si="27"/>
        <v>0</v>
      </c>
    </row>
    <row r="60" spans="2:10" x14ac:dyDescent="0.25">
      <c r="B60" s="12" t="s">
        <v>85</v>
      </c>
      <c r="D60" s="2">
        <v>9703</v>
      </c>
      <c r="E60" s="2">
        <v>8459</v>
      </c>
      <c r="F60" s="2">
        <v>8463</v>
      </c>
    </row>
    <row r="61" spans="2:10" x14ac:dyDescent="0.25">
      <c r="B61" s="12" t="s">
        <v>86</v>
      </c>
      <c r="D61" s="2">
        <v>902</v>
      </c>
      <c r="E61" s="2">
        <v>1119</v>
      </c>
      <c r="F61" s="2">
        <v>1519</v>
      </c>
    </row>
    <row r="62" spans="2:10" x14ac:dyDescent="0.25">
      <c r="B62" s="12" t="s">
        <v>87</v>
      </c>
      <c r="D62" s="2">
        <v>1913</v>
      </c>
      <c r="E62" s="2">
        <v>2541</v>
      </c>
      <c r="F62" s="2">
        <v>4245</v>
      </c>
    </row>
    <row r="63" spans="2:10" x14ac:dyDescent="0.25">
      <c r="B63" s="2" t="s">
        <v>88</v>
      </c>
      <c r="C63" s="2">
        <f>SUM(C60:C62)</f>
        <v>0</v>
      </c>
      <c r="D63" s="2">
        <f t="shared" ref="D63:J63" si="28">SUM(D60:D62)</f>
        <v>12518</v>
      </c>
      <c r="E63" s="2">
        <f t="shared" si="28"/>
        <v>12119</v>
      </c>
      <c r="F63" s="2">
        <f>SUM(F60:F62)</f>
        <v>14227</v>
      </c>
      <c r="G63" s="2">
        <f t="shared" si="28"/>
        <v>0</v>
      </c>
      <c r="H63" s="2">
        <f t="shared" si="28"/>
        <v>0</v>
      </c>
      <c r="I63" s="2">
        <f t="shared" si="28"/>
        <v>0</v>
      </c>
      <c r="J63" s="2">
        <f t="shared" si="28"/>
        <v>0</v>
      </c>
    </row>
    <row r="65" spans="1:28" ht="15.6" x14ac:dyDescent="0.4">
      <c r="B65" s="7" t="s">
        <v>89</v>
      </c>
      <c r="C65" s="2">
        <f t="shared" ref="C65:J65" si="29">+C58+C63</f>
        <v>0</v>
      </c>
      <c r="D65" s="2">
        <f t="shared" si="29"/>
        <v>19081</v>
      </c>
      <c r="E65" s="2">
        <f t="shared" si="29"/>
        <v>22750</v>
      </c>
      <c r="F65" s="2">
        <f t="shared" si="29"/>
        <v>32274</v>
      </c>
      <c r="G65" s="2">
        <f t="shared" si="29"/>
        <v>0</v>
      </c>
      <c r="H65" s="2">
        <f t="shared" si="29"/>
        <v>0</v>
      </c>
      <c r="I65" s="2">
        <f t="shared" si="29"/>
        <v>0</v>
      </c>
      <c r="J65" s="2">
        <f t="shared" si="29"/>
        <v>0</v>
      </c>
    </row>
    <row r="67" spans="1:28" ht="15.6" x14ac:dyDescent="0.4">
      <c r="B67" s="7" t="s">
        <v>90</v>
      </c>
      <c r="D67" s="2">
        <v>22101</v>
      </c>
      <c r="E67" s="2">
        <v>42978</v>
      </c>
      <c r="F67" s="2">
        <v>79327</v>
      </c>
    </row>
    <row r="69" spans="1:28" ht="15.6" x14ac:dyDescent="0.4">
      <c r="B69" s="7" t="s">
        <v>91</v>
      </c>
      <c r="C69" s="2">
        <f>+C65+C67</f>
        <v>0</v>
      </c>
      <c r="D69" s="2">
        <f t="shared" ref="D69:J69" si="30">+D65+D67</f>
        <v>41182</v>
      </c>
      <c r="E69" s="2">
        <f t="shared" si="30"/>
        <v>65728</v>
      </c>
      <c r="F69" s="2">
        <f t="shared" si="30"/>
        <v>111601</v>
      </c>
      <c r="G69" s="2">
        <f t="shared" si="30"/>
        <v>0</v>
      </c>
      <c r="H69" s="2">
        <f t="shared" si="30"/>
        <v>0</v>
      </c>
      <c r="I69" s="2">
        <f t="shared" si="30"/>
        <v>0</v>
      </c>
      <c r="J69" s="2">
        <f t="shared" si="30"/>
        <v>0</v>
      </c>
    </row>
    <row r="74" spans="1:28" ht="15.6" x14ac:dyDescent="0.4">
      <c r="A74" s="2" t="s">
        <v>66</v>
      </c>
      <c r="B74" s="5" t="s">
        <v>93</v>
      </c>
      <c r="C74" s="16">
        <v>2022</v>
      </c>
      <c r="D74" s="16">
        <v>2023</v>
      </c>
      <c r="E74" s="16">
        <v>2024</v>
      </c>
      <c r="F74" s="16">
        <v>2025</v>
      </c>
      <c r="G74" s="16">
        <v>2026</v>
      </c>
      <c r="H74" s="16">
        <v>2027</v>
      </c>
      <c r="I74" s="16">
        <v>2028</v>
      </c>
      <c r="J74" s="16">
        <v>2029</v>
      </c>
      <c r="L74" s="11"/>
      <c r="M74" s="11"/>
      <c r="N74" s="11"/>
      <c r="O74" s="11"/>
      <c r="P74" s="11"/>
      <c r="Q74" s="11"/>
      <c r="R74" s="11"/>
      <c r="U74" s="11"/>
      <c r="V74" s="11"/>
      <c r="W74" s="11"/>
      <c r="X74" s="11"/>
      <c r="Y74" s="11"/>
      <c r="Z74" s="11"/>
      <c r="AA74" s="11"/>
      <c r="AB74" s="11"/>
    </row>
    <row r="76" spans="1:28" x14ac:dyDescent="0.25">
      <c r="B76" s="2" t="s">
        <v>94</v>
      </c>
      <c r="C76" s="2">
        <f>U24</f>
        <v>9752</v>
      </c>
      <c r="D76" s="2">
        <f>V24</f>
        <v>4368</v>
      </c>
      <c r="E76" s="2">
        <f>W24</f>
        <v>29760</v>
      </c>
      <c r="F76" s="2">
        <f>X24</f>
        <v>72880</v>
      </c>
    </row>
    <row r="77" spans="1:28" x14ac:dyDescent="0.25">
      <c r="B77" s="2" t="s">
        <v>95</v>
      </c>
      <c r="C77" s="2">
        <v>9752</v>
      </c>
      <c r="D77" s="2">
        <v>4368</v>
      </c>
      <c r="E77" s="2">
        <v>29760</v>
      </c>
      <c r="F77" s="2">
        <v>72880</v>
      </c>
    </row>
    <row r="79" spans="1:28" x14ac:dyDescent="0.25">
      <c r="B79" s="2" t="s">
        <v>97</v>
      </c>
      <c r="C79" s="2">
        <v>2004</v>
      </c>
      <c r="D79" s="2">
        <v>2709</v>
      </c>
      <c r="E79" s="2">
        <v>3549</v>
      </c>
      <c r="F79" s="2">
        <v>4737</v>
      </c>
    </row>
    <row r="80" spans="1:28" x14ac:dyDescent="0.25">
      <c r="B80" s="2" t="s">
        <v>98</v>
      </c>
      <c r="C80" s="2">
        <v>1174</v>
      </c>
      <c r="D80" s="2">
        <v>1544</v>
      </c>
      <c r="E80" s="2">
        <v>1508</v>
      </c>
      <c r="F80" s="2">
        <v>1864</v>
      </c>
    </row>
    <row r="81" spans="2:10" x14ac:dyDescent="0.25">
      <c r="B81" s="2" t="s">
        <v>77</v>
      </c>
      <c r="C81" s="2">
        <v>-406</v>
      </c>
      <c r="D81" s="2">
        <v>-2164</v>
      </c>
      <c r="E81" s="2">
        <v>-2489</v>
      </c>
      <c r="F81" s="2">
        <v>-4477</v>
      </c>
    </row>
    <row r="82" spans="2:10" x14ac:dyDescent="0.25">
      <c r="B82" s="2" t="s">
        <v>120</v>
      </c>
      <c r="C82" s="2">
        <v>-100</v>
      </c>
      <c r="D82" s="2">
        <v>45</v>
      </c>
      <c r="E82" s="2">
        <v>-238</v>
      </c>
      <c r="F82" s="2">
        <v>-1030</v>
      </c>
    </row>
    <row r="83" spans="2:10" x14ac:dyDescent="0.25">
      <c r="B83" s="2" t="s">
        <v>87</v>
      </c>
      <c r="C83" s="2">
        <v>47</v>
      </c>
      <c r="D83" s="2">
        <f>1353-7</f>
        <v>1346</v>
      </c>
      <c r="E83" s="2">
        <v>-278</v>
      </c>
      <c r="F83" s="2">
        <v>-502</v>
      </c>
    </row>
    <row r="84" spans="2:10" x14ac:dyDescent="0.25">
      <c r="B84" s="19" t="s">
        <v>69</v>
      </c>
      <c r="C84" s="3">
        <v>-2215</v>
      </c>
      <c r="D84" s="3">
        <v>822</v>
      </c>
      <c r="E84" s="3">
        <v>-6172</v>
      </c>
      <c r="F84" s="3">
        <v>-13063</v>
      </c>
      <c r="G84" s="3"/>
      <c r="H84" s="3"/>
      <c r="I84" s="3"/>
      <c r="J84" s="20"/>
    </row>
    <row r="85" spans="2:10" x14ac:dyDescent="0.25">
      <c r="B85" s="9" t="s">
        <v>70</v>
      </c>
      <c r="C85" s="21">
        <v>-774</v>
      </c>
      <c r="D85" s="21">
        <v>-2554</v>
      </c>
      <c r="E85" s="21">
        <v>-98</v>
      </c>
      <c r="F85" s="21">
        <v>-4781</v>
      </c>
      <c r="G85" s="21"/>
      <c r="H85" s="21"/>
      <c r="I85" s="21"/>
      <c r="J85" s="22"/>
    </row>
    <row r="86" spans="2:10" x14ac:dyDescent="0.25">
      <c r="B86" s="9" t="s">
        <v>71</v>
      </c>
      <c r="C86" s="21">
        <v>-1715</v>
      </c>
      <c r="D86" s="21">
        <v>-1517</v>
      </c>
      <c r="E86" s="21">
        <v>-1522</v>
      </c>
      <c r="F86" s="21">
        <v>-395</v>
      </c>
      <c r="G86" s="21"/>
      <c r="H86" s="21"/>
      <c r="I86" s="21"/>
      <c r="J86" s="22"/>
    </row>
    <row r="87" spans="2:10" x14ac:dyDescent="0.25">
      <c r="B87" s="9" t="s">
        <v>82</v>
      </c>
      <c r="C87" s="21">
        <v>568</v>
      </c>
      <c r="D87" s="21">
        <v>-551</v>
      </c>
      <c r="E87" s="21">
        <v>1531</v>
      </c>
      <c r="F87" s="21">
        <v>3357</v>
      </c>
      <c r="G87" s="21"/>
      <c r="H87" s="21"/>
      <c r="I87" s="21"/>
      <c r="J87" s="22"/>
    </row>
    <row r="88" spans="2:10" x14ac:dyDescent="0.25">
      <c r="B88" s="9" t="s">
        <v>83</v>
      </c>
      <c r="C88" s="21">
        <v>581</v>
      </c>
      <c r="D88" s="21">
        <v>1341</v>
      </c>
      <c r="E88" s="21">
        <v>2025</v>
      </c>
      <c r="F88" s="21">
        <v>4278</v>
      </c>
      <c r="G88" s="21"/>
      <c r="H88" s="21"/>
      <c r="I88" s="21"/>
      <c r="J88" s="22"/>
    </row>
    <row r="89" spans="2:10" x14ac:dyDescent="0.25">
      <c r="B89" s="9" t="s">
        <v>87</v>
      </c>
      <c r="C89" s="21">
        <v>192</v>
      </c>
      <c r="D89" s="21">
        <v>252</v>
      </c>
      <c r="E89" s="21">
        <v>514</v>
      </c>
      <c r="F89" s="21">
        <v>1221</v>
      </c>
      <c r="G89" s="21"/>
      <c r="H89" s="21"/>
      <c r="I89" s="21"/>
      <c r="J89" s="22"/>
    </row>
    <row r="90" spans="2:10" x14ac:dyDescent="0.25">
      <c r="B90" s="23" t="s">
        <v>118</v>
      </c>
      <c r="C90" s="24">
        <f>SUM(C84:C89)</f>
        <v>-3363</v>
      </c>
      <c r="D90" s="24">
        <f>SUM(D84:D89)</f>
        <v>-2207</v>
      </c>
      <c r="E90" s="24">
        <f>SUM(E84:E89)</f>
        <v>-3722</v>
      </c>
      <c r="F90" s="24">
        <f>SUM(F84:F89)</f>
        <v>-9383</v>
      </c>
      <c r="G90" s="24">
        <f t="shared" ref="G90:J90" si="31">SUM(G84:G89)</f>
        <v>0</v>
      </c>
      <c r="H90" s="24">
        <f t="shared" si="31"/>
        <v>0</v>
      </c>
      <c r="I90" s="24">
        <f t="shared" si="31"/>
        <v>0</v>
      </c>
      <c r="J90" s="25">
        <f t="shared" si="31"/>
        <v>0</v>
      </c>
    </row>
    <row r="92" spans="2:10" x14ac:dyDescent="0.25">
      <c r="B92" s="2" t="s">
        <v>99</v>
      </c>
      <c r="C92" s="2">
        <f>+C77+SUM(C79:C89)</f>
        <v>9108</v>
      </c>
      <c r="D92" s="2">
        <f>+D77+SUM(D79:D89)</f>
        <v>5641</v>
      </c>
      <c r="E92" s="2">
        <f>+E77+SUM(E79:E89)</f>
        <v>28090</v>
      </c>
      <c r="F92" s="2">
        <f>+F77+SUM(F79:F89)</f>
        <v>64089</v>
      </c>
      <c r="G92" s="2">
        <f t="shared" ref="G92:J92" si="32">SUM(G79:G89)</f>
        <v>0</v>
      </c>
      <c r="H92" s="2">
        <f t="shared" si="32"/>
        <v>0</v>
      </c>
      <c r="I92" s="2">
        <f t="shared" si="32"/>
        <v>0</v>
      </c>
      <c r="J92" s="2">
        <f t="shared" si="32"/>
        <v>0</v>
      </c>
    </row>
    <row r="94" spans="2:10" x14ac:dyDescent="0.25">
      <c r="B94" s="2" t="s">
        <v>100</v>
      </c>
      <c r="C94" s="2">
        <v>15197</v>
      </c>
      <c r="D94" s="2">
        <v>19425</v>
      </c>
      <c r="E94" s="2">
        <v>9732</v>
      </c>
      <c r="F94" s="2">
        <v>11195</v>
      </c>
    </row>
    <row r="95" spans="2:10" x14ac:dyDescent="0.25">
      <c r="B95" s="2" t="s">
        <v>102</v>
      </c>
      <c r="C95" s="2">
        <f>-24787+1023-24</f>
        <v>-23788</v>
      </c>
      <c r="D95" s="2">
        <f>1806+8-11897-85</f>
        <v>-10168</v>
      </c>
      <c r="E95" s="2">
        <f>50+1-18211-862</f>
        <v>-19022</v>
      </c>
      <c r="F95" s="2">
        <f>495+171-26575-1486</f>
        <v>-27395</v>
      </c>
    </row>
    <row r="96" spans="2:10" x14ac:dyDescent="0.25">
      <c r="B96" s="2" t="s">
        <v>101</v>
      </c>
      <c r="C96" s="2">
        <v>-976</v>
      </c>
      <c r="D96" s="2">
        <v>-1833</v>
      </c>
      <c r="E96" s="2">
        <v>-1069</v>
      </c>
      <c r="F96" s="2">
        <v>-3236</v>
      </c>
    </row>
    <row r="97" spans="1:10" x14ac:dyDescent="0.25">
      <c r="B97" s="2" t="s">
        <v>103</v>
      </c>
      <c r="C97" s="2">
        <v>-263</v>
      </c>
      <c r="D97" s="2">
        <v>-49</v>
      </c>
      <c r="E97" s="2">
        <f>-83-124</f>
        <v>-207</v>
      </c>
      <c r="F97" s="2">
        <f>-1007+22</f>
        <v>-985</v>
      </c>
    </row>
    <row r="99" spans="1:10" x14ac:dyDescent="0.25">
      <c r="B99" s="2" t="s">
        <v>104</v>
      </c>
      <c r="C99" s="2">
        <f>SUM(C94:C98)</f>
        <v>-9830</v>
      </c>
      <c r="D99" s="2">
        <f t="shared" ref="D99:J99" si="33">SUM(D94:D98)</f>
        <v>7375</v>
      </c>
      <c r="E99" s="2">
        <f t="shared" si="33"/>
        <v>-10566</v>
      </c>
      <c r="F99" s="2">
        <f t="shared" si="33"/>
        <v>-20421</v>
      </c>
      <c r="G99" s="2">
        <f t="shared" si="33"/>
        <v>0</v>
      </c>
      <c r="H99" s="2">
        <f t="shared" si="33"/>
        <v>0</v>
      </c>
      <c r="I99" s="2">
        <f t="shared" si="33"/>
        <v>0</v>
      </c>
      <c r="J99" s="2">
        <f t="shared" si="33"/>
        <v>0</v>
      </c>
    </row>
    <row r="101" spans="1:10" x14ac:dyDescent="0.25">
      <c r="B101" s="2" t="s">
        <v>105</v>
      </c>
      <c r="C101" s="2">
        <f>+C92-C99</f>
        <v>18938</v>
      </c>
      <c r="D101" s="2">
        <f t="shared" ref="D101:J101" si="34">+D92-D99</f>
        <v>-1734</v>
      </c>
      <c r="E101" s="2">
        <f t="shared" si="34"/>
        <v>38656</v>
      </c>
      <c r="F101" s="2">
        <f t="shared" si="34"/>
        <v>84510</v>
      </c>
      <c r="G101" s="2">
        <f t="shared" si="34"/>
        <v>0</v>
      </c>
      <c r="H101" s="2">
        <f t="shared" si="34"/>
        <v>0</v>
      </c>
      <c r="I101" s="2">
        <f t="shared" si="34"/>
        <v>0</v>
      </c>
      <c r="J101" s="2">
        <f t="shared" si="34"/>
        <v>0</v>
      </c>
    </row>
    <row r="103" spans="1:10" x14ac:dyDescent="0.25">
      <c r="B103" s="2" t="s">
        <v>106</v>
      </c>
      <c r="C103" s="2">
        <v>281</v>
      </c>
      <c r="D103" s="2">
        <v>355</v>
      </c>
      <c r="E103" s="2">
        <v>403</v>
      </c>
      <c r="F103" s="2">
        <v>490</v>
      </c>
    </row>
    <row r="104" spans="1:10" x14ac:dyDescent="0.25">
      <c r="B104" s="17" t="s">
        <v>107</v>
      </c>
      <c r="C104" s="2">
        <v>0</v>
      </c>
      <c r="D104" s="2">
        <v>-10039</v>
      </c>
      <c r="E104" s="2">
        <v>-9533</v>
      </c>
      <c r="F104" s="2">
        <v>-33706</v>
      </c>
    </row>
    <row r="105" spans="1:10" x14ac:dyDescent="0.25">
      <c r="B105" s="2" t="s">
        <v>119</v>
      </c>
      <c r="C105" s="2">
        <f>-1000+4977-7</f>
        <v>3970</v>
      </c>
      <c r="D105" s="2">
        <v>0</v>
      </c>
      <c r="E105" s="2">
        <v>-1250</v>
      </c>
      <c r="F105" s="2">
        <v>-1250</v>
      </c>
    </row>
    <row r="106" spans="1:10" x14ac:dyDescent="0.25">
      <c r="B106" s="2" t="s">
        <v>108</v>
      </c>
      <c r="C106" s="2">
        <v>-1904</v>
      </c>
      <c r="D106" s="2">
        <v>-1475</v>
      </c>
      <c r="E106" s="2">
        <v>-2783</v>
      </c>
      <c r="F106" s="2">
        <v>-6930</v>
      </c>
    </row>
    <row r="107" spans="1:10" x14ac:dyDescent="0.25">
      <c r="B107" s="2" t="s">
        <v>109</v>
      </c>
      <c r="C107" s="2">
        <v>-399</v>
      </c>
      <c r="D107" s="2">
        <v>-398</v>
      </c>
      <c r="E107" s="2">
        <v>-395</v>
      </c>
      <c r="F107" s="2">
        <v>-834</v>
      </c>
    </row>
    <row r="108" spans="1:10" x14ac:dyDescent="0.25">
      <c r="B108" s="2" t="s">
        <v>110</v>
      </c>
      <c r="C108" s="2">
        <v>-83</v>
      </c>
      <c r="D108" s="2">
        <f>-58-2</f>
        <v>-60</v>
      </c>
      <c r="E108" s="2">
        <f>-74-1</f>
        <v>-75</v>
      </c>
      <c r="F108" s="2">
        <v>-129</v>
      </c>
    </row>
    <row r="110" spans="1:10" x14ac:dyDescent="0.25">
      <c r="B110" s="2" t="s">
        <v>111</v>
      </c>
      <c r="C110" s="2">
        <f>SUM(C103:C108)</f>
        <v>1865</v>
      </c>
      <c r="D110" s="2">
        <f>SUM(D103:D108)</f>
        <v>-11617</v>
      </c>
      <c r="E110" s="2">
        <f>SUM(E103:E108)</f>
        <v>-13633</v>
      </c>
      <c r="F110" s="2">
        <f>SUM(F103:F108)</f>
        <v>-42359</v>
      </c>
      <c r="G110" s="2">
        <f>SUM(G103:G108)</f>
        <v>0</v>
      </c>
      <c r="H110" s="2">
        <f>SUM(H103:H108)</f>
        <v>0</v>
      </c>
      <c r="I110" s="2">
        <f>SUM(I103:I108)</f>
        <v>0</v>
      </c>
      <c r="J110" s="2">
        <f>SUM(J103:J108)</f>
        <v>0</v>
      </c>
    </row>
    <row r="112" spans="1:10" x14ac:dyDescent="0.25">
      <c r="A112" s="2" t="s">
        <v>66</v>
      </c>
      <c r="B112" s="2" t="s">
        <v>112</v>
      </c>
    </row>
    <row r="114" spans="2:3" x14ac:dyDescent="0.25">
      <c r="B114" s="2" t="s">
        <v>115</v>
      </c>
      <c r="C114" s="15">
        <v>0.01</v>
      </c>
    </row>
    <row r="115" spans="2:3" x14ac:dyDescent="0.25">
      <c r="B115" s="2" t="s">
        <v>113</v>
      </c>
      <c r="C115" s="15">
        <v>0.09</v>
      </c>
    </row>
    <row r="116" spans="2:3" x14ac:dyDescent="0.25">
      <c r="B116" s="2" t="s">
        <v>114</v>
      </c>
      <c r="C116" s="26">
        <f>NPV(C115,Y24:XFD24)+Main!K7-Main!K8</f>
        <v>5038933.1451413445</v>
      </c>
    </row>
    <row r="117" spans="2:3" x14ac:dyDescent="0.25">
      <c r="B117" s="2" t="s">
        <v>6</v>
      </c>
      <c r="C117" s="2">
        <f>C116/Main!K5</f>
        <v>206.51365348939936</v>
      </c>
    </row>
  </sheetData>
  <hyperlinks>
    <hyperlink ref="A1" location="Main!A1" display="Main" xr:uid="{2F3D0B49-7002-4F3B-80BA-6ADD8D1365FF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2706-750F-4ADF-80BD-FE23CEB96568}">
  <dimension ref="A1:K16"/>
  <sheetViews>
    <sheetView showGridLines="0" workbookViewId="0">
      <selection activeCell="A2" sqref="A2"/>
    </sheetView>
  </sheetViews>
  <sheetFormatPr defaultRowHeight="13.8" x14ac:dyDescent="0.25"/>
  <cols>
    <col min="1" max="1" width="6.44140625" style="2" bestFit="1" customWidth="1"/>
    <col min="2" max="2" width="11.6640625" style="2" bestFit="1" customWidth="1"/>
    <col min="3" max="3" width="8.88671875" style="2"/>
    <col min="4" max="4" width="10.44140625" style="2" bestFit="1" customWidth="1"/>
    <col min="5" max="9" width="8.88671875" style="2"/>
    <col min="10" max="10" width="14" style="2" customWidth="1"/>
    <col min="11" max="11" width="13.109375" style="2" bestFit="1" customWidth="1"/>
    <col min="12" max="16384" width="8.88671875" style="2"/>
  </cols>
  <sheetData>
    <row r="1" spans="1:11" x14ac:dyDescent="0.25">
      <c r="A1" s="13" t="s">
        <v>54</v>
      </c>
    </row>
    <row r="2" spans="1:11" x14ac:dyDescent="0.25">
      <c r="B2" s="1">
        <v>45877</v>
      </c>
    </row>
    <row r="3" spans="1:11" s="3" customFormat="1" x14ac:dyDescent="0.25"/>
    <row r="4" spans="1:11" ht="15.6" x14ac:dyDescent="0.4">
      <c r="B4" s="5"/>
    </row>
    <row r="5" spans="1:11" x14ac:dyDescent="0.25">
      <c r="B5" s="4"/>
    </row>
    <row r="6" spans="1:11" x14ac:dyDescent="0.25">
      <c r="C6" s="8"/>
    </row>
    <row r="7" spans="1:11" ht="15.6" x14ac:dyDescent="0.4">
      <c r="C7" s="8"/>
      <c r="D7" s="7"/>
      <c r="E7" s="7"/>
      <c r="F7" s="7"/>
      <c r="G7" s="7"/>
      <c r="H7" s="7"/>
    </row>
    <row r="8" spans="1:11" x14ac:dyDescent="0.25">
      <c r="C8" s="8"/>
    </row>
    <row r="9" spans="1:11" x14ac:dyDescent="0.25">
      <c r="C9" s="8"/>
    </row>
    <row r="10" spans="1:11" x14ac:dyDescent="0.25">
      <c r="C10" s="8"/>
    </row>
    <row r="11" spans="1:11" x14ac:dyDescent="0.25">
      <c r="C11" s="8"/>
    </row>
    <row r="12" spans="1:11" x14ac:dyDescent="0.25">
      <c r="C12" s="8"/>
      <c r="K12" s="18"/>
    </row>
    <row r="13" spans="1:11" x14ac:dyDescent="0.25">
      <c r="C13" s="8"/>
      <c r="K13" s="18"/>
    </row>
    <row r="14" spans="1:11" x14ac:dyDescent="0.25">
      <c r="C14" s="8"/>
    </row>
    <row r="15" spans="1:11" x14ac:dyDescent="0.25">
      <c r="C15" s="8"/>
    </row>
    <row r="16" spans="1:11" x14ac:dyDescent="0.25">
      <c r="C16" s="8"/>
    </row>
  </sheetData>
  <hyperlinks>
    <hyperlink ref="A1" location="Main!A1" display="Main" xr:uid="{555ABEC4-2399-4AE9-8194-759D82EDC8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Module</vt:lpstr>
      <vt:lpstr>Q2 Consensus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Eray Günel</dc:creator>
  <cp:lastModifiedBy>Eray Günel</cp:lastModifiedBy>
  <dcterms:created xsi:type="dcterms:W3CDTF">2025-08-07T08:48:56Z</dcterms:created>
  <dcterms:modified xsi:type="dcterms:W3CDTF">2025-08-12T13:08:50Z</dcterms:modified>
</cp:coreProperties>
</file>