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Elitebook\Desktop\"/>
    </mc:Choice>
  </mc:AlternateContent>
  <xr:revisionPtr revIDLastSave="0" documentId="13_ncr:1_{8F6DECBF-877B-4360-8357-9C287FB3DC2C}" xr6:coauthVersionLast="47" xr6:coauthVersionMax="47" xr10:uidLastSave="{00000000-0000-0000-0000-000000000000}"/>
  <bookViews>
    <workbookView xWindow="-108" yWindow="-108" windowWidth="23256" windowHeight="12456" activeTab="1" xr2:uid="{61C9A63A-8794-4536-B430-511BF9C153CB}"/>
  </bookViews>
  <sheets>
    <sheet name="Main" sheetId="1" r:id="rId1"/>
    <sheet name="Model" sheetId="3" r:id="rId2"/>
    <sheet name="ELEVIDYS" sheetId="2"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10" i="3" l="1"/>
  <c r="W10" i="3"/>
  <c r="V10" i="3"/>
  <c r="U10" i="3"/>
  <c r="T10" i="3"/>
  <c r="S10" i="3"/>
  <c r="C39" i="3"/>
  <c r="NI23" i="3"/>
  <c r="NJ23" i="3"/>
  <c r="NK23" i="3" s="1"/>
  <c r="NL23" i="3" s="1"/>
  <c r="NM23" i="3" s="1"/>
  <c r="NN23" i="3" s="1"/>
  <c r="NO23" i="3" s="1"/>
  <c r="NP23" i="3" s="1"/>
  <c r="NQ23" i="3" s="1"/>
  <c r="NR23" i="3" s="1"/>
  <c r="NS23" i="3" s="1"/>
  <c r="NT23" i="3" s="1"/>
  <c r="NU23" i="3" s="1"/>
  <c r="NV23" i="3" s="1"/>
  <c r="NW23" i="3" s="1"/>
  <c r="NX23" i="3" s="1"/>
  <c r="NY23" i="3" s="1"/>
  <c r="NZ23" i="3" s="1"/>
  <c r="OA23" i="3" s="1"/>
  <c r="OB23" i="3" s="1"/>
  <c r="OC23" i="3" s="1"/>
  <c r="OD23" i="3" s="1"/>
  <c r="OE23" i="3" s="1"/>
  <c r="OF23" i="3" s="1"/>
  <c r="OG23" i="3" s="1"/>
  <c r="OH23" i="3" s="1"/>
  <c r="OI23" i="3" s="1"/>
  <c r="NH23" i="3"/>
  <c r="NG23" i="3"/>
  <c r="NF23" i="3"/>
  <c r="NE23" i="3"/>
  <c r="ND23" i="3"/>
  <c r="U16" i="3"/>
  <c r="X15" i="3"/>
  <c r="W15" i="3"/>
  <c r="V15" i="3"/>
  <c r="U15" i="3"/>
  <c r="T15" i="3"/>
  <c r="X16" i="3"/>
  <c r="W16" i="3"/>
  <c r="V16" i="3"/>
  <c r="T16" i="3"/>
  <c r="U14" i="3"/>
  <c r="T14" i="3"/>
  <c r="X12" i="3"/>
  <c r="W12" i="3"/>
  <c r="V12" i="3"/>
  <c r="U12" i="3"/>
  <c r="X11" i="3"/>
  <c r="W11" i="3"/>
  <c r="V11" i="3"/>
  <c r="U11" i="3"/>
  <c r="X8" i="3"/>
  <c r="W8" i="3"/>
  <c r="V8" i="3"/>
  <c r="U8" i="3"/>
  <c r="V7" i="3"/>
  <c r="W7" i="3" s="1"/>
  <c r="X7" i="3" s="1"/>
  <c r="U7" i="3"/>
  <c r="V6" i="3"/>
  <c r="W6" i="3" s="1"/>
  <c r="X6" i="3" s="1"/>
  <c r="U6" i="3"/>
  <c r="T6" i="3"/>
  <c r="T11" i="3"/>
  <c r="N11" i="3"/>
  <c r="M11" i="3"/>
  <c r="L11" i="3"/>
  <c r="L12" i="3" s="1"/>
  <c r="L13" i="3" s="1"/>
  <c r="N16" i="3"/>
  <c r="M16" i="3"/>
  <c r="L16" i="3"/>
  <c r="N15" i="3"/>
  <c r="M15" i="3"/>
  <c r="L15" i="3"/>
  <c r="N10" i="3"/>
  <c r="M10" i="3"/>
  <c r="L10" i="3"/>
  <c r="N8" i="3"/>
  <c r="M8" i="3"/>
  <c r="L8" i="3"/>
  <c r="N7" i="3"/>
  <c r="M7" i="3"/>
  <c r="L7" i="3"/>
  <c r="N6" i="3"/>
  <c r="M6" i="3"/>
  <c r="L6" i="3"/>
  <c r="S23" i="3"/>
  <c r="R23" i="3"/>
  <c r="Q23" i="3"/>
  <c r="S21" i="3"/>
  <c r="R21" i="3"/>
  <c r="Q21" i="3"/>
  <c r="X20" i="3"/>
  <c r="W20" i="3"/>
  <c r="V20" i="3"/>
  <c r="U20" i="3"/>
  <c r="T20" i="3"/>
  <c r="S20" i="3"/>
  <c r="R20" i="3"/>
  <c r="Q20" i="3"/>
  <c r="S19" i="3"/>
  <c r="R19" i="3"/>
  <c r="Q19" i="3"/>
  <c r="S18" i="3"/>
  <c r="R18" i="3"/>
  <c r="Q18" i="3"/>
  <c r="J16" i="3"/>
  <c r="S12" i="3"/>
  <c r="S14" i="3" s="1"/>
  <c r="R12" i="3"/>
  <c r="Q12" i="3"/>
  <c r="R10" i="3"/>
  <c r="Q10" i="3"/>
  <c r="T9" i="3"/>
  <c r="T7" i="3"/>
  <c r="K23" i="3"/>
  <c r="N20" i="3"/>
  <c r="M20" i="3"/>
  <c r="L20" i="3"/>
  <c r="R14" i="3"/>
  <c r="Q14" i="3"/>
  <c r="I20" i="3"/>
  <c r="J20" i="3"/>
  <c r="H20" i="3"/>
  <c r="E20" i="3"/>
  <c r="D20" i="3"/>
  <c r="J13" i="3"/>
  <c r="S8" i="3"/>
  <c r="L14" i="3" l="1"/>
  <c r="U18" i="3"/>
  <c r="L18" i="3"/>
  <c r="N18" i="3"/>
  <c r="T18" i="3"/>
  <c r="V18" i="3"/>
  <c r="M18" i="3"/>
  <c r="N12" i="3" l="1"/>
  <c r="M12" i="3"/>
  <c r="M13" i="3" s="1"/>
  <c r="M14" i="3" s="1"/>
  <c r="M19" i="3" s="1"/>
  <c r="M21" i="3" s="1"/>
  <c r="N13" i="3"/>
  <c r="T13" i="3" s="1"/>
  <c r="T8" i="3"/>
  <c r="L19" i="3"/>
  <c r="L21" i="3" s="1"/>
  <c r="L22" i="3" s="1"/>
  <c r="L23" i="3" s="1"/>
  <c r="X18" i="3"/>
  <c r="W18" i="3"/>
  <c r="N14" i="3" l="1"/>
  <c r="N19" i="3" s="1"/>
  <c r="N21" i="3" s="1"/>
  <c r="N22" i="3" s="1"/>
  <c r="N23" i="3" s="1"/>
  <c r="M22" i="3"/>
  <c r="M23" i="3" s="1"/>
  <c r="T12" i="3" l="1"/>
  <c r="T19" i="3" s="1"/>
  <c r="T21" i="3" s="1"/>
  <c r="T22" i="3" s="1"/>
  <c r="T23" i="3" s="1"/>
  <c r="T31" i="3" l="1"/>
  <c r="S31" i="3"/>
  <c r="T26" i="3"/>
  <c r="U26" i="3" s="1"/>
  <c r="K18" i="3"/>
  <c r="F16" i="3"/>
  <c r="K8" i="3"/>
  <c r="K10" i="3" s="1"/>
  <c r="Q12" i="2"/>
  <c r="K12" i="3" l="1"/>
  <c r="K14" i="3" s="1"/>
  <c r="S32" i="3"/>
  <c r="S33" i="3"/>
  <c r="V26" i="3"/>
  <c r="W26" i="3" s="1"/>
  <c r="Q69" i="3"/>
  <c r="Q61" i="3"/>
  <c r="Q76" i="3"/>
  <c r="Q53" i="3"/>
  <c r="K31" i="3"/>
  <c r="I31" i="3"/>
  <c r="I30" i="3"/>
  <c r="H30" i="3"/>
  <c r="F26" i="3"/>
  <c r="G18" i="3"/>
  <c r="G8" i="3"/>
  <c r="F22" i="3"/>
  <c r="F17" i="3"/>
  <c r="F15" i="3"/>
  <c r="F13" i="3"/>
  <c r="F11" i="3"/>
  <c r="F9" i="3"/>
  <c r="F7" i="3"/>
  <c r="F6" i="3"/>
  <c r="J26" i="3"/>
  <c r="J22" i="3"/>
  <c r="J17" i="3"/>
  <c r="J15" i="3"/>
  <c r="J11" i="3"/>
  <c r="J9" i="3"/>
  <c r="J7" i="3"/>
  <c r="J6" i="3"/>
  <c r="C20" i="3"/>
  <c r="F20" i="3" s="1"/>
  <c r="C18" i="3"/>
  <c r="C8" i="3"/>
  <c r="D18" i="3"/>
  <c r="H18" i="3"/>
  <c r="I18" i="3"/>
  <c r="D8" i="3"/>
  <c r="H8" i="3"/>
  <c r="E18" i="3"/>
  <c r="E8" i="3"/>
  <c r="I8" i="3"/>
  <c r="Q122" i="3"/>
  <c r="Q124" i="3" s="1"/>
  <c r="Q117" i="3"/>
  <c r="Q99" i="3"/>
  <c r="R122" i="3"/>
  <c r="R124" i="3" s="1"/>
  <c r="R115" i="3"/>
  <c r="R117" i="3" s="1"/>
  <c r="R99" i="3"/>
  <c r="S122" i="3"/>
  <c r="S124" i="3" s="1"/>
  <c r="S107" i="3"/>
  <c r="S99" i="3"/>
  <c r="Q107" i="3"/>
  <c r="R107" i="3"/>
  <c r="S117" i="3"/>
  <c r="R68" i="3"/>
  <c r="R69" i="3" s="1"/>
  <c r="S69" i="3"/>
  <c r="R61" i="3"/>
  <c r="R53" i="3"/>
  <c r="R76" i="3"/>
  <c r="Q8" i="3"/>
  <c r="R8" i="3"/>
  <c r="S34" i="3" s="1"/>
  <c r="K26" i="3"/>
  <c r="G124" i="3"/>
  <c r="K124" i="3"/>
  <c r="G117" i="3"/>
  <c r="K117" i="3"/>
  <c r="G107" i="3"/>
  <c r="G109" i="3" s="1"/>
  <c r="K107" i="3"/>
  <c r="K109" i="3" s="1"/>
  <c r="K89" i="3"/>
  <c r="S76" i="3"/>
  <c r="K76" i="3"/>
  <c r="K69" i="3"/>
  <c r="K61" i="3"/>
  <c r="K53" i="3"/>
  <c r="S61" i="3"/>
  <c r="S53" i="3"/>
  <c r="E9" i="1"/>
  <c r="E13" i="1" s="1"/>
  <c r="E8" i="1"/>
  <c r="K29" i="3" l="1"/>
  <c r="K19" i="3"/>
  <c r="K21" i="3" s="1"/>
  <c r="X26" i="3"/>
  <c r="Q78" i="3"/>
  <c r="S29" i="3"/>
  <c r="L26" i="3"/>
  <c r="M26" i="3" s="1"/>
  <c r="N26" i="3" s="1"/>
  <c r="G119" i="3"/>
  <c r="K35" i="3"/>
  <c r="K25" i="3"/>
  <c r="R109" i="3"/>
  <c r="R119" i="3" s="1"/>
  <c r="R34" i="3"/>
  <c r="F18" i="3"/>
  <c r="D10" i="3"/>
  <c r="D12" i="3" s="1"/>
  <c r="D14" i="3" s="1"/>
  <c r="D19" i="3" s="1"/>
  <c r="D21" i="3" s="1"/>
  <c r="D33" i="3"/>
  <c r="G10" i="3"/>
  <c r="G12" i="3" s="1"/>
  <c r="G32" i="3" s="1"/>
  <c r="I10" i="3"/>
  <c r="E10" i="3"/>
  <c r="E12" i="3" s="1"/>
  <c r="E32" i="3" s="1"/>
  <c r="J8" i="3"/>
  <c r="K32" i="3"/>
  <c r="J31" i="3"/>
  <c r="H10" i="3"/>
  <c r="H12" i="3" s="1"/>
  <c r="H32" i="3" s="1"/>
  <c r="J18" i="3"/>
  <c r="F8" i="3"/>
  <c r="F30" i="3"/>
  <c r="G30" i="3"/>
  <c r="S109" i="3"/>
  <c r="K30" i="3"/>
  <c r="J30" i="3"/>
  <c r="Q63" i="3"/>
  <c r="R63" i="3"/>
  <c r="K63" i="3"/>
  <c r="Q109" i="3"/>
  <c r="Q119" i="3" s="1"/>
  <c r="C10" i="3"/>
  <c r="C12" i="3" s="1"/>
  <c r="K119" i="3"/>
  <c r="R78" i="3"/>
  <c r="K78" i="3"/>
  <c r="S78" i="3"/>
  <c r="S63" i="3"/>
  <c r="E11" i="1"/>
  <c r="I12" i="3" l="1"/>
  <c r="I32" i="3" s="1"/>
  <c r="S25" i="3"/>
  <c r="I33" i="3"/>
  <c r="Q82" i="3"/>
  <c r="D23" i="3"/>
  <c r="D25" i="3" s="1"/>
  <c r="D35" i="3"/>
  <c r="R29" i="3"/>
  <c r="R28" i="3"/>
  <c r="S28" i="3"/>
  <c r="Q90" i="3"/>
  <c r="Q35" i="3"/>
  <c r="E14" i="3"/>
  <c r="E29" i="3" s="1"/>
  <c r="E33" i="3"/>
  <c r="T34" i="3"/>
  <c r="G14" i="3"/>
  <c r="G29" i="3" s="1"/>
  <c r="G33" i="3"/>
  <c r="H33" i="3"/>
  <c r="G28" i="3"/>
  <c r="D29" i="3"/>
  <c r="K90" i="3"/>
  <c r="K28" i="3"/>
  <c r="K33" i="3"/>
  <c r="Q33" i="3"/>
  <c r="R33" i="3"/>
  <c r="C33" i="3"/>
  <c r="J10" i="3"/>
  <c r="S119" i="3"/>
  <c r="C126" i="3"/>
  <c r="I28" i="3"/>
  <c r="F10" i="3"/>
  <c r="F12" i="3" s="1"/>
  <c r="F33" i="3" s="1"/>
  <c r="R32" i="3"/>
  <c r="I14" i="3"/>
  <c r="I29" i="3" s="1"/>
  <c r="Q29" i="3"/>
  <c r="S82" i="3"/>
  <c r="R82" i="3"/>
  <c r="C14" i="3"/>
  <c r="E19" i="3"/>
  <c r="E21" i="3" s="1"/>
  <c r="K82" i="3"/>
  <c r="H28" i="3"/>
  <c r="H14" i="3"/>
  <c r="H29" i="3" s="1"/>
  <c r="J12" i="3" l="1"/>
  <c r="J32" i="3" s="1"/>
  <c r="S35" i="3"/>
  <c r="G19" i="3"/>
  <c r="G21" i="3" s="1"/>
  <c r="G35" i="3" s="1"/>
  <c r="S90" i="3"/>
  <c r="U34" i="3"/>
  <c r="Q25" i="3"/>
  <c r="R90" i="3"/>
  <c r="R35" i="3"/>
  <c r="E23" i="3"/>
  <c r="E25" i="3" s="1"/>
  <c r="E35" i="3"/>
  <c r="F14" i="3"/>
  <c r="F32" i="3"/>
  <c r="J28" i="3"/>
  <c r="J14" i="3"/>
  <c r="J19" i="3" s="1"/>
  <c r="J21" i="3" s="1"/>
  <c r="I19" i="3"/>
  <c r="I21" i="3" s="1"/>
  <c r="C19" i="3"/>
  <c r="C21" i="3" s="1"/>
  <c r="C35" i="3" s="1"/>
  <c r="C29" i="3"/>
  <c r="H19" i="3"/>
  <c r="H21" i="3" s="1"/>
  <c r="J33" i="3" l="1"/>
  <c r="M25" i="3"/>
  <c r="G23" i="3"/>
  <c r="I23" i="3"/>
  <c r="I25" i="3" s="1"/>
  <c r="I35" i="3"/>
  <c r="V34" i="3"/>
  <c r="J23" i="3"/>
  <c r="J25" i="3" s="1"/>
  <c r="J35" i="3"/>
  <c r="R25" i="3"/>
  <c r="H23" i="3"/>
  <c r="H25" i="3" s="1"/>
  <c r="H35" i="3"/>
  <c r="J29" i="3"/>
  <c r="F29" i="3"/>
  <c r="F19" i="3"/>
  <c r="F21" i="3" s="1"/>
  <c r="C23" i="3"/>
  <c r="C25" i="3" s="1"/>
  <c r="L25" i="3" l="1"/>
  <c r="G25" i="3"/>
  <c r="G90" i="3"/>
  <c r="W34" i="3"/>
  <c r="F23" i="3"/>
  <c r="F25" i="3" s="1"/>
  <c r="F35" i="3"/>
  <c r="N25" i="3" l="1"/>
  <c r="T33" i="3"/>
  <c r="T32" i="3"/>
  <c r="T28" i="3"/>
  <c r="X34" i="3"/>
  <c r="U28" i="3" l="1"/>
  <c r="U32" i="3"/>
  <c r="U33" i="3"/>
  <c r="T29" i="3"/>
  <c r="U13" i="3" l="1"/>
  <c r="V32" i="3"/>
  <c r="V28" i="3"/>
  <c r="V33" i="3"/>
  <c r="U19" i="3" l="1"/>
  <c r="U21" i="3" s="1"/>
  <c r="T35" i="3"/>
  <c r="W32" i="3"/>
  <c r="W28" i="3"/>
  <c r="W33" i="3"/>
  <c r="T25" i="3"/>
  <c r="X33" i="3"/>
  <c r="X32" i="3"/>
  <c r="X28" i="3"/>
  <c r="U22" i="3" l="1"/>
  <c r="U23" i="3" s="1"/>
  <c r="U29" i="3"/>
  <c r="V13" i="3" s="1"/>
  <c r="V14" i="3" l="1"/>
  <c r="V19" i="3" s="1"/>
  <c r="V21" i="3" s="1"/>
  <c r="U25" i="3"/>
  <c r="V22" i="3" l="1"/>
  <c r="V23" i="3" s="1"/>
  <c r="V29" i="3"/>
  <c r="W13" i="3" l="1"/>
  <c r="W14" i="3" l="1"/>
  <c r="W19" i="3" s="1"/>
  <c r="W21" i="3" s="1"/>
  <c r="V25" i="3"/>
  <c r="W22" i="3" l="1"/>
  <c r="W23" i="3" s="1"/>
  <c r="W29" i="3"/>
  <c r="X13" i="3" s="1"/>
  <c r="X14" i="3" l="1"/>
  <c r="X19" i="3" s="1"/>
  <c r="X21" i="3" s="1"/>
  <c r="X22" i="3" s="1"/>
  <c r="W25" i="3"/>
  <c r="X29" i="3" l="1"/>
  <c r="X23" i="3"/>
  <c r="Y23" i="3" s="1"/>
  <c r="Z23" i="3" s="1"/>
  <c r="X25" i="3" l="1"/>
  <c r="AA23" i="3"/>
  <c r="AB23" i="3" s="1"/>
  <c r="AC23" i="3" s="1"/>
  <c r="AD23" i="3" s="1"/>
  <c r="AE23" i="3" s="1"/>
  <c r="AF23" i="3" s="1"/>
  <c r="AG23" i="3" s="1"/>
  <c r="AH23" i="3" s="1"/>
  <c r="AI23" i="3" s="1"/>
  <c r="AJ23" i="3" s="1"/>
  <c r="AK23" i="3" s="1"/>
  <c r="AL23" i="3" s="1"/>
  <c r="AM23" i="3" s="1"/>
  <c r="AN23" i="3" s="1"/>
  <c r="AO23" i="3" s="1"/>
  <c r="AP23" i="3" s="1"/>
  <c r="AQ23" i="3" s="1"/>
  <c r="AR23" i="3" s="1"/>
  <c r="AS23" i="3" s="1"/>
  <c r="AT23" i="3" s="1"/>
  <c r="AU23" i="3" s="1"/>
  <c r="AV23" i="3" s="1"/>
  <c r="AW23" i="3" s="1"/>
  <c r="AX23" i="3" s="1"/>
  <c r="AY23" i="3" s="1"/>
  <c r="AZ23" i="3" s="1"/>
  <c r="BA23" i="3" s="1"/>
  <c r="BB23" i="3" s="1"/>
  <c r="BC23" i="3" s="1"/>
  <c r="BD23" i="3" s="1"/>
  <c r="BE23" i="3" s="1"/>
  <c r="BF23" i="3" s="1"/>
  <c r="BG23" i="3" s="1"/>
  <c r="BH23" i="3" s="1"/>
  <c r="BI23" i="3" s="1"/>
  <c r="BJ23" i="3" s="1"/>
  <c r="BK23" i="3" s="1"/>
  <c r="BL23" i="3" s="1"/>
  <c r="BM23" i="3" s="1"/>
  <c r="BN23" i="3" s="1"/>
  <c r="BO23" i="3" s="1"/>
  <c r="BP23" i="3" s="1"/>
  <c r="BQ23" i="3" s="1"/>
  <c r="BR23" i="3" s="1"/>
  <c r="BS23" i="3" s="1"/>
  <c r="BT23" i="3" s="1"/>
  <c r="BU23" i="3" s="1"/>
  <c r="BV23" i="3" s="1"/>
  <c r="BW23" i="3" s="1"/>
  <c r="BX23" i="3" s="1"/>
  <c r="BY23" i="3" s="1"/>
  <c r="BZ23" i="3" s="1"/>
  <c r="CA23" i="3" s="1"/>
  <c r="CB23" i="3" s="1"/>
  <c r="CC23" i="3" s="1"/>
  <c r="CD23" i="3" s="1"/>
  <c r="CE23" i="3" s="1"/>
  <c r="CF23" i="3" s="1"/>
  <c r="CG23" i="3" s="1"/>
  <c r="CH23" i="3" s="1"/>
  <c r="CI23" i="3" s="1"/>
  <c r="CJ23" i="3" s="1"/>
  <c r="CK23" i="3" s="1"/>
  <c r="CL23" i="3" s="1"/>
  <c r="CM23" i="3" s="1"/>
  <c r="CN23" i="3" s="1"/>
  <c r="CO23" i="3" s="1"/>
  <c r="CP23" i="3" s="1"/>
  <c r="CQ23" i="3" s="1"/>
  <c r="CR23" i="3" s="1"/>
  <c r="CS23" i="3" s="1"/>
  <c r="CT23" i="3" s="1"/>
  <c r="CU23" i="3" s="1"/>
  <c r="CV23" i="3" s="1"/>
  <c r="CW23" i="3" s="1"/>
  <c r="CX23" i="3" s="1"/>
  <c r="CY23" i="3" s="1"/>
  <c r="CZ23" i="3" s="1"/>
  <c r="DA23" i="3" s="1"/>
  <c r="DB23" i="3" s="1"/>
  <c r="DC23" i="3" s="1"/>
  <c r="DD23" i="3" s="1"/>
  <c r="DE23" i="3" s="1"/>
  <c r="DF23" i="3" s="1"/>
  <c r="DG23" i="3" s="1"/>
  <c r="DH23" i="3" s="1"/>
  <c r="DI23" i="3" s="1"/>
  <c r="DJ23" i="3" s="1"/>
  <c r="DK23" i="3" s="1"/>
  <c r="DL23" i="3" s="1"/>
  <c r="DM23" i="3" s="1"/>
  <c r="DN23" i="3" s="1"/>
  <c r="DO23" i="3" s="1"/>
  <c r="DP23" i="3" s="1"/>
  <c r="DQ23" i="3" s="1"/>
  <c r="DR23" i="3" s="1"/>
  <c r="DS23" i="3" s="1"/>
  <c r="DT23" i="3" s="1"/>
  <c r="DU23" i="3" s="1"/>
  <c r="DV23" i="3" s="1"/>
  <c r="DW23" i="3" s="1"/>
  <c r="DX23" i="3" s="1"/>
  <c r="DY23" i="3" s="1"/>
  <c r="DZ23" i="3" s="1"/>
  <c r="EA23" i="3" s="1"/>
  <c r="EB23" i="3" s="1"/>
  <c r="EC23" i="3" s="1"/>
  <c r="ED23" i="3" s="1"/>
  <c r="EE23" i="3" s="1"/>
  <c r="EF23" i="3" s="1"/>
  <c r="EG23" i="3" s="1"/>
  <c r="EH23" i="3" s="1"/>
  <c r="EI23" i="3" s="1"/>
  <c r="EJ23" i="3" s="1"/>
  <c r="EK23" i="3" s="1"/>
  <c r="EL23" i="3" s="1"/>
  <c r="EM23" i="3" s="1"/>
  <c r="EN23" i="3" s="1"/>
  <c r="EO23" i="3" s="1"/>
  <c r="EP23" i="3" s="1"/>
  <c r="EQ23" i="3" s="1"/>
  <c r="ER23" i="3" s="1"/>
  <c r="ES23" i="3" s="1"/>
  <c r="ET23" i="3" s="1"/>
  <c r="EU23" i="3" s="1"/>
  <c r="EV23" i="3" s="1"/>
  <c r="EW23" i="3" s="1"/>
  <c r="EX23" i="3" s="1"/>
  <c r="EY23" i="3" s="1"/>
  <c r="EZ23" i="3" s="1"/>
  <c r="FA23" i="3" s="1"/>
  <c r="FB23" i="3" s="1"/>
  <c r="FC23" i="3" s="1"/>
  <c r="FD23" i="3" s="1"/>
  <c r="FE23" i="3" s="1"/>
  <c r="FF23" i="3" s="1"/>
  <c r="FG23" i="3" s="1"/>
  <c r="FH23" i="3" s="1"/>
  <c r="FI23" i="3" s="1"/>
  <c r="FJ23" i="3" s="1"/>
  <c r="FK23" i="3" s="1"/>
  <c r="FL23" i="3" s="1"/>
  <c r="FM23" i="3" s="1"/>
  <c r="FN23" i="3" s="1"/>
  <c r="FO23" i="3" s="1"/>
  <c r="FP23" i="3" s="1"/>
  <c r="FQ23" i="3" s="1"/>
  <c r="FR23" i="3" s="1"/>
  <c r="FS23" i="3" s="1"/>
  <c r="FT23" i="3" s="1"/>
  <c r="FU23" i="3" s="1"/>
  <c r="FV23" i="3" s="1"/>
  <c r="FW23" i="3" s="1"/>
  <c r="FX23" i="3" s="1"/>
  <c r="FY23" i="3" s="1"/>
  <c r="FZ23" i="3" s="1"/>
  <c r="GA23" i="3" s="1"/>
  <c r="GB23" i="3" s="1"/>
  <c r="GC23" i="3" s="1"/>
  <c r="GD23" i="3" s="1"/>
  <c r="GE23" i="3" s="1"/>
  <c r="GF23" i="3" s="1"/>
  <c r="GG23" i="3" s="1"/>
  <c r="GH23" i="3" s="1"/>
  <c r="GI23" i="3" s="1"/>
  <c r="GJ23" i="3" s="1"/>
  <c r="GK23" i="3" s="1"/>
  <c r="GL23" i="3" s="1"/>
  <c r="GM23" i="3" s="1"/>
  <c r="GN23" i="3" s="1"/>
  <c r="GO23" i="3" s="1"/>
  <c r="GP23" i="3" s="1"/>
  <c r="GQ23" i="3" s="1"/>
  <c r="GR23" i="3" s="1"/>
  <c r="GS23" i="3" s="1"/>
  <c r="GT23" i="3" s="1"/>
  <c r="GU23" i="3" s="1"/>
  <c r="GV23" i="3" s="1"/>
  <c r="GW23" i="3" s="1"/>
  <c r="GX23" i="3" s="1"/>
  <c r="GY23" i="3" s="1"/>
  <c r="GZ23" i="3" s="1"/>
  <c r="HA23" i="3" s="1"/>
  <c r="HB23" i="3" s="1"/>
  <c r="HC23" i="3" s="1"/>
  <c r="HD23" i="3" s="1"/>
  <c r="HE23" i="3" s="1"/>
  <c r="HF23" i="3" s="1"/>
  <c r="HG23" i="3" s="1"/>
  <c r="HH23" i="3" s="1"/>
  <c r="HI23" i="3" s="1"/>
  <c r="HJ23" i="3" s="1"/>
  <c r="HK23" i="3" s="1"/>
  <c r="HL23" i="3" s="1"/>
  <c r="HM23" i="3" s="1"/>
  <c r="HN23" i="3" s="1"/>
  <c r="HO23" i="3" s="1"/>
  <c r="HP23" i="3" s="1"/>
  <c r="HQ23" i="3" s="1"/>
  <c r="HR23" i="3" s="1"/>
  <c r="HS23" i="3" s="1"/>
  <c r="HT23" i="3" s="1"/>
  <c r="HU23" i="3" s="1"/>
  <c r="HV23" i="3" s="1"/>
  <c r="HW23" i="3" s="1"/>
  <c r="HX23" i="3" s="1"/>
  <c r="HY23" i="3" s="1"/>
  <c r="HZ23" i="3" s="1"/>
  <c r="IA23" i="3" s="1"/>
  <c r="IB23" i="3" s="1"/>
  <c r="IC23" i="3" s="1"/>
  <c r="ID23" i="3" s="1"/>
  <c r="IE23" i="3" s="1"/>
  <c r="IF23" i="3" s="1"/>
  <c r="IG23" i="3" s="1"/>
  <c r="IH23" i="3" s="1"/>
  <c r="II23" i="3" s="1"/>
  <c r="IJ23" i="3" s="1"/>
  <c r="IK23" i="3" s="1"/>
  <c r="IL23" i="3" s="1"/>
  <c r="IM23" i="3" s="1"/>
  <c r="IN23" i="3" s="1"/>
  <c r="IO23" i="3" s="1"/>
  <c r="IP23" i="3" s="1"/>
  <c r="IQ23" i="3" s="1"/>
  <c r="IR23" i="3" s="1"/>
  <c r="IS23" i="3" s="1"/>
  <c r="IT23" i="3" s="1"/>
  <c r="IU23" i="3" s="1"/>
  <c r="IV23" i="3" s="1"/>
  <c r="IW23" i="3" s="1"/>
  <c r="IX23" i="3" s="1"/>
  <c r="IY23" i="3" s="1"/>
  <c r="IZ23" i="3" s="1"/>
  <c r="JA23" i="3" s="1"/>
  <c r="JB23" i="3" s="1"/>
  <c r="JC23" i="3" s="1"/>
  <c r="JD23" i="3" s="1"/>
  <c r="JE23" i="3" s="1"/>
  <c r="JF23" i="3" s="1"/>
  <c r="JG23" i="3" s="1"/>
  <c r="JH23" i="3" s="1"/>
  <c r="JI23" i="3" s="1"/>
  <c r="JJ23" i="3" s="1"/>
  <c r="JK23" i="3" s="1"/>
  <c r="JL23" i="3" s="1"/>
  <c r="JM23" i="3" s="1"/>
  <c r="JN23" i="3" s="1"/>
  <c r="JO23" i="3" s="1"/>
  <c r="JP23" i="3" s="1"/>
  <c r="JQ23" i="3" s="1"/>
  <c r="JR23" i="3" s="1"/>
  <c r="JS23" i="3" s="1"/>
  <c r="JT23" i="3" s="1"/>
  <c r="JU23" i="3" s="1"/>
  <c r="JV23" i="3" s="1"/>
  <c r="JW23" i="3" s="1"/>
  <c r="JX23" i="3" s="1"/>
  <c r="JY23" i="3" s="1"/>
  <c r="JZ23" i="3" s="1"/>
  <c r="KA23" i="3" s="1"/>
  <c r="KB23" i="3" s="1"/>
  <c r="KC23" i="3" s="1"/>
  <c r="KD23" i="3" s="1"/>
  <c r="KE23" i="3" s="1"/>
  <c r="KF23" i="3" s="1"/>
  <c r="KG23" i="3" s="1"/>
  <c r="KH23" i="3" s="1"/>
  <c r="KI23" i="3" s="1"/>
  <c r="KJ23" i="3" s="1"/>
  <c r="KK23" i="3" s="1"/>
  <c r="KL23" i="3" s="1"/>
  <c r="KM23" i="3" s="1"/>
  <c r="KN23" i="3" s="1"/>
  <c r="KO23" i="3" s="1"/>
  <c r="KP23" i="3" s="1"/>
  <c r="KQ23" i="3" s="1"/>
  <c r="KR23" i="3" s="1"/>
  <c r="KS23" i="3" s="1"/>
  <c r="KT23" i="3" s="1"/>
  <c r="KU23" i="3" s="1"/>
  <c r="KV23" i="3" s="1"/>
  <c r="KW23" i="3" s="1"/>
  <c r="KX23" i="3" s="1"/>
  <c r="KY23" i="3" s="1"/>
  <c r="KZ23" i="3" s="1"/>
  <c r="LA23" i="3" s="1"/>
  <c r="LB23" i="3" s="1"/>
  <c r="LC23" i="3" s="1"/>
  <c r="LD23" i="3" s="1"/>
  <c r="LE23" i="3" s="1"/>
  <c r="LF23" i="3" s="1"/>
  <c r="LG23" i="3" s="1"/>
  <c r="LH23" i="3" s="1"/>
  <c r="LI23" i="3" s="1"/>
  <c r="LJ23" i="3" s="1"/>
  <c r="LK23" i="3" s="1"/>
  <c r="LL23" i="3" s="1"/>
  <c r="LM23" i="3" s="1"/>
  <c r="LN23" i="3" s="1"/>
  <c r="LO23" i="3" s="1"/>
  <c r="LP23" i="3" s="1"/>
  <c r="LQ23" i="3" s="1"/>
  <c r="LR23" i="3" s="1"/>
  <c r="LS23" i="3" s="1"/>
  <c r="LT23" i="3" s="1"/>
  <c r="LU23" i="3" s="1"/>
  <c r="LV23" i="3" s="1"/>
  <c r="LW23" i="3" s="1"/>
  <c r="LX23" i="3" s="1"/>
  <c r="LY23" i="3" s="1"/>
  <c r="LZ23" i="3" s="1"/>
  <c r="MA23" i="3" s="1"/>
  <c r="MB23" i="3" s="1"/>
  <c r="MC23" i="3" s="1"/>
  <c r="MD23" i="3" s="1"/>
  <c r="ME23" i="3" s="1"/>
  <c r="MF23" i="3" s="1"/>
  <c r="MG23" i="3" s="1"/>
  <c r="MH23" i="3" s="1"/>
  <c r="MI23" i="3" s="1"/>
  <c r="MJ23" i="3" s="1"/>
  <c r="MK23" i="3" s="1"/>
  <c r="ML23" i="3" s="1"/>
  <c r="MM23" i="3" s="1"/>
  <c r="MN23" i="3" s="1"/>
  <c r="MO23" i="3" s="1"/>
  <c r="MP23" i="3" s="1"/>
  <c r="MQ23" i="3" s="1"/>
  <c r="MR23" i="3" s="1"/>
  <c r="MS23" i="3" s="1"/>
  <c r="MT23" i="3" s="1"/>
  <c r="MU23" i="3" s="1"/>
  <c r="MV23" i="3" s="1"/>
  <c r="MW23" i="3" s="1"/>
  <c r="MX23" i="3" s="1"/>
  <c r="MY23" i="3" s="1"/>
  <c r="MZ23" i="3" s="1"/>
  <c r="NA23" i="3" s="1"/>
  <c r="NB23" i="3" s="1"/>
  <c r="NC23" i="3" s="1"/>
  <c r="C40"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Elitebook</author>
  </authors>
  <commentList>
    <comment ref="Q68" authorId="0" shapeId="0" xr:uid="{33D9AE90-3196-44B6-8159-2F963243F96C}">
      <text>
        <r>
          <rPr>
            <b/>
            <sz val="9"/>
            <color indexed="81"/>
            <rFont val="Tahoma"/>
            <charset val="1"/>
          </rPr>
          <t>Elitebook:</t>
        </r>
        <r>
          <rPr>
            <sz val="9"/>
            <color indexed="81"/>
            <rFont val="Tahoma"/>
            <charset val="1"/>
          </rPr>
          <t xml:space="preserve">
105K, current portion of long term debt 
</t>
        </r>
      </text>
    </comment>
    <comment ref="R68" authorId="0" shapeId="0" xr:uid="{6BCEF435-4A89-4905-A767-5B0A65E1370C}">
      <text>
        <r>
          <rPr>
            <b/>
            <sz val="9"/>
            <color indexed="81"/>
            <rFont val="Tahoma"/>
            <charset val="1"/>
          </rPr>
          <t>Elitebook:</t>
        </r>
        <r>
          <rPr>
            <sz val="9"/>
            <color indexed="81"/>
            <rFont val="Tahoma"/>
            <charset val="1"/>
          </rPr>
          <t xml:space="preserve">
105K, current portion of long term debt 
</t>
        </r>
      </text>
    </comment>
  </commentList>
</comments>
</file>

<file path=xl/sharedStrings.xml><?xml version="1.0" encoding="utf-8"?>
<sst xmlns="http://schemas.openxmlformats.org/spreadsheetml/2006/main" count="302" uniqueCount="216">
  <si>
    <t>$SRPT</t>
  </si>
  <si>
    <t>Capital Structure</t>
  </si>
  <si>
    <t>Price</t>
  </si>
  <si>
    <t>Cash</t>
  </si>
  <si>
    <t>Debt</t>
  </si>
  <si>
    <t>Net Cash</t>
  </si>
  <si>
    <t>by US$</t>
  </si>
  <si>
    <t>Fundamental</t>
  </si>
  <si>
    <t>Q125</t>
  </si>
  <si>
    <t>Patient deaths non ambulatory 2 kids ELEVIDYS</t>
  </si>
  <si>
    <t>LGMD Type 2 death 51 yo non ambulatory</t>
  </si>
  <si>
    <t xml:space="preserve">CHMP Negative Opinion </t>
  </si>
  <si>
    <t>Voluntary pause of ELEVIDYS shipments to non ambulatory</t>
  </si>
  <si>
    <t>"No Investor confidince" due to BioCentury FDA, and SRPT delaying the publish of the death, investigational gene therapy SRP-9004 "51yo death"</t>
  </si>
  <si>
    <t>Q</t>
  </si>
  <si>
    <t>PMO/IP pricing conservatively should be 20-25$ (consensus pricing) to invest</t>
  </si>
  <si>
    <t>delandistrogine maxoparvovec is the main revenue driver</t>
  </si>
  <si>
    <t>Strategic Restructure of ELEVIDYS, safety concerns, follow up program etc</t>
  </si>
  <si>
    <t>Exon Skipping</t>
  </si>
  <si>
    <r>
      <rPr>
        <sz val="11"/>
        <color theme="1"/>
        <rFont val="Times New Roman"/>
        <family val="1"/>
        <charset val="162"/>
      </rPr>
      <t xml:space="preserve">PIC </t>
    </r>
    <r>
      <rPr>
        <i/>
        <sz val="11"/>
        <color theme="1"/>
        <rFont val="Times New Roman"/>
        <family val="1"/>
        <charset val="162"/>
      </rPr>
      <t>( Capital in excess of Par Value)</t>
    </r>
  </si>
  <si>
    <t>AD ( Accumulated Deficit)</t>
  </si>
  <si>
    <t>Shares Outstanding</t>
  </si>
  <si>
    <t>MarketCap</t>
  </si>
  <si>
    <t>Enterprise Value</t>
  </si>
  <si>
    <t>gene therapy</t>
  </si>
  <si>
    <t>DMD, LGMDs CNS disorders</t>
  </si>
  <si>
    <t>Pipeline</t>
  </si>
  <si>
    <t>Name</t>
  </si>
  <si>
    <t>Indication</t>
  </si>
  <si>
    <t>Phase</t>
  </si>
  <si>
    <t>Economics</t>
  </si>
  <si>
    <t>Additional</t>
  </si>
  <si>
    <t>June 20 2024 Elevidys Approval</t>
  </si>
  <si>
    <t>As of March 31, 2025, the Company had $647.5 million of cash, cash equivalents, restricted cash and investments, consisting of $240.9 million of cash and cash equivalents, $391.0 million of investments and $15.6 million of non-current restricted cash. The Company believes that its balance of cash, cash equivalents and investments as of the date of the issuance of this report, along with cash inflows from operations and availability under the Company’s Revolving Credit Facility (defined below), is sufficient to fund its current operational plan for at least the next twelve months, though it may pursue additional cash resources through public or private debt and equity financings, seek funded research and development arrangements and additional government contracts and establish collaborations with or license its technology to other companies.</t>
  </si>
  <si>
    <t>Gene Therapy</t>
  </si>
  <si>
    <t>SRP 9003 (bidridistrogene xeboparvovec)</t>
  </si>
  <si>
    <t>SRP 9004 (patidistrogene bexoparvovec)</t>
  </si>
  <si>
    <t>SRP-6004</t>
  </si>
  <si>
    <t>siRNA</t>
  </si>
  <si>
    <t>SRP-1001 (ARO-DUX4)</t>
  </si>
  <si>
    <t>SRP-1003 (ARO-DM1)</t>
  </si>
  <si>
    <t>SRP-1004 (ARO-ATXN2)</t>
  </si>
  <si>
    <t>SRP-1002 (ARO-MMP7)</t>
  </si>
  <si>
    <t>Gene Editing</t>
  </si>
  <si>
    <t>CRISPR/CAS9</t>
  </si>
  <si>
    <t>LGMD2E/R4 β-sarcoglycan</t>
  </si>
  <si>
    <t>LGMD2D/R3 α-sarcoglycan</t>
  </si>
  <si>
    <t>LGMD2B/R2 Dysferlin</t>
  </si>
  <si>
    <t>Facioscapulohumeral muscular dystrophy, Type 1 (FSHD1)</t>
  </si>
  <si>
    <t>Myotonic dystrophy, Type 1 (DM1)</t>
  </si>
  <si>
    <t>Spinocerebellar ataxia type 2 (SCA2)</t>
  </si>
  <si>
    <t>Idiopathic pulmonary fibrosis (IPF)</t>
  </si>
  <si>
    <t>Duchenne</t>
  </si>
  <si>
    <t>Other gene therapies comprise muscular dystrophy, neuro and cardiac indications including SRP-6006 (LGMD2B/R2 dysferlin), SRP-9005 (LGMD2C/R5 γ-sarcoglycan), SRP-9006 (LGMD2L/R12 Anoctamin 5), SRP-9010 (LGMD2A/R1 calpain-3-related) and Charcot-Marie-Tooth </t>
  </si>
  <si>
    <t>Other siRNA indications include Huntington’s disease, SCA1 and SCA3</t>
  </si>
  <si>
    <t>Income Statement</t>
  </si>
  <si>
    <t>US</t>
  </si>
  <si>
    <t>ROW</t>
  </si>
  <si>
    <t>delandistrogene maxoparvovec-rokl</t>
  </si>
  <si>
    <t>Revenue</t>
  </si>
  <si>
    <t>Q123</t>
  </si>
  <si>
    <t>Q223</t>
  </si>
  <si>
    <t>Q323</t>
  </si>
  <si>
    <t>Q423</t>
  </si>
  <si>
    <t>Q124</t>
  </si>
  <si>
    <t>Q224</t>
  </si>
  <si>
    <t>Q324</t>
  </si>
  <si>
    <t>Q424</t>
  </si>
  <si>
    <t>Q225E</t>
  </si>
  <si>
    <t>Q325E</t>
  </si>
  <si>
    <t>Q425E</t>
  </si>
  <si>
    <t>License and Collab Agreements</t>
  </si>
  <si>
    <t>Arrowhead Clinical</t>
  </si>
  <si>
    <t>DUX4</t>
  </si>
  <si>
    <t>DMPK</t>
  </si>
  <si>
    <t>Company</t>
  </si>
  <si>
    <t>ATXN2</t>
  </si>
  <si>
    <t>MMP7</t>
  </si>
  <si>
    <t>Arrowhead pre Clinical</t>
  </si>
  <si>
    <t>ATXN1</t>
  </si>
  <si>
    <t>ATXN3</t>
  </si>
  <si>
    <t>HTT</t>
  </si>
  <si>
    <t xml:space="preserve">Facioscapulohumeral muscular dystrophy, </t>
  </si>
  <si>
    <t>Myotonic dystrophy</t>
  </si>
  <si>
    <t>treatment of ataxias</t>
  </si>
  <si>
    <t>treatment of Huntington's Disease</t>
  </si>
  <si>
    <t>without financing +12Month cash runway</t>
  </si>
  <si>
    <t>CEO Doug Ingram check Earnings Calls, Press Releases, News Coverage,</t>
  </si>
  <si>
    <t>Filing (Clinical Trials, PubMED, FDA)</t>
  </si>
  <si>
    <t>x</t>
  </si>
  <si>
    <t xml:space="preserve">https://www.sarepta.com/science/rna-platform </t>
  </si>
  <si>
    <t>ELEVIDYS (delandistrogine maxoparvovec -rokl)</t>
  </si>
  <si>
    <t>Exondys 51 (Eteplirsen Injection)</t>
  </si>
  <si>
    <t>Vyondis 53 (Golodirsen Injection)</t>
  </si>
  <si>
    <t>Amondys 45 (Casimersen Injection</t>
  </si>
  <si>
    <t>https://www.sarepta.com/products-pipeline/products</t>
  </si>
  <si>
    <t>https://www.sarepta.com/products-pipeline/pipeline</t>
  </si>
  <si>
    <t>https://www.sarepta.com/products-pipeline/clinical-trials</t>
  </si>
  <si>
    <t xml:space="preserve">Products </t>
  </si>
  <si>
    <t>https://www.elevidys.com/pi</t>
  </si>
  <si>
    <t>https://www.exondys51.com/pi</t>
  </si>
  <si>
    <t>https://www.vyondys53.com/pi</t>
  </si>
  <si>
    <t>https://www.amondys45.com/pi</t>
  </si>
  <si>
    <t>News Pricing; 21$ to 11$ crash</t>
  </si>
  <si>
    <t xml:space="preserve">Fail Phase I </t>
  </si>
  <si>
    <t xml:space="preserve">rna based phosphordiamidate morhpoline oligomers </t>
  </si>
  <si>
    <t>Products</t>
  </si>
  <si>
    <t>Collab</t>
  </si>
  <si>
    <t>COGS</t>
  </si>
  <si>
    <t>GP</t>
  </si>
  <si>
    <t>RD</t>
  </si>
  <si>
    <t>SG&amp;A</t>
  </si>
  <si>
    <t>Amortization</t>
  </si>
  <si>
    <t>OpEx</t>
  </si>
  <si>
    <t>OpInc</t>
  </si>
  <si>
    <t>Other</t>
  </si>
  <si>
    <t>PreTax</t>
  </si>
  <si>
    <t>Tax</t>
  </si>
  <si>
    <t>EPS</t>
  </si>
  <si>
    <t>SO</t>
  </si>
  <si>
    <t>Model NI</t>
  </si>
  <si>
    <t>Cash Flow Statement</t>
  </si>
  <si>
    <t>FY23</t>
  </si>
  <si>
    <t>FY24</t>
  </si>
  <si>
    <t>FY25E</t>
  </si>
  <si>
    <t>FY26E</t>
  </si>
  <si>
    <t>FY27E</t>
  </si>
  <si>
    <t>FY28E</t>
  </si>
  <si>
    <t>FY29E</t>
  </si>
  <si>
    <t>FY30E</t>
  </si>
  <si>
    <t>FY31E</t>
  </si>
  <si>
    <t>FY32E</t>
  </si>
  <si>
    <t>FY33E</t>
  </si>
  <si>
    <t>FY34E</t>
  </si>
  <si>
    <t>Balance Sheet</t>
  </si>
  <si>
    <t>Short term Investment</t>
  </si>
  <si>
    <t>Cash &amp; Cash Equivalents</t>
  </si>
  <si>
    <t>AR</t>
  </si>
  <si>
    <t>Inventory</t>
  </si>
  <si>
    <t>Prepaids</t>
  </si>
  <si>
    <t>Current Assets</t>
  </si>
  <si>
    <t>PPE</t>
  </si>
  <si>
    <t>Right of use assets</t>
  </si>
  <si>
    <t>Non-current Inventory</t>
  </si>
  <si>
    <t>Strategic Investments</t>
  </si>
  <si>
    <t>Non-current Investments</t>
  </si>
  <si>
    <t>Non-Current Assets</t>
  </si>
  <si>
    <t>Total Assets</t>
  </si>
  <si>
    <t>AP</t>
  </si>
  <si>
    <t>Accruruals</t>
  </si>
  <si>
    <t>Deferred Revenue</t>
  </si>
  <si>
    <t>Current Liabilities</t>
  </si>
  <si>
    <t>Long-term debt</t>
  </si>
  <si>
    <t>Lease liabilities</t>
  </si>
  <si>
    <t xml:space="preserve">Contingent consideration </t>
  </si>
  <si>
    <t>Non-Current Liabilities</t>
  </si>
  <si>
    <t>Total Liabilities</t>
  </si>
  <si>
    <t>Shareholder's Equity</t>
  </si>
  <si>
    <t>A=L+S</t>
  </si>
  <si>
    <t>Reported NI</t>
  </si>
  <si>
    <t>Loss/Gain on Strategic Investments</t>
  </si>
  <si>
    <t>Stock Based Compensation</t>
  </si>
  <si>
    <t>D&amp;A</t>
  </si>
  <si>
    <t>Reduction in the carrying amounts of the right of use assets</t>
  </si>
  <si>
    <t xml:space="preserve">Accretion of investment discount, net </t>
  </si>
  <si>
    <t>Non-cash change in the fair value of derivates</t>
  </si>
  <si>
    <t>Increase/Decrease in AR</t>
  </si>
  <si>
    <t>Increase/Decrease in manufacturing-related deposits and prepaids</t>
  </si>
  <si>
    <t>Increase in inventory</t>
  </si>
  <si>
    <t>Increase in other assets</t>
  </si>
  <si>
    <t>Decrease in deferred revenue</t>
  </si>
  <si>
    <t>Decrease in AP, accrued expenses, lease liabilities and other liabilities</t>
  </si>
  <si>
    <t>CFFO</t>
  </si>
  <si>
    <t>Changes in NWC</t>
  </si>
  <si>
    <t>Purchase of PPE</t>
  </si>
  <si>
    <t>Purchase of available fo-sale securities</t>
  </si>
  <si>
    <t>Maturity and sales of available for-sale securities</t>
  </si>
  <si>
    <t>Purchase of intangible assets and other</t>
  </si>
  <si>
    <t>Acquisition of strategic investment</t>
  </si>
  <si>
    <t>FCF</t>
  </si>
  <si>
    <t>CapEx</t>
  </si>
  <si>
    <t>Payments related to obtaining Revolving Credit Facility</t>
  </si>
  <si>
    <t>Proceeds from exercise of stock options Employee SPP</t>
  </si>
  <si>
    <t>CFFF</t>
  </si>
  <si>
    <t xml:space="preserve">For the three months ended March 31, 2025 and 2024, </t>
  </si>
  <si>
    <t xml:space="preserve">no individual country outside the U.S. exceeded 10% of total net product revenues. </t>
  </si>
  <si>
    <t>FY22</t>
  </si>
  <si>
    <t>delandistrogene maxoparvovec-rokl %</t>
  </si>
  <si>
    <t xml:space="preserve">Q125 R&amp;D Spike due to </t>
  </si>
  <si>
    <t>delandistrogene maxoparvovec-rokl yoy</t>
  </si>
  <si>
    <t>delandistrogene maxoparvovec-rokl qoq</t>
  </si>
  <si>
    <t>yoy</t>
  </si>
  <si>
    <t>gm</t>
  </si>
  <si>
    <t>Cash Runway FY24</t>
  </si>
  <si>
    <t xml:space="preserve"> </t>
  </si>
  <si>
    <t>elevidys ambulant var ama guven dusuyor, negatif projection, PMO var</t>
  </si>
  <si>
    <t xml:space="preserve">elevidys ambulant/non ambulant yok PMO var </t>
  </si>
  <si>
    <t>TAM</t>
  </si>
  <si>
    <t>SAM</t>
  </si>
  <si>
    <t>SOM</t>
  </si>
  <si>
    <t xml:space="preserve">Elevidys icin yok </t>
  </si>
  <si>
    <t xml:space="preserve">cagr ? </t>
  </si>
  <si>
    <t xml:space="preserve">her bir PMO icin </t>
  </si>
  <si>
    <t>5000 ABD</t>
  </si>
  <si>
    <t xml:space="preserve">10 000 ROW </t>
  </si>
  <si>
    <t>ilacin fiyati 20 tl</t>
  </si>
  <si>
    <t xml:space="preserve">erkek populasyonunu </t>
  </si>
  <si>
    <t>PMO average artis generic drug gibi, no elevidys</t>
  </si>
  <si>
    <t>tax rate</t>
  </si>
  <si>
    <t xml:space="preserve">     </t>
  </si>
  <si>
    <t>Maturity</t>
  </si>
  <si>
    <t>Discount</t>
  </si>
  <si>
    <t>NPV</t>
  </si>
  <si>
    <t>Shares</t>
  </si>
  <si>
    <t>Date</t>
  </si>
  <si>
    <t>Year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</si>
</sst>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5" x14ac:knownFonts="1">
    <font>
      <sz val="11"/>
      <color theme="1"/>
      <name val="Times New Roman"/>
      <family val="2"/>
    </font>
    <font>
      <b/>
      <sz val="11"/>
      <color theme="1"/>
      <name val="Times New Roman"/>
      <family val="1"/>
      <charset val="162"/>
    </font>
    <font>
      <b/>
      <i/>
      <sz val="11"/>
      <color theme="1"/>
      <name val="Times New Roman"/>
      <family val="1"/>
      <charset val="162"/>
    </font>
    <font>
      <sz val="11"/>
      <color theme="1"/>
      <name val="Times New Roman"/>
      <family val="1"/>
      <charset val="162"/>
    </font>
    <font>
      <i/>
      <sz val="11"/>
      <color theme="1"/>
      <name val="Times New Roman"/>
      <family val="1"/>
      <charset val="162"/>
    </font>
    <font>
      <sz val="14"/>
      <color theme="1"/>
      <name val="Times New Roman"/>
      <family val="1"/>
      <charset val="162"/>
    </font>
    <font>
      <u val="singleAccounting"/>
      <sz val="11"/>
      <color theme="1"/>
      <name val="Times New Roman"/>
      <family val="2"/>
    </font>
    <font>
      <i/>
      <u val="singleAccounting"/>
      <sz val="11"/>
      <color theme="1"/>
      <name val="Times New Roman"/>
      <family val="1"/>
      <charset val="162"/>
    </font>
    <font>
      <b/>
      <i/>
      <sz val="10"/>
      <color rgb="FF000000"/>
      <name val="Times New Roman"/>
      <family val="1"/>
      <charset val="162"/>
    </font>
    <font>
      <u/>
      <sz val="11"/>
      <color theme="10"/>
      <name val="Times New Roman"/>
      <family val="2"/>
    </font>
    <font>
      <sz val="11"/>
      <color rgb="FF000000"/>
      <name val="Times New Roman"/>
      <family val="2"/>
    </font>
    <font>
      <sz val="8"/>
      <color rgb="FF000000"/>
      <name val="Times New Roman"/>
      <family val="1"/>
      <charset val="162"/>
    </font>
    <font>
      <sz val="9"/>
      <color indexed="81"/>
      <name val="Tahoma"/>
      <charset val="1"/>
    </font>
    <font>
      <b/>
      <sz val="9"/>
      <color indexed="81"/>
      <name val="Tahoma"/>
      <charset val="1"/>
    </font>
    <font>
      <b/>
      <u/>
      <sz val="11"/>
      <color theme="10"/>
      <name val="Times New Roman"/>
      <family val="1"/>
      <charset val="162"/>
    </font>
  </fonts>
  <fills count="2">
    <fill>
      <patternFill patternType="none"/>
    </fill>
    <fill>
      <patternFill patternType="gray125"/>
    </fill>
  </fills>
  <borders count="8">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9" fillId="0" borderId="0" applyNumberFormat="0" applyFill="0" applyBorder="0" applyAlignment="0" applyProtection="0"/>
  </cellStyleXfs>
  <cellXfs count="38">
    <xf numFmtId="0" fontId="0" fillId="0" borderId="0" xfId="0"/>
    <xf numFmtId="14" fontId="0" fillId="0" borderId="0" xfId="0" applyNumberFormat="1"/>
    <xf numFmtId="43" fontId="0" fillId="0" borderId="0" xfId="0" applyNumberFormat="1"/>
    <xf numFmtId="43" fontId="4" fillId="0" borderId="0" xfId="0" applyNumberFormat="1" applyFont="1"/>
    <xf numFmtId="43" fontId="0" fillId="0" borderId="1" xfId="0" applyNumberFormat="1" applyBorder="1"/>
    <xf numFmtId="43" fontId="5" fillId="0" borderId="0" xfId="0" applyNumberFormat="1" applyFont="1"/>
    <xf numFmtId="43" fontId="6" fillId="0" borderId="0" xfId="0" applyNumberFormat="1" applyFont="1"/>
    <xf numFmtId="43" fontId="3" fillId="0" borderId="0" xfId="0" applyNumberFormat="1" applyFont="1"/>
    <xf numFmtId="43" fontId="2" fillId="0" borderId="0" xfId="0" applyNumberFormat="1" applyFont="1"/>
    <xf numFmtId="43" fontId="1" fillId="0" borderId="0" xfId="0" applyNumberFormat="1" applyFont="1"/>
    <xf numFmtId="43" fontId="7" fillId="0" borderId="0" xfId="0" applyNumberFormat="1" applyFont="1"/>
    <xf numFmtId="0" fontId="8" fillId="0" borderId="0" xfId="0" applyFont="1" applyAlignment="1">
      <alignment horizontal="left" vertical="center"/>
    </xf>
    <xf numFmtId="0" fontId="4" fillId="0" borderId="0" xfId="0" applyFont="1"/>
    <xf numFmtId="43" fontId="0" fillId="0" borderId="0" xfId="0" applyNumberFormat="1" applyAlignment="1">
      <alignment horizontal="right"/>
    </xf>
    <xf numFmtId="43" fontId="4" fillId="0" borderId="2" xfId="0" applyNumberFormat="1" applyFont="1" applyBorder="1"/>
    <xf numFmtId="43" fontId="0" fillId="0" borderId="2" xfId="0" applyNumberFormat="1" applyBorder="1"/>
    <xf numFmtId="0" fontId="4" fillId="0" borderId="2" xfId="0" applyFont="1" applyBorder="1"/>
    <xf numFmtId="0" fontId="9" fillId="0" borderId="0" xfId="1"/>
    <xf numFmtId="43" fontId="9" fillId="0" borderId="0" xfId="1" applyNumberFormat="1"/>
    <xf numFmtId="43" fontId="4" fillId="0" borderId="0" xfId="0" applyNumberFormat="1" applyFont="1" applyAlignment="1">
      <alignment horizontal="left" indent="1"/>
    </xf>
    <xf numFmtId="43" fontId="4" fillId="0" borderId="0" xfId="0" applyNumberFormat="1" applyFont="1" applyAlignment="1">
      <alignment horizontal="left" indent="2"/>
    </xf>
    <xf numFmtId="43" fontId="1" fillId="0" borderId="0" xfId="0" applyNumberFormat="1" applyFont="1" applyAlignment="1">
      <alignment horizontal="left"/>
    </xf>
    <xf numFmtId="43" fontId="0" fillId="0" borderId="3" xfId="0" applyNumberFormat="1" applyBorder="1"/>
    <xf numFmtId="43" fontId="0" fillId="0" borderId="4" xfId="0" applyNumberFormat="1" applyBorder="1"/>
    <xf numFmtId="43" fontId="0" fillId="0" borderId="5" xfId="0" applyNumberFormat="1" applyBorder="1"/>
    <xf numFmtId="43" fontId="0" fillId="0" borderId="6" xfId="0" applyNumberFormat="1" applyBorder="1"/>
    <xf numFmtId="0" fontId="10" fillId="0" borderId="0" xfId="0" applyFont="1"/>
    <xf numFmtId="0" fontId="11" fillId="0" borderId="0" xfId="0" applyFont="1" applyAlignment="1">
      <alignment horizontal="left" vertical="center"/>
    </xf>
    <xf numFmtId="0" fontId="8" fillId="0" borderId="0" xfId="0" applyFont="1" applyAlignment="1">
      <alignment horizontal="left" vertical="center" indent="1"/>
    </xf>
    <xf numFmtId="43" fontId="2" fillId="0" borderId="0" xfId="0" applyNumberFormat="1" applyFont="1" applyAlignment="1">
      <alignment horizontal="left" indent="1"/>
    </xf>
    <xf numFmtId="43" fontId="4" fillId="0" borderId="0" xfId="0" applyNumberFormat="1" applyFont="1" applyAlignment="1">
      <alignment horizontal="left"/>
    </xf>
    <xf numFmtId="43" fontId="0" fillId="0" borderId="7" xfId="0" applyNumberFormat="1" applyBorder="1"/>
    <xf numFmtId="10" fontId="0" fillId="0" borderId="0" xfId="0" applyNumberFormat="1"/>
    <xf numFmtId="43" fontId="4" fillId="0" borderId="4" xfId="0" applyNumberFormat="1" applyFont="1" applyBorder="1" applyAlignment="1">
      <alignment horizontal="left"/>
    </xf>
    <xf numFmtId="10" fontId="0" fillId="0" borderId="5" xfId="0" applyNumberFormat="1" applyBorder="1"/>
    <xf numFmtId="10" fontId="0" fillId="0" borderId="6" xfId="0" applyNumberFormat="1" applyBorder="1"/>
    <xf numFmtId="10" fontId="0" fillId="0" borderId="2" xfId="0" applyNumberFormat="1" applyBorder="1"/>
    <xf numFmtId="43" fontId="14" fillId="0" borderId="0" xfId="1"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1508760</xdr:colOff>
      <xdr:row>12</xdr:row>
      <xdr:rowOff>38101</xdr:rowOff>
    </xdr:from>
    <xdr:to>
      <xdr:col>2</xdr:col>
      <xdr:colOff>3307080</xdr:colOff>
      <xdr:row>14</xdr:row>
      <xdr:rowOff>20269</xdr:rowOff>
    </xdr:to>
    <xdr:pic>
      <xdr:nvPicPr>
        <xdr:cNvPr id="2" name="Picture 1">
          <a:extLst>
            <a:ext uri="{FF2B5EF4-FFF2-40B4-BE49-F238E27FC236}">
              <a16:creationId xmlns:a16="http://schemas.microsoft.com/office/drawing/2014/main" id="{2360E4B9-CCF8-547F-0027-C3C58D9FF947}"/>
            </a:ext>
          </a:extLst>
        </xdr:cNvPr>
        <xdr:cNvPicPr>
          <a:picLocks noChangeAspect="1"/>
        </xdr:cNvPicPr>
      </xdr:nvPicPr>
      <xdr:blipFill>
        <a:blip xmlns:r="http://schemas.openxmlformats.org/officeDocument/2006/relationships" r:embed="rId1"/>
        <a:stretch>
          <a:fillRect/>
        </a:stretch>
      </xdr:blipFill>
      <xdr:spPr>
        <a:xfrm>
          <a:off x="1729740" y="2225041"/>
          <a:ext cx="4335780" cy="3403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ondys45.com/pi" TargetMode="External"/><Relationship Id="rId3" Type="http://schemas.openxmlformats.org/officeDocument/2006/relationships/hyperlink" Target="https://www.sarepta.com/products-pipeline/pipeline" TargetMode="External"/><Relationship Id="rId7" Type="http://schemas.openxmlformats.org/officeDocument/2006/relationships/hyperlink" Target="https://www.vyondys53.com/pi" TargetMode="External"/><Relationship Id="rId2" Type="http://schemas.openxmlformats.org/officeDocument/2006/relationships/hyperlink" Target="https://www.sarepta.com/products-pipeline/products" TargetMode="External"/><Relationship Id="rId1" Type="http://schemas.openxmlformats.org/officeDocument/2006/relationships/hyperlink" Target="https://www.sarepta.com/science/rna-platform" TargetMode="External"/><Relationship Id="rId6" Type="http://schemas.openxmlformats.org/officeDocument/2006/relationships/hyperlink" Target="https://www.exondys51.com/pi" TargetMode="External"/><Relationship Id="rId5" Type="http://schemas.openxmlformats.org/officeDocument/2006/relationships/hyperlink" Target="https://www.elevidys.com/pi" TargetMode="External"/><Relationship Id="rId4" Type="http://schemas.openxmlformats.org/officeDocument/2006/relationships/hyperlink" Target="https://www.sarepta.com/products-pipeline/clinical-trial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47591-5447-40BA-B7FA-743E83F99949}">
  <dimension ref="A2:G71"/>
  <sheetViews>
    <sheetView showGridLines="0" workbookViewId="0">
      <selection activeCell="E11" sqref="E11"/>
    </sheetView>
  </sheetViews>
  <sheetFormatPr defaultRowHeight="13.8" x14ac:dyDescent="0.25"/>
  <cols>
    <col min="1" max="1" width="3.21875" style="2" customWidth="1"/>
    <col min="2" max="2" width="37" style="2" customWidth="1"/>
    <col min="3" max="3" width="50.33203125" style="2" customWidth="1"/>
    <col min="4" max="4" width="37.5546875" style="2" bestFit="1" customWidth="1"/>
    <col min="5" max="5" width="13.77734375" style="2" bestFit="1" customWidth="1"/>
    <col min="6" max="6" width="14.5546875" style="2" bestFit="1" customWidth="1"/>
    <col min="7" max="7" width="36.44140625" style="2" bestFit="1" customWidth="1"/>
    <col min="8" max="9" width="8.88671875" style="2"/>
    <col min="10" max="10" width="34.21875" style="2" bestFit="1" customWidth="1"/>
    <col min="11" max="11" width="14.109375" style="2" bestFit="1" customWidth="1"/>
    <col min="12" max="16384" width="8.88671875" style="2"/>
  </cols>
  <sheetData>
    <row r="2" spans="1:6" ht="18" x14ac:dyDescent="0.35">
      <c r="B2" s="5" t="s">
        <v>0</v>
      </c>
      <c r="D2" s="1">
        <v>45863</v>
      </c>
      <c r="F2" s="3" t="s">
        <v>6</v>
      </c>
    </row>
    <row r="3" spans="1:6" s="4" customFormat="1" x14ac:dyDescent="0.25"/>
    <row r="4" spans="1:6" ht="15.6" x14ac:dyDescent="0.4">
      <c r="A4" s="2" t="s">
        <v>89</v>
      </c>
      <c r="B4" s="6" t="s">
        <v>7</v>
      </c>
      <c r="D4" s="2" t="s">
        <v>1</v>
      </c>
    </row>
    <row r="6" spans="1:6" x14ac:dyDescent="0.25">
      <c r="B6" s="3" t="s">
        <v>24</v>
      </c>
      <c r="D6" s="2" t="s">
        <v>2</v>
      </c>
      <c r="E6" s="2">
        <v>11.52</v>
      </c>
      <c r="F6" s="2" t="s">
        <v>8</v>
      </c>
    </row>
    <row r="7" spans="1:6" x14ac:dyDescent="0.25">
      <c r="B7" s="3" t="s">
        <v>25</v>
      </c>
      <c r="D7" s="2" t="s">
        <v>21</v>
      </c>
      <c r="E7" s="2">
        <v>97362</v>
      </c>
      <c r="F7" s="2" t="s">
        <v>8</v>
      </c>
    </row>
    <row r="8" spans="1:6" x14ac:dyDescent="0.25">
      <c r="B8" s="3" t="s">
        <v>16</v>
      </c>
      <c r="D8" s="2" t="s">
        <v>22</v>
      </c>
      <c r="E8" s="2">
        <f>E7*E6</f>
        <v>1121610.24</v>
      </c>
      <c r="F8" s="2" t="s">
        <v>8</v>
      </c>
    </row>
    <row r="9" spans="1:6" x14ac:dyDescent="0.25">
      <c r="B9" s="3" t="s">
        <v>18</v>
      </c>
      <c r="D9" s="2" t="s">
        <v>3</v>
      </c>
      <c r="E9" s="2">
        <f>240867+281895</f>
        <v>522762</v>
      </c>
      <c r="F9" s="2" t="s">
        <v>8</v>
      </c>
    </row>
    <row r="10" spans="1:6" x14ac:dyDescent="0.25">
      <c r="B10" s="3" t="s">
        <v>32</v>
      </c>
      <c r="D10" s="2" t="s">
        <v>4</v>
      </c>
      <c r="E10" s="2">
        <v>1138289</v>
      </c>
      <c r="F10" s="2" t="s">
        <v>8</v>
      </c>
    </row>
    <row r="11" spans="1:6" x14ac:dyDescent="0.25">
      <c r="B11" s="28" t="s">
        <v>184</v>
      </c>
      <c r="D11" s="2" t="s">
        <v>23</v>
      </c>
      <c r="E11" s="2">
        <f>E8-E9+E10</f>
        <v>1737137.24</v>
      </c>
      <c r="F11" s="2" t="s">
        <v>8</v>
      </c>
    </row>
    <row r="12" spans="1:6" ht="14.4" x14ac:dyDescent="0.3">
      <c r="B12" s="29" t="s">
        <v>185</v>
      </c>
    </row>
    <row r="13" spans="1:6" ht="14.4" x14ac:dyDescent="0.3">
      <c r="B13" s="3" t="s">
        <v>188</v>
      </c>
      <c r="D13" s="8" t="s">
        <v>5</v>
      </c>
      <c r="E13" s="9">
        <f>E9-E10</f>
        <v>-615527</v>
      </c>
      <c r="F13" s="9" t="s">
        <v>8</v>
      </c>
    </row>
    <row r="14" spans="1:6" x14ac:dyDescent="0.25">
      <c r="D14" s="3" t="s">
        <v>19</v>
      </c>
      <c r="E14" s="2">
        <v>5801161</v>
      </c>
      <c r="F14" s="2" t="s">
        <v>8</v>
      </c>
    </row>
    <row r="15" spans="1:6" x14ac:dyDescent="0.25">
      <c r="B15" s="3" t="s">
        <v>103</v>
      </c>
      <c r="D15" s="3" t="s">
        <v>20</v>
      </c>
      <c r="E15" s="2">
        <v>-4658482</v>
      </c>
      <c r="F15" s="2" t="s">
        <v>8</v>
      </c>
    </row>
    <row r="17" spans="1:2" x14ac:dyDescent="0.25">
      <c r="B17" s="3" t="s">
        <v>12</v>
      </c>
    </row>
    <row r="18" spans="1:2" x14ac:dyDescent="0.25">
      <c r="B18" s="3" t="s">
        <v>11</v>
      </c>
    </row>
    <row r="19" spans="1:2" x14ac:dyDescent="0.25">
      <c r="B19" s="3" t="s">
        <v>9</v>
      </c>
    </row>
    <row r="20" spans="1:2" x14ac:dyDescent="0.25">
      <c r="B20" s="3" t="s">
        <v>10</v>
      </c>
    </row>
    <row r="21" spans="1:2" x14ac:dyDescent="0.25">
      <c r="B21" s="3" t="s">
        <v>13</v>
      </c>
    </row>
    <row r="22" spans="1:2" x14ac:dyDescent="0.25">
      <c r="B22" s="3" t="s">
        <v>17</v>
      </c>
    </row>
    <row r="25" spans="1:2" ht="15.6" x14ac:dyDescent="0.4">
      <c r="A25" s="2" t="s">
        <v>89</v>
      </c>
      <c r="B25" s="6" t="s">
        <v>14</v>
      </c>
    </row>
    <row r="27" spans="1:2" x14ac:dyDescent="0.25">
      <c r="B27" s="3" t="s">
        <v>15</v>
      </c>
    </row>
    <row r="28" spans="1:2" x14ac:dyDescent="0.25">
      <c r="B28" s="11" t="s">
        <v>33</v>
      </c>
    </row>
    <row r="29" spans="1:2" x14ac:dyDescent="0.25">
      <c r="B29" s="3" t="s">
        <v>86</v>
      </c>
    </row>
    <row r="30" spans="1:2" x14ac:dyDescent="0.25">
      <c r="B30" s="3" t="s">
        <v>87</v>
      </c>
    </row>
    <row r="32" spans="1:2" ht="15.6" x14ac:dyDescent="0.4">
      <c r="A32" s="2" t="s">
        <v>89</v>
      </c>
      <c r="B32" s="6" t="s">
        <v>98</v>
      </c>
    </row>
    <row r="34" spans="1:7" x14ac:dyDescent="0.25">
      <c r="B34" s="17" t="s">
        <v>90</v>
      </c>
    </row>
    <row r="35" spans="1:7" x14ac:dyDescent="0.25">
      <c r="B35" s="18" t="s">
        <v>95</v>
      </c>
    </row>
    <row r="36" spans="1:7" x14ac:dyDescent="0.25">
      <c r="B36" s="18" t="s">
        <v>96</v>
      </c>
    </row>
    <row r="37" spans="1:7" x14ac:dyDescent="0.25">
      <c r="B37" s="18" t="s">
        <v>97</v>
      </c>
    </row>
    <row r="40" spans="1:7" x14ac:dyDescent="0.25">
      <c r="B40" s="3" t="s">
        <v>91</v>
      </c>
      <c r="C40" s="18" t="s">
        <v>99</v>
      </c>
    </row>
    <row r="41" spans="1:7" ht="14.4" x14ac:dyDescent="0.3">
      <c r="B41" s="8" t="s">
        <v>92</v>
      </c>
      <c r="C41" s="37" t="s">
        <v>100</v>
      </c>
    </row>
    <row r="42" spans="1:7" ht="14.4" x14ac:dyDescent="0.3">
      <c r="B42" s="8" t="s">
        <v>93</v>
      </c>
      <c r="C42" s="37" t="s">
        <v>101</v>
      </c>
    </row>
    <row r="43" spans="1:7" ht="14.4" x14ac:dyDescent="0.3">
      <c r="B43" s="8" t="s">
        <v>94</v>
      </c>
      <c r="C43" s="37" t="s">
        <v>102</v>
      </c>
    </row>
    <row r="45" spans="1:7" ht="15.6" x14ac:dyDescent="0.4">
      <c r="A45" s="2" t="s">
        <v>89</v>
      </c>
      <c r="B45" s="10" t="s">
        <v>26</v>
      </c>
    </row>
    <row r="47" spans="1:7" ht="15.6" x14ac:dyDescent="0.4">
      <c r="B47" s="10" t="s">
        <v>27</v>
      </c>
      <c r="C47" s="10" t="s">
        <v>28</v>
      </c>
      <c r="D47" s="10" t="s">
        <v>29</v>
      </c>
      <c r="E47" s="10" t="s">
        <v>30</v>
      </c>
      <c r="F47" s="10" t="s">
        <v>31</v>
      </c>
      <c r="G47" s="10" t="s">
        <v>88</v>
      </c>
    </row>
    <row r="49" spans="1:7" x14ac:dyDescent="0.25">
      <c r="B49" s="14" t="s">
        <v>35</v>
      </c>
      <c r="C49" s="16" t="s">
        <v>45</v>
      </c>
      <c r="D49" s="15"/>
      <c r="E49" s="15"/>
      <c r="F49" s="14" t="s">
        <v>34</v>
      </c>
      <c r="G49" s="15"/>
    </row>
    <row r="50" spans="1:7" x14ac:dyDescent="0.25">
      <c r="B50" s="14" t="s">
        <v>36</v>
      </c>
      <c r="C50" s="16" t="s">
        <v>46</v>
      </c>
      <c r="D50" s="15" t="s">
        <v>104</v>
      </c>
      <c r="E50" s="15"/>
      <c r="F50" s="14" t="s">
        <v>34</v>
      </c>
      <c r="G50" s="15"/>
    </row>
    <row r="51" spans="1:7" x14ac:dyDescent="0.25">
      <c r="B51" s="14" t="s">
        <v>37</v>
      </c>
      <c r="C51" s="16" t="s">
        <v>47</v>
      </c>
      <c r="D51" s="15"/>
      <c r="E51" s="15"/>
      <c r="F51" s="14" t="s">
        <v>34</v>
      </c>
      <c r="G51" s="15"/>
    </row>
    <row r="52" spans="1:7" x14ac:dyDescent="0.25">
      <c r="B52" s="14" t="s">
        <v>39</v>
      </c>
      <c r="C52" s="16" t="s">
        <v>48</v>
      </c>
      <c r="D52" s="15"/>
      <c r="E52" s="15"/>
      <c r="F52" s="14" t="s">
        <v>38</v>
      </c>
      <c r="G52" s="15"/>
    </row>
    <row r="53" spans="1:7" x14ac:dyDescent="0.25">
      <c r="B53" s="14" t="s">
        <v>40</v>
      </c>
      <c r="C53" s="16" t="s">
        <v>49</v>
      </c>
      <c r="D53" s="15"/>
      <c r="E53" s="15"/>
      <c r="F53" s="14" t="s">
        <v>38</v>
      </c>
      <c r="G53" s="15"/>
    </row>
    <row r="54" spans="1:7" x14ac:dyDescent="0.25">
      <c r="B54" s="14" t="s">
        <v>41</v>
      </c>
      <c r="C54" s="16" t="s">
        <v>50</v>
      </c>
      <c r="D54" s="15"/>
      <c r="E54" s="15"/>
      <c r="F54" s="14" t="s">
        <v>38</v>
      </c>
      <c r="G54" s="15"/>
    </row>
    <row r="55" spans="1:7" x14ac:dyDescent="0.25">
      <c r="B55" s="14" t="s">
        <v>42</v>
      </c>
      <c r="C55" s="16" t="s">
        <v>51</v>
      </c>
      <c r="D55" s="15"/>
      <c r="E55" s="15"/>
      <c r="F55" s="14" t="s">
        <v>38</v>
      </c>
      <c r="G55" s="15"/>
    </row>
    <row r="56" spans="1:7" x14ac:dyDescent="0.25">
      <c r="B56" s="14" t="s">
        <v>44</v>
      </c>
      <c r="C56" s="16" t="s">
        <v>52</v>
      </c>
      <c r="D56" s="15"/>
      <c r="E56" s="15"/>
      <c r="F56" s="14" t="s">
        <v>43</v>
      </c>
      <c r="G56" s="15"/>
    </row>
    <row r="57" spans="1:7" x14ac:dyDescent="0.25">
      <c r="B57" s="3"/>
      <c r="F57" s="3"/>
    </row>
    <row r="58" spans="1:7" x14ac:dyDescent="0.25">
      <c r="B58" s="12" t="s">
        <v>53</v>
      </c>
    </row>
    <row r="59" spans="1:7" x14ac:dyDescent="0.25">
      <c r="B59" s="12" t="s">
        <v>54</v>
      </c>
    </row>
    <row r="61" spans="1:7" ht="15.6" x14ac:dyDescent="0.4">
      <c r="A61" s="2" t="s">
        <v>89</v>
      </c>
      <c r="B61" s="6" t="s">
        <v>71</v>
      </c>
    </row>
    <row r="63" spans="1:7" ht="15.6" x14ac:dyDescent="0.4">
      <c r="B63" s="10" t="s">
        <v>75</v>
      </c>
      <c r="C63" s="10" t="s">
        <v>27</v>
      </c>
      <c r="D63" s="10" t="s">
        <v>28</v>
      </c>
      <c r="E63" s="3"/>
      <c r="F63" s="3"/>
      <c r="G63" s="3"/>
    </row>
    <row r="65" spans="2:6" x14ac:dyDescent="0.25">
      <c r="B65" s="14" t="s">
        <v>72</v>
      </c>
      <c r="C65" s="15" t="s">
        <v>73</v>
      </c>
      <c r="D65" s="16" t="s">
        <v>82</v>
      </c>
      <c r="F65" s="3"/>
    </row>
    <row r="66" spans="2:6" x14ac:dyDescent="0.25">
      <c r="B66" s="14" t="s">
        <v>72</v>
      </c>
      <c r="C66" s="15" t="s">
        <v>74</v>
      </c>
      <c r="D66" s="16" t="s">
        <v>83</v>
      </c>
      <c r="F66" s="3"/>
    </row>
    <row r="67" spans="2:6" x14ac:dyDescent="0.25">
      <c r="B67" s="14" t="s">
        <v>72</v>
      </c>
      <c r="C67" s="15" t="s">
        <v>76</v>
      </c>
      <c r="D67" s="16" t="s">
        <v>84</v>
      </c>
      <c r="F67" s="3"/>
    </row>
    <row r="68" spans="2:6" x14ac:dyDescent="0.25">
      <c r="B68" s="14" t="s">
        <v>72</v>
      </c>
      <c r="C68" s="15" t="s">
        <v>77</v>
      </c>
      <c r="D68" s="16" t="s">
        <v>51</v>
      </c>
      <c r="F68" s="3"/>
    </row>
    <row r="69" spans="2:6" x14ac:dyDescent="0.25">
      <c r="B69" s="14" t="s">
        <v>78</v>
      </c>
      <c r="C69" s="15" t="s">
        <v>79</v>
      </c>
      <c r="D69" s="16" t="s">
        <v>84</v>
      </c>
      <c r="F69" s="3"/>
    </row>
    <row r="70" spans="2:6" x14ac:dyDescent="0.25">
      <c r="B70" s="14" t="s">
        <v>78</v>
      </c>
      <c r="C70" s="15" t="s">
        <v>80</v>
      </c>
      <c r="D70" s="16" t="s">
        <v>84</v>
      </c>
      <c r="F70" s="3"/>
    </row>
    <row r="71" spans="2:6" x14ac:dyDescent="0.25">
      <c r="B71" s="14" t="s">
        <v>78</v>
      </c>
      <c r="C71" s="15" t="s">
        <v>81</v>
      </c>
      <c r="D71" s="16" t="s">
        <v>85</v>
      </c>
      <c r="F71" s="3"/>
    </row>
  </sheetData>
  <hyperlinks>
    <hyperlink ref="B34" r:id="rId1" xr:uid="{225E5E23-274F-47DB-A833-1CF01F318AD0}"/>
    <hyperlink ref="B35" r:id="rId2" xr:uid="{7C68C7B0-281D-432F-BA57-C248C8FC0FE9}"/>
    <hyperlink ref="B36" r:id="rId3" xr:uid="{47BDDD7F-B921-4DB9-91E1-C0C912286D5C}"/>
    <hyperlink ref="B37" r:id="rId4" xr:uid="{3DC4E089-93DF-45EB-86FB-D17A7A50A003}"/>
    <hyperlink ref="C40" r:id="rId5" xr:uid="{E3345D7E-98F3-480E-8317-1BB8CB0E8DCB}"/>
    <hyperlink ref="C41" r:id="rId6" xr:uid="{EABCCEFA-3EE4-4603-94C1-AB3CEE772FFB}"/>
    <hyperlink ref="C42" r:id="rId7" xr:uid="{801D43D0-B7D5-425E-8CCC-BE72AB71084A}"/>
    <hyperlink ref="C43" r:id="rId8" xr:uid="{A0D09F8D-F96B-4B43-BA78-5714873E24C2}"/>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B79B6-BCBA-409F-B63F-84826FB62C71}">
  <dimension ref="A2:XFD126"/>
  <sheetViews>
    <sheetView showGridLines="0" tabSelected="1" workbookViewId="0"/>
  </sheetViews>
  <sheetFormatPr defaultRowHeight="13.8" x14ac:dyDescent="0.25"/>
  <cols>
    <col min="1" max="1" width="3.21875" style="2" customWidth="1"/>
    <col min="2" max="2" width="49.109375" style="2" bestFit="1" customWidth="1"/>
    <col min="3" max="3" width="14.109375" style="2" bestFit="1" customWidth="1"/>
    <col min="4" max="4" width="12.109375" style="2" bestFit="1" customWidth="1"/>
    <col min="5" max="5" width="11.44140625" style="2" bestFit="1" customWidth="1"/>
    <col min="6" max="6" width="13.77734375" style="2" bestFit="1" customWidth="1"/>
    <col min="7" max="7" width="13.109375" style="2" customWidth="1"/>
    <col min="8" max="8" width="12.109375" style="2" bestFit="1" customWidth="1"/>
    <col min="9" max="10" width="11.44140625" style="2" bestFit="1" customWidth="1"/>
    <col min="11" max="12" width="13.109375" style="2" bestFit="1" customWidth="1"/>
    <col min="13" max="14" width="12.109375" style="2" bestFit="1" customWidth="1"/>
    <col min="15" max="16" width="8.88671875" style="2"/>
    <col min="17" max="19" width="13.77734375" style="2" bestFit="1" customWidth="1"/>
    <col min="20" max="29" width="13.109375" style="2" bestFit="1" customWidth="1"/>
    <col min="30" max="39" width="12.109375" style="2" bestFit="1" customWidth="1"/>
    <col min="40" max="40" width="11.44140625" style="2" bestFit="1" customWidth="1"/>
    <col min="41" max="45" width="12.109375" style="2" bestFit="1" customWidth="1"/>
    <col min="46" max="46" width="11.44140625" style="2" bestFit="1" customWidth="1"/>
    <col min="47" max="51" width="12.109375" style="2" bestFit="1" customWidth="1"/>
    <col min="52" max="52" width="11.109375" style="2" bestFit="1" customWidth="1"/>
    <col min="53" max="53" width="11.44140625" style="2" bestFit="1" customWidth="1"/>
    <col min="54" max="56" width="11.109375" style="2" bestFit="1" customWidth="1"/>
    <col min="57" max="57" width="12.109375" style="2" bestFit="1" customWidth="1"/>
    <col min="58" max="59" width="11.109375" style="2" bestFit="1" customWidth="1"/>
    <col min="60" max="60" width="12.109375" style="2" bestFit="1" customWidth="1"/>
    <col min="61" max="61" width="11.109375" style="2" bestFit="1" customWidth="1"/>
    <col min="62" max="62" width="12.109375" style="2" bestFit="1" customWidth="1"/>
    <col min="63" max="73" width="11.109375" style="2" bestFit="1" customWidth="1"/>
    <col min="74" max="74" width="10.44140625" style="2" bestFit="1" customWidth="1"/>
    <col min="75" max="76" width="11.109375" style="2" bestFit="1" customWidth="1"/>
    <col min="77" max="80" width="12.109375" style="2" bestFit="1" customWidth="1"/>
    <col min="81" max="89" width="11.109375" style="2" bestFit="1" customWidth="1"/>
    <col min="90" max="90" width="12.109375" style="2" bestFit="1" customWidth="1"/>
    <col min="91" max="91" width="11.109375" style="2" bestFit="1" customWidth="1"/>
    <col min="92" max="92" width="10.44140625" style="2" bestFit="1" customWidth="1"/>
    <col min="93" max="107" width="11.109375" style="2" bestFit="1" customWidth="1"/>
    <col min="108" max="122" width="8.88671875" style="2"/>
    <col min="123" max="124" width="10.44140625" style="2" bestFit="1" customWidth="1"/>
    <col min="125" max="145" width="8.88671875" style="2"/>
    <col min="146" max="146" width="9.44140625" style="2" bestFit="1" customWidth="1"/>
    <col min="147" max="154" width="8.88671875" style="2"/>
    <col min="155" max="156" width="9.44140625" style="2" bestFit="1" customWidth="1"/>
    <col min="157" max="172" width="8.88671875" style="2"/>
    <col min="173" max="175" width="9.44140625" style="2" bestFit="1" customWidth="1"/>
    <col min="176" max="187" width="8.88671875" style="2"/>
    <col min="188" max="189" width="9.44140625" style="2" bestFit="1" customWidth="1"/>
    <col min="190" max="198" width="8.88671875" style="2"/>
    <col min="199" max="201" width="9.44140625" style="2" bestFit="1" customWidth="1"/>
    <col min="202" max="207" width="8.88671875" style="2"/>
    <col min="208" max="208" width="11.109375" style="2" bestFit="1" customWidth="1"/>
    <col min="209" max="212" width="8.88671875" style="2"/>
    <col min="213" max="213" width="10.44140625" style="2" bestFit="1" customWidth="1"/>
    <col min="214" max="305" width="8.88671875" style="2"/>
    <col min="306" max="306" width="10.44140625" style="2" bestFit="1" customWidth="1"/>
    <col min="307" max="333" width="8.88671875" style="2"/>
    <col min="334" max="343" width="10.44140625" style="2" bestFit="1" customWidth="1"/>
    <col min="344" max="349" width="8.88671875" style="2"/>
    <col min="350" max="355" width="10.44140625" style="2" bestFit="1" customWidth="1"/>
    <col min="356" max="356" width="8.88671875" style="2"/>
    <col min="357" max="362" width="10.44140625" style="2" bestFit="1" customWidth="1"/>
    <col min="363" max="363" width="8.88671875" style="2"/>
    <col min="364" max="365" width="10.44140625" style="2" bestFit="1" customWidth="1"/>
    <col min="366" max="367" width="8.88671875" style="2"/>
    <col min="368" max="373" width="9.44140625" style="2" bestFit="1" customWidth="1"/>
    <col min="374" max="604" width="8.88671875" style="2"/>
    <col min="605" max="605" width="10.109375" style="2" bestFit="1" customWidth="1"/>
    <col min="606" max="16262" width="8.88671875" style="2"/>
    <col min="16263" max="16263" width="97.77734375" style="2" bestFit="1" customWidth="1"/>
    <col min="16264" max="16384" width="8.88671875" style="2"/>
  </cols>
  <sheetData>
    <row r="2" spans="1:29 16384:16384" ht="18" x14ac:dyDescent="0.35">
      <c r="B2" s="5" t="s">
        <v>0</v>
      </c>
      <c r="D2" s="1">
        <v>45863</v>
      </c>
      <c r="F2" s="3" t="s">
        <v>6</v>
      </c>
    </row>
    <row r="3" spans="1:29 16384:16384" s="4" customFormat="1" x14ac:dyDescent="0.25"/>
    <row r="4" spans="1:29 16384:16384" ht="15.6" x14ac:dyDescent="0.4">
      <c r="B4" s="6" t="s">
        <v>55</v>
      </c>
      <c r="C4" s="13" t="s">
        <v>60</v>
      </c>
      <c r="D4" s="13" t="s">
        <v>61</v>
      </c>
      <c r="E4" s="13" t="s">
        <v>62</v>
      </c>
      <c r="F4" s="13" t="s">
        <v>63</v>
      </c>
      <c r="G4" s="13" t="s">
        <v>64</v>
      </c>
      <c r="H4" s="13" t="s">
        <v>65</v>
      </c>
      <c r="I4" s="13" t="s">
        <v>66</v>
      </c>
      <c r="J4" s="13" t="s">
        <v>67</v>
      </c>
      <c r="K4" s="13" t="s">
        <v>8</v>
      </c>
      <c r="L4" s="13" t="s">
        <v>68</v>
      </c>
      <c r="M4" s="13" t="s">
        <v>69</v>
      </c>
      <c r="N4" s="13" t="s">
        <v>70</v>
      </c>
      <c r="O4" s="22"/>
      <c r="Q4" s="13" t="s">
        <v>186</v>
      </c>
      <c r="R4" s="13" t="s">
        <v>122</v>
      </c>
      <c r="S4" s="13" t="s">
        <v>123</v>
      </c>
      <c r="T4" s="13" t="s">
        <v>124</v>
      </c>
      <c r="U4" s="13" t="s">
        <v>125</v>
      </c>
      <c r="V4" s="13" t="s">
        <v>126</v>
      </c>
      <c r="W4" s="13" t="s">
        <v>127</v>
      </c>
      <c r="X4" s="13" t="s">
        <v>128</v>
      </c>
      <c r="Y4" s="13"/>
      <c r="Z4" s="13"/>
      <c r="AA4" s="13"/>
      <c r="AB4" s="13"/>
      <c r="AC4" s="13"/>
    </row>
    <row r="5" spans="1:29 16384:16384" x14ac:dyDescent="0.25">
      <c r="O5" s="22"/>
    </row>
    <row r="6" spans="1:29 16384:16384" x14ac:dyDescent="0.25">
      <c r="B6" s="20" t="s">
        <v>56</v>
      </c>
      <c r="C6" s="2">
        <v>200451</v>
      </c>
      <c r="D6" s="2">
        <v>203895</v>
      </c>
      <c r="E6" s="2">
        <v>198069</v>
      </c>
      <c r="F6" s="2">
        <f>R6-SUM(C6:E6)</f>
        <v>195529</v>
      </c>
      <c r="G6" s="2">
        <v>189667</v>
      </c>
      <c r="H6" s="2">
        <v>204248</v>
      </c>
      <c r="I6" s="2">
        <v>210683</v>
      </c>
      <c r="J6" s="2">
        <f>S6-SUM(G6:I6)</f>
        <v>212322</v>
      </c>
      <c r="K6" s="2">
        <v>185828</v>
      </c>
      <c r="L6" s="2">
        <f t="shared" ref="L6:N7" si="0">K6*1.02</f>
        <v>189544.56</v>
      </c>
      <c r="M6" s="2">
        <f t="shared" si="0"/>
        <v>193335.45120000001</v>
      </c>
      <c r="N6" s="2">
        <f t="shared" si="0"/>
        <v>197202.16022400002</v>
      </c>
      <c r="O6" s="22"/>
      <c r="Q6" s="2">
        <v>747101</v>
      </c>
      <c r="R6" s="2">
        <v>797944</v>
      </c>
      <c r="S6" s="2">
        <v>816920</v>
      </c>
      <c r="T6" s="2">
        <f>SUM(K6:N6)</f>
        <v>765910.17142400006</v>
      </c>
      <c r="U6" s="2">
        <f>T6*1.01</f>
        <v>773569.2731382401</v>
      </c>
      <c r="V6" s="2">
        <f t="shared" ref="V6:X6" si="1">U6*1.01</f>
        <v>781304.96586962254</v>
      </c>
      <c r="W6" s="2">
        <f t="shared" si="1"/>
        <v>789118.01552831882</v>
      </c>
      <c r="X6" s="2">
        <f t="shared" si="1"/>
        <v>797009.19568360201</v>
      </c>
    </row>
    <row r="7" spans="1:29 16384:16384" x14ac:dyDescent="0.25">
      <c r="B7" s="20" t="s">
        <v>57</v>
      </c>
      <c r="C7" s="7">
        <v>31044</v>
      </c>
      <c r="D7" s="7">
        <v>35093</v>
      </c>
      <c r="E7" s="7">
        <v>42145</v>
      </c>
      <c r="F7" s="2">
        <f>R7-SUM(C7:E7)</f>
        <v>38294</v>
      </c>
      <c r="G7" s="7">
        <v>35881</v>
      </c>
      <c r="H7" s="7">
        <v>34579</v>
      </c>
      <c r="I7" s="7">
        <v>38105</v>
      </c>
      <c r="J7" s="2">
        <f t="shared" ref="J7:J22" si="2">S7-SUM(G7:I7)</f>
        <v>41684</v>
      </c>
      <c r="K7" s="7">
        <v>50710</v>
      </c>
      <c r="L7" s="2">
        <f t="shared" si="0"/>
        <v>51724.200000000004</v>
      </c>
      <c r="M7" s="2">
        <f t="shared" si="0"/>
        <v>52758.684000000008</v>
      </c>
      <c r="N7" s="2">
        <f t="shared" si="0"/>
        <v>53813.857680000008</v>
      </c>
      <c r="O7" s="22"/>
      <c r="Q7" s="7">
        <v>96668</v>
      </c>
      <c r="R7" s="7">
        <v>146576</v>
      </c>
      <c r="S7" s="7">
        <v>150249</v>
      </c>
      <c r="T7" s="2">
        <f>SUM(K7:N7)</f>
        <v>209006.74168000004</v>
      </c>
      <c r="U7" s="2">
        <f t="shared" ref="U7:X7" si="3">T7*1.01</f>
        <v>211096.80909680005</v>
      </c>
      <c r="V7" s="2">
        <f t="shared" si="3"/>
        <v>213207.77718776805</v>
      </c>
      <c r="W7" s="2">
        <f t="shared" si="3"/>
        <v>215339.85495964575</v>
      </c>
      <c r="X7" s="2">
        <f t="shared" si="3"/>
        <v>217493.2535092422</v>
      </c>
    </row>
    <row r="8" spans="1:29 16384:16384" x14ac:dyDescent="0.25">
      <c r="B8" s="19" t="s">
        <v>105</v>
      </c>
      <c r="C8" s="2">
        <f t="shared" ref="C8:J8" si="4">SUM(C6:C7)</f>
        <v>231495</v>
      </c>
      <c r="D8" s="2">
        <f t="shared" si="4"/>
        <v>238988</v>
      </c>
      <c r="E8" s="2">
        <f t="shared" si="4"/>
        <v>240214</v>
      </c>
      <c r="F8" s="2">
        <f t="shared" si="4"/>
        <v>233823</v>
      </c>
      <c r="G8" s="2">
        <f t="shared" si="4"/>
        <v>225548</v>
      </c>
      <c r="H8" s="2">
        <f t="shared" si="4"/>
        <v>238827</v>
      </c>
      <c r="I8" s="2">
        <f t="shared" si="4"/>
        <v>248788</v>
      </c>
      <c r="J8" s="2">
        <f t="shared" si="4"/>
        <v>254006</v>
      </c>
      <c r="K8" s="2">
        <f>SUM(K6:K7)</f>
        <v>236538</v>
      </c>
      <c r="L8" s="2">
        <f>SUM(L6:L7)</f>
        <v>241268.76</v>
      </c>
      <c r="M8" s="2">
        <f>SUM(M6:M7)</f>
        <v>246094.13520000002</v>
      </c>
      <c r="N8" s="2">
        <f>SUM(N6:N7)</f>
        <v>251016.01790400004</v>
      </c>
      <c r="O8" s="22"/>
      <c r="Q8" s="2">
        <f t="shared" ref="Q8:X8" si="5">SUM(Q6:Q7)</f>
        <v>843769</v>
      </c>
      <c r="R8" s="2">
        <f t="shared" si="5"/>
        <v>944520</v>
      </c>
      <c r="S8" s="2">
        <f t="shared" si="5"/>
        <v>967169</v>
      </c>
      <c r="T8" s="2">
        <f t="shared" si="5"/>
        <v>974916.91310400004</v>
      </c>
      <c r="U8" s="2">
        <f t="shared" si="5"/>
        <v>984666.08223504014</v>
      </c>
      <c r="V8" s="2">
        <f t="shared" si="5"/>
        <v>994512.74305739056</v>
      </c>
      <c r="W8" s="2">
        <f t="shared" si="5"/>
        <v>1004457.8704879646</v>
      </c>
      <c r="X8" s="2">
        <f t="shared" si="5"/>
        <v>1014502.4491928442</v>
      </c>
    </row>
    <row r="9" spans="1:29 16384:16384" x14ac:dyDescent="0.25">
      <c r="B9" s="19" t="s">
        <v>58</v>
      </c>
      <c r="C9" s="2">
        <v>0</v>
      </c>
      <c r="D9" s="2">
        <v>0</v>
      </c>
      <c r="E9" s="2">
        <v>69108</v>
      </c>
      <c r="F9" s="2">
        <f t="shared" ref="F9:F22" si="6">R9-SUM(C9:E9)</f>
        <v>131248</v>
      </c>
      <c r="G9" s="2">
        <v>133936</v>
      </c>
      <c r="H9" s="2">
        <v>121721</v>
      </c>
      <c r="I9" s="2">
        <v>180983</v>
      </c>
      <c r="J9" s="2">
        <f t="shared" si="2"/>
        <v>384151</v>
      </c>
      <c r="K9" s="2">
        <v>374985</v>
      </c>
      <c r="L9" s="2">
        <v>0</v>
      </c>
      <c r="M9" s="2">
        <v>0</v>
      </c>
      <c r="N9" s="2">
        <v>0</v>
      </c>
      <c r="O9" s="22"/>
      <c r="Q9" s="2">
        <v>0</v>
      </c>
      <c r="R9" s="2">
        <v>200356</v>
      </c>
      <c r="S9" s="2">
        <v>820791</v>
      </c>
      <c r="T9" s="2">
        <f>SUM(K9:N9)</f>
        <v>374985</v>
      </c>
      <c r="U9" s="2">
        <v>0</v>
      </c>
      <c r="V9" s="2">
        <v>0</v>
      </c>
      <c r="W9" s="2">
        <v>0</v>
      </c>
      <c r="X9" s="2">
        <v>0</v>
      </c>
    </row>
    <row r="10" spans="1:29 16384:16384" x14ac:dyDescent="0.25">
      <c r="B10" s="19" t="s">
        <v>106</v>
      </c>
      <c r="C10" s="2">
        <f t="shared" ref="C10:J10" si="7">+C9+C8</f>
        <v>231495</v>
      </c>
      <c r="D10" s="2">
        <f t="shared" si="7"/>
        <v>238988</v>
      </c>
      <c r="E10" s="2">
        <f t="shared" si="7"/>
        <v>309322</v>
      </c>
      <c r="F10" s="2">
        <f t="shared" si="7"/>
        <v>365071</v>
      </c>
      <c r="G10" s="2">
        <f t="shared" si="7"/>
        <v>359484</v>
      </c>
      <c r="H10" s="2">
        <f t="shared" si="7"/>
        <v>360548</v>
      </c>
      <c r="I10" s="2">
        <f t="shared" si="7"/>
        <v>429771</v>
      </c>
      <c r="J10" s="2">
        <f t="shared" si="7"/>
        <v>638157</v>
      </c>
      <c r="K10" s="2">
        <f>+K9+K8</f>
        <v>611523</v>
      </c>
      <c r="L10" s="2">
        <f>+L9+L8</f>
        <v>241268.76</v>
      </c>
      <c r="M10" s="2">
        <f>+M9+M8</f>
        <v>246094.13520000002</v>
      </c>
      <c r="N10" s="2">
        <f>+N9+N8</f>
        <v>251016.01790400004</v>
      </c>
      <c r="O10" s="22"/>
      <c r="Q10" s="2">
        <f t="shared" ref="Q10:R10" si="8">+Q9+Q8</f>
        <v>843769</v>
      </c>
      <c r="R10" s="2">
        <f t="shared" si="8"/>
        <v>1144876</v>
      </c>
      <c r="S10" s="2">
        <f t="shared" ref="S10:X10" si="9">+S9+S8</f>
        <v>1787960</v>
      </c>
      <c r="T10" s="2">
        <f t="shared" si="9"/>
        <v>1349901.913104</v>
      </c>
      <c r="U10" s="2">
        <f t="shared" si="9"/>
        <v>984666.08223504014</v>
      </c>
      <c r="V10" s="2">
        <f t="shared" si="9"/>
        <v>994512.74305739056</v>
      </c>
      <c r="W10" s="2">
        <f t="shared" si="9"/>
        <v>1004457.8704879646</v>
      </c>
      <c r="X10" s="2">
        <f t="shared" si="9"/>
        <v>1014502.4491928442</v>
      </c>
    </row>
    <row r="11" spans="1:29 16384:16384" x14ac:dyDescent="0.25">
      <c r="A11" s="2" t="s">
        <v>209</v>
      </c>
      <c r="B11" s="19" t="s">
        <v>107</v>
      </c>
      <c r="C11" s="2">
        <v>22005</v>
      </c>
      <c r="D11" s="2">
        <v>22250</v>
      </c>
      <c r="E11" s="2">
        <v>22495</v>
      </c>
      <c r="F11" s="2">
        <f t="shared" si="6"/>
        <v>31710</v>
      </c>
      <c r="G11" s="2">
        <v>53980</v>
      </c>
      <c r="H11" s="2">
        <v>2383</v>
      </c>
      <c r="I11" s="2">
        <v>37401</v>
      </c>
      <c r="J11" s="2">
        <f t="shared" si="2"/>
        <v>20255</v>
      </c>
      <c r="K11" s="2">
        <v>133333</v>
      </c>
      <c r="L11" s="2">
        <f>AVERAGE(C11:J11)</f>
        <v>26559.875</v>
      </c>
      <c r="M11" s="2">
        <f>L11*0.95</f>
        <v>25231.881249999999</v>
      </c>
      <c r="N11" s="2">
        <f>M11*0.95</f>
        <v>23970.287187499998</v>
      </c>
      <c r="O11" s="22"/>
      <c r="Q11" s="2">
        <v>89244</v>
      </c>
      <c r="R11" s="2">
        <v>98460</v>
      </c>
      <c r="S11" s="2">
        <v>114019</v>
      </c>
      <c r="T11" s="2">
        <f>SUM(K11:N11)</f>
        <v>209095.04343750002</v>
      </c>
      <c r="U11" s="2">
        <f>AVERAGE(Q11:T11)/2</f>
        <v>63852.255429687502</v>
      </c>
      <c r="V11" s="2">
        <f>AVERAGE(R11:U11)/2</f>
        <v>60678.28735839844</v>
      </c>
      <c r="W11" s="2">
        <f>AVERAGE(S11:V11)/2</f>
        <v>55955.573278198244</v>
      </c>
      <c r="X11" s="2">
        <f>AVERAGE(T11:W11)/2</f>
        <v>48697.644937973026</v>
      </c>
    </row>
    <row r="12" spans="1:29 16384:16384" x14ac:dyDescent="0.25">
      <c r="B12" s="21" t="s">
        <v>59</v>
      </c>
      <c r="C12" s="9">
        <f t="shared" ref="C12:H12" si="10">SUM(C10:C11)</f>
        <v>253500</v>
      </c>
      <c r="D12" s="9">
        <f t="shared" si="10"/>
        <v>261238</v>
      </c>
      <c r="E12" s="9">
        <f t="shared" si="10"/>
        <v>331817</v>
      </c>
      <c r="F12" s="9">
        <f t="shared" si="10"/>
        <v>396781</v>
      </c>
      <c r="G12" s="9">
        <f t="shared" si="10"/>
        <v>413464</v>
      </c>
      <c r="H12" s="9">
        <f t="shared" si="10"/>
        <v>362931</v>
      </c>
      <c r="I12" s="9">
        <f t="shared" ref="I12:N12" si="11">SUM(I10:I11)</f>
        <v>467172</v>
      </c>
      <c r="J12" s="9">
        <f t="shared" si="11"/>
        <v>658412</v>
      </c>
      <c r="K12" s="9">
        <f t="shared" si="11"/>
        <v>744856</v>
      </c>
      <c r="L12" s="9">
        <f t="shared" si="11"/>
        <v>267828.63500000001</v>
      </c>
      <c r="M12" s="9">
        <f t="shared" si="11"/>
        <v>271326.01645</v>
      </c>
      <c r="N12" s="9">
        <f t="shared" si="11"/>
        <v>274986.30509150005</v>
      </c>
      <c r="O12" s="22"/>
      <c r="Q12" s="9">
        <f t="shared" ref="Q12:X12" si="12">SUM(Q10:Q11)</f>
        <v>933013</v>
      </c>
      <c r="R12" s="9">
        <f t="shared" si="12"/>
        <v>1243336</v>
      </c>
      <c r="S12" s="9">
        <f t="shared" si="12"/>
        <v>1901979</v>
      </c>
      <c r="T12" s="9">
        <f t="shared" si="12"/>
        <v>1558996.9565415001</v>
      </c>
      <c r="U12" s="9">
        <f t="shared" si="12"/>
        <v>1048518.3376647276</v>
      </c>
      <c r="V12" s="9">
        <f t="shared" si="12"/>
        <v>1055191.030415789</v>
      </c>
      <c r="W12" s="9">
        <f t="shared" si="12"/>
        <v>1060413.4437661627</v>
      </c>
      <c r="X12" s="9">
        <f t="shared" si="12"/>
        <v>1063200.0941308173</v>
      </c>
      <c r="Y12" s="9"/>
      <c r="Z12" s="9"/>
      <c r="AA12" s="9"/>
      <c r="AB12" s="9"/>
      <c r="AC12" s="9"/>
    </row>
    <row r="13" spans="1:29 16384:16384" x14ac:dyDescent="0.25">
      <c r="B13" s="2" t="s">
        <v>108</v>
      </c>
      <c r="C13" s="7">
        <v>35017</v>
      </c>
      <c r="D13" s="7">
        <v>34124</v>
      </c>
      <c r="E13" s="7">
        <v>37026</v>
      </c>
      <c r="F13" s="2">
        <f t="shared" si="6"/>
        <v>44176</v>
      </c>
      <c r="G13" s="7">
        <v>50559</v>
      </c>
      <c r="H13" s="7">
        <v>44545</v>
      </c>
      <c r="I13" s="7">
        <v>91691</v>
      </c>
      <c r="J13" s="2">
        <f>S13-SUM(G13:I13)</f>
        <v>132304</v>
      </c>
      <c r="K13" s="7">
        <v>137564</v>
      </c>
      <c r="L13" s="7">
        <f>L12*(1-AVERAGE(C29:K29))</f>
        <v>39239.747466981964</v>
      </c>
      <c r="M13" s="7">
        <f>M12*(1-AVERAGE(C29:L29))</f>
        <v>39752.151097361915</v>
      </c>
      <c r="N13" s="7">
        <f>N12*(1-AVERAGE(C29:M29))</f>
        <v>40288.422366297462</v>
      </c>
      <c r="O13" s="22"/>
      <c r="Q13" s="7">
        <v>139989</v>
      </c>
      <c r="R13" s="7">
        <v>150343</v>
      </c>
      <c r="S13" s="7">
        <v>319099</v>
      </c>
      <c r="T13" s="2">
        <f>SUM(K13:N13)</f>
        <v>256844.32093064132</v>
      </c>
      <c r="U13" s="7">
        <f>U12*(1-AVERAGE(Q29:T29))</f>
        <v>158190.11195307304</v>
      </c>
      <c r="V13" s="7">
        <f>V12*(1-AVERAGE(R29:U29))</f>
        <v>159415.88851679998</v>
      </c>
      <c r="W13" s="7">
        <f>W12*(1-AVERAGE(S29:V29))</f>
        <v>168200.05386885529</v>
      </c>
      <c r="X13" s="7">
        <f>X12*(1-AVERAGE(T29:W29))</f>
        <v>166208.75488781391</v>
      </c>
      <c r="Y13" s="7"/>
      <c r="Z13" s="7"/>
      <c r="AA13" s="7"/>
      <c r="AB13" s="7"/>
      <c r="AC13" s="7"/>
      <c r="XFD13" s="7"/>
    </row>
    <row r="14" spans="1:29 16384:16384" x14ac:dyDescent="0.25">
      <c r="B14" s="2" t="s">
        <v>109</v>
      </c>
      <c r="C14" s="2">
        <f t="shared" ref="C14:J14" si="13">C12-C13</f>
        <v>218483</v>
      </c>
      <c r="D14" s="2">
        <f t="shared" si="13"/>
        <v>227114</v>
      </c>
      <c r="E14" s="2">
        <f t="shared" si="13"/>
        <v>294791</v>
      </c>
      <c r="F14" s="2">
        <f t="shared" si="13"/>
        <v>352605</v>
      </c>
      <c r="G14" s="2">
        <f t="shared" si="13"/>
        <v>362905</v>
      </c>
      <c r="H14" s="2">
        <f t="shared" si="13"/>
        <v>318386</v>
      </c>
      <c r="I14" s="2">
        <f t="shared" si="13"/>
        <v>375481</v>
      </c>
      <c r="J14" s="2">
        <f t="shared" si="13"/>
        <v>526108</v>
      </c>
      <c r="K14" s="2">
        <f>K12-K13</f>
        <v>607292</v>
      </c>
      <c r="L14" s="2">
        <f>L12-L13</f>
        <v>228588.88753301805</v>
      </c>
      <c r="M14" s="2">
        <f>M12-M13</f>
        <v>231573.86535263807</v>
      </c>
      <c r="N14" s="2">
        <f>N12-N13</f>
        <v>234697.88272520259</v>
      </c>
      <c r="O14" s="22"/>
      <c r="Q14" s="2">
        <f t="shared" ref="Q14:X14" si="14">Q12-Q13</f>
        <v>793024</v>
      </c>
      <c r="R14" s="2">
        <f t="shared" si="14"/>
        <v>1092993</v>
      </c>
      <c r="S14" s="2">
        <f t="shared" si="14"/>
        <v>1582880</v>
      </c>
      <c r="T14" s="2">
        <f t="shared" si="14"/>
        <v>1302152.6356108587</v>
      </c>
      <c r="U14" s="2">
        <f t="shared" si="14"/>
        <v>890328.22571165452</v>
      </c>
      <c r="V14" s="2">
        <f t="shared" si="14"/>
        <v>895775.14189898898</v>
      </c>
      <c r="W14" s="2">
        <f t="shared" si="14"/>
        <v>892213.38989730738</v>
      </c>
      <c r="X14" s="2">
        <f t="shared" si="14"/>
        <v>896991.3392430034</v>
      </c>
    </row>
    <row r="15" spans="1:29 16384:16384" x14ac:dyDescent="0.25">
      <c r="B15" s="19" t="s">
        <v>110</v>
      </c>
      <c r="C15" s="2">
        <v>245679</v>
      </c>
      <c r="D15" s="2">
        <v>241890</v>
      </c>
      <c r="E15" s="2">
        <v>194301</v>
      </c>
      <c r="F15" s="2">
        <f t="shared" si="6"/>
        <v>195517</v>
      </c>
      <c r="G15" s="2">
        <v>200396</v>
      </c>
      <c r="H15" s="2">
        <v>179690</v>
      </c>
      <c r="I15" s="2">
        <v>224483</v>
      </c>
      <c r="J15" s="2">
        <f t="shared" si="2"/>
        <v>199953</v>
      </c>
      <c r="K15" s="2">
        <v>773448</v>
      </c>
      <c r="L15" s="2">
        <f>AVERAGE(C15:J15)</f>
        <v>210238.625</v>
      </c>
      <c r="M15" s="2">
        <f>L15*1.01</f>
        <v>212341.01125000001</v>
      </c>
      <c r="N15" s="2">
        <f>M15*1.01</f>
        <v>214464.42136250003</v>
      </c>
      <c r="O15" s="22"/>
      <c r="Q15" s="2">
        <v>877090</v>
      </c>
      <c r="R15" s="2">
        <v>877387</v>
      </c>
      <c r="S15" s="2">
        <v>804522</v>
      </c>
      <c r="T15" s="2">
        <f>SUM(K15:N15)</f>
        <v>1410492.0576124999</v>
      </c>
      <c r="U15" s="2">
        <f>AVERAGE(Q15:S15)/4</f>
        <v>213249.91666666666</v>
      </c>
      <c r="V15" s="2">
        <f>U15*0.97</f>
        <v>206852.41916666666</v>
      </c>
      <c r="W15" s="2">
        <f>V15*0.97</f>
        <v>200646.84659166666</v>
      </c>
      <c r="X15" s="2">
        <f>W15*0.97</f>
        <v>194627.44119391666</v>
      </c>
    </row>
    <row r="16" spans="1:29 16384:16384" x14ac:dyDescent="0.25">
      <c r="B16" s="19" t="s">
        <v>111</v>
      </c>
      <c r="C16" s="2">
        <v>110714</v>
      </c>
      <c r="D16" s="2">
        <v>118564</v>
      </c>
      <c r="E16" s="2">
        <v>120893</v>
      </c>
      <c r="F16" s="2">
        <f>R16-SUM(C16:E16)</f>
        <v>131700</v>
      </c>
      <c r="G16" s="2">
        <v>127003</v>
      </c>
      <c r="H16" s="2">
        <v>138796</v>
      </c>
      <c r="I16" s="2">
        <v>128200</v>
      </c>
      <c r="J16" s="2">
        <f>S16-SUM(G16:I16)</f>
        <v>163873</v>
      </c>
      <c r="K16" s="2">
        <v>133629</v>
      </c>
      <c r="L16" s="2">
        <f>K16*0.36</f>
        <v>48106.439999999995</v>
      </c>
      <c r="M16" s="2">
        <f>L16*1.01</f>
        <v>48587.504399999998</v>
      </c>
      <c r="N16" s="2">
        <f>M16*1.01</f>
        <v>49073.379443999998</v>
      </c>
      <c r="O16" s="22"/>
      <c r="Q16" s="2">
        <v>451421</v>
      </c>
      <c r="R16" s="2">
        <v>481871</v>
      </c>
      <c r="S16" s="2">
        <v>557872</v>
      </c>
      <c r="T16" s="2">
        <f>SUM(K16:N16)</f>
        <v>279396.323844</v>
      </c>
      <c r="U16" s="2">
        <f>T16*1.1</f>
        <v>307335.9562284</v>
      </c>
      <c r="V16" s="2">
        <f>U16*1.1</f>
        <v>338069.55185124004</v>
      </c>
      <c r="W16" s="2">
        <f>V16*1.1</f>
        <v>371876.50703636406</v>
      </c>
      <c r="X16" s="2">
        <f>W16*1.1</f>
        <v>409064.15774000052</v>
      </c>
    </row>
    <row r="17" spans="2:399" x14ac:dyDescent="0.25">
      <c r="B17" s="19" t="s">
        <v>112</v>
      </c>
      <c r="C17" s="2">
        <v>178</v>
      </c>
      <c r="D17" s="2">
        <v>179</v>
      </c>
      <c r="E17" s="2">
        <v>439</v>
      </c>
      <c r="F17" s="2">
        <f t="shared" si="6"/>
        <v>763</v>
      </c>
      <c r="G17" s="2">
        <v>601</v>
      </c>
      <c r="H17" s="2">
        <v>601</v>
      </c>
      <c r="I17" s="2">
        <v>602</v>
      </c>
      <c r="J17" s="2">
        <f t="shared" si="2"/>
        <v>601</v>
      </c>
      <c r="K17" s="2">
        <v>601</v>
      </c>
      <c r="L17" s="2">
        <v>0</v>
      </c>
      <c r="M17" s="2">
        <v>0</v>
      </c>
      <c r="N17" s="2">
        <v>0</v>
      </c>
      <c r="O17" s="22"/>
      <c r="Q17" s="2">
        <v>714</v>
      </c>
      <c r="R17" s="2">
        <v>1559</v>
      </c>
      <c r="S17" s="2">
        <v>2405</v>
      </c>
      <c r="T17" s="2">
        <v>0</v>
      </c>
      <c r="U17" s="2">
        <v>0</v>
      </c>
      <c r="V17" s="2">
        <v>0</v>
      </c>
      <c r="W17" s="2">
        <v>0</v>
      </c>
      <c r="X17" s="2">
        <v>0</v>
      </c>
    </row>
    <row r="18" spans="2:399" x14ac:dyDescent="0.25">
      <c r="B18" s="2" t="s">
        <v>113</v>
      </c>
      <c r="C18" s="2">
        <f t="shared" ref="C18:J18" si="15">SUM(C15:C17)</f>
        <v>356571</v>
      </c>
      <c r="D18" s="2">
        <f t="shared" si="15"/>
        <v>360633</v>
      </c>
      <c r="E18" s="2">
        <f t="shared" si="15"/>
        <v>315633</v>
      </c>
      <c r="F18" s="2">
        <f t="shared" si="15"/>
        <v>327980</v>
      </c>
      <c r="G18" s="2">
        <f t="shared" si="15"/>
        <v>328000</v>
      </c>
      <c r="H18" s="2">
        <f t="shared" si="15"/>
        <v>319087</v>
      </c>
      <c r="I18" s="2">
        <f t="shared" si="15"/>
        <v>353285</v>
      </c>
      <c r="J18" s="2">
        <f t="shared" si="15"/>
        <v>364427</v>
      </c>
      <c r="K18" s="2">
        <f>SUM(K15:K17)</f>
        <v>907678</v>
      </c>
      <c r="L18" s="2">
        <f>SUM(L15:L17)</f>
        <v>258345.065</v>
      </c>
      <c r="M18" s="2">
        <f>SUM(M15:M17)</f>
        <v>260928.51565000002</v>
      </c>
      <c r="N18" s="2">
        <f>SUM(N15:N17)</f>
        <v>263537.80080650002</v>
      </c>
      <c r="O18" s="22"/>
      <c r="Q18" s="2">
        <f t="shared" ref="Q18:X18" si="16">SUM(Q15:Q17)</f>
        <v>1329225</v>
      </c>
      <c r="R18" s="2">
        <f t="shared" si="16"/>
        <v>1360817</v>
      </c>
      <c r="S18" s="2">
        <f t="shared" si="16"/>
        <v>1364799</v>
      </c>
      <c r="T18" s="2">
        <f t="shared" si="16"/>
        <v>1689888.3814564999</v>
      </c>
      <c r="U18" s="2">
        <f t="shared" si="16"/>
        <v>520585.87289506663</v>
      </c>
      <c r="V18" s="2">
        <f t="shared" si="16"/>
        <v>544921.97101790668</v>
      </c>
      <c r="W18" s="2">
        <f t="shared" si="16"/>
        <v>572523.35362803075</v>
      </c>
      <c r="X18" s="2">
        <f t="shared" si="16"/>
        <v>603691.59893391724</v>
      </c>
    </row>
    <row r="19" spans="2:399" x14ac:dyDescent="0.25">
      <c r="B19" s="2" t="s">
        <v>114</v>
      </c>
      <c r="C19" s="2">
        <f t="shared" ref="C19:J19" si="17">+C14-C18</f>
        <v>-138088</v>
      </c>
      <c r="D19" s="2">
        <f t="shared" si="17"/>
        <v>-133519</v>
      </c>
      <c r="E19" s="2">
        <f t="shared" si="17"/>
        <v>-20842</v>
      </c>
      <c r="F19" s="2">
        <f t="shared" si="17"/>
        <v>24625</v>
      </c>
      <c r="G19" s="2">
        <f t="shared" si="17"/>
        <v>34905</v>
      </c>
      <c r="H19" s="2">
        <f t="shared" si="17"/>
        <v>-701</v>
      </c>
      <c r="I19" s="2">
        <f t="shared" si="17"/>
        <v>22196</v>
      </c>
      <c r="J19" s="2">
        <f t="shared" si="17"/>
        <v>161681</v>
      </c>
      <c r="K19" s="2">
        <f>+K14-K18</f>
        <v>-300386</v>
      </c>
      <c r="L19" s="2">
        <f>+L14-L18</f>
        <v>-29756.177466981957</v>
      </c>
      <c r="M19" s="2">
        <f>+M14-M18</f>
        <v>-29354.65029736195</v>
      </c>
      <c r="N19" s="2">
        <f>+N14-N18</f>
        <v>-28839.918081297423</v>
      </c>
      <c r="O19" s="22"/>
      <c r="Q19" s="2">
        <f t="shared" ref="Q19:X19" si="18">+Q14-Q18</f>
        <v>-536201</v>
      </c>
      <c r="R19" s="2">
        <f t="shared" si="18"/>
        <v>-267824</v>
      </c>
      <c r="S19" s="2">
        <f t="shared" si="18"/>
        <v>218081</v>
      </c>
      <c r="T19" s="2">
        <f t="shared" si="18"/>
        <v>-387735.74584564124</v>
      </c>
      <c r="U19" s="2">
        <f t="shared" si="18"/>
        <v>369742.3528165879</v>
      </c>
      <c r="V19" s="2">
        <f t="shared" si="18"/>
        <v>350853.1708810823</v>
      </c>
      <c r="W19" s="2">
        <f t="shared" si="18"/>
        <v>319690.03626927664</v>
      </c>
      <c r="X19" s="2">
        <f t="shared" si="18"/>
        <v>293299.74030908616</v>
      </c>
    </row>
    <row r="20" spans="2:399" x14ac:dyDescent="0.25">
      <c r="B20" s="2" t="s">
        <v>115</v>
      </c>
      <c r="C20" s="2">
        <f>-387329+12707+1245</f>
        <v>-373377</v>
      </c>
      <c r="D20" s="2">
        <f>16934+102000-636</f>
        <v>118298</v>
      </c>
      <c r="E20" s="2">
        <f>-12332+417</f>
        <v>-11915</v>
      </c>
      <c r="F20" s="2">
        <f>R20-SUM(C20:E20)</f>
        <v>17302</v>
      </c>
      <c r="G20" s="2">
        <v>6543</v>
      </c>
      <c r="H20" s="2">
        <f>14278-339</f>
        <v>13939</v>
      </c>
      <c r="I20" s="2">
        <f>11810+3275</f>
        <v>15085</v>
      </c>
      <c r="J20" s="2">
        <f>S20-SUM(G20:I20)</f>
        <v>5990</v>
      </c>
      <c r="K20" s="2">
        <v>11800</v>
      </c>
      <c r="L20" s="2">
        <f>K20*0.97</f>
        <v>11446</v>
      </c>
      <c r="M20" s="2">
        <f>L20*0.97</f>
        <v>11102.619999999999</v>
      </c>
      <c r="N20" s="2">
        <f>M20*0.97</f>
        <v>10769.541399999998</v>
      </c>
      <c r="O20" s="22"/>
      <c r="Q20" s="2">
        <f>-28321-125441-1644</f>
        <v>-155406</v>
      </c>
      <c r="R20" s="2">
        <f>33055-387329+102000+2582</f>
        <v>-249692</v>
      </c>
      <c r="S20" s="2">
        <f>42693-1136</f>
        <v>41557</v>
      </c>
      <c r="T20" s="2">
        <f>SUM(K20:N20)</f>
        <v>45118.161399999997</v>
      </c>
      <c r="U20" s="2">
        <f>AVERAGE(S20:T20)</f>
        <v>43337.580699999999</v>
      </c>
      <c r="V20" s="2">
        <f>AVERAGE(T20:U20)</f>
        <v>44227.871050000002</v>
      </c>
      <c r="W20" s="2">
        <f>AVERAGE(U20:V20)</f>
        <v>43782.725875000004</v>
      </c>
      <c r="X20" s="2">
        <f>AVERAGE(V20:W20)</f>
        <v>44005.298462500003</v>
      </c>
    </row>
    <row r="21" spans="2:399" x14ac:dyDescent="0.25">
      <c r="B21" s="2" t="s">
        <v>116</v>
      </c>
      <c r="C21" s="2">
        <f t="shared" ref="C21:J21" si="19">SUM(C19:C20)</f>
        <v>-511465</v>
      </c>
      <c r="D21" s="2">
        <f t="shared" si="19"/>
        <v>-15221</v>
      </c>
      <c r="E21" s="2">
        <f t="shared" si="19"/>
        <v>-32757</v>
      </c>
      <c r="F21" s="2">
        <f t="shared" si="19"/>
        <v>41927</v>
      </c>
      <c r="G21" s="2">
        <f t="shared" si="19"/>
        <v>41448</v>
      </c>
      <c r="H21" s="2">
        <f t="shared" si="19"/>
        <v>13238</v>
      </c>
      <c r="I21" s="2">
        <f t="shared" si="19"/>
        <v>37281</v>
      </c>
      <c r="J21" s="2">
        <f t="shared" si="19"/>
        <v>167671</v>
      </c>
      <c r="K21" s="2">
        <f>SUM(K19:K20)</f>
        <v>-288586</v>
      </c>
      <c r="L21" s="2">
        <f>SUM(L19:L20)</f>
        <v>-18310.177466981957</v>
      </c>
      <c r="M21" s="2">
        <f>SUM(M19:M20)</f>
        <v>-18252.030297361951</v>
      </c>
      <c r="N21" s="2">
        <f>SUM(N19:N20)</f>
        <v>-18070.376681297425</v>
      </c>
      <c r="O21" s="22"/>
      <c r="Q21" s="2">
        <f t="shared" ref="Q21:X21" si="20">SUM(Q19:Q20)</f>
        <v>-691607</v>
      </c>
      <c r="R21" s="2">
        <f t="shared" si="20"/>
        <v>-517516</v>
      </c>
      <c r="S21" s="2">
        <f t="shared" si="20"/>
        <v>259638</v>
      </c>
      <c r="T21" s="2">
        <f t="shared" si="20"/>
        <v>-342617.58444564126</v>
      </c>
      <c r="U21" s="2">
        <f t="shared" si="20"/>
        <v>413079.93351658789</v>
      </c>
      <c r="V21" s="2">
        <f t="shared" si="20"/>
        <v>395081.04193108232</v>
      </c>
      <c r="W21" s="2">
        <f t="shared" si="20"/>
        <v>363472.76214427664</v>
      </c>
      <c r="X21" s="2">
        <f t="shared" si="20"/>
        <v>337305.03877158614</v>
      </c>
    </row>
    <row r="22" spans="2:399" x14ac:dyDescent="0.25">
      <c r="B22" s="2" t="s">
        <v>117</v>
      </c>
      <c r="C22" s="2">
        <v>4045</v>
      </c>
      <c r="D22" s="2">
        <v>9355</v>
      </c>
      <c r="E22" s="2">
        <v>7763</v>
      </c>
      <c r="F22" s="2">
        <f t="shared" si="6"/>
        <v>-5284</v>
      </c>
      <c r="G22" s="2">
        <v>5329</v>
      </c>
      <c r="H22" s="2">
        <v>7117</v>
      </c>
      <c r="I22" s="2">
        <v>395</v>
      </c>
      <c r="J22" s="2">
        <f t="shared" si="2"/>
        <v>12694</v>
      </c>
      <c r="K22" s="2">
        <v>63990</v>
      </c>
      <c r="L22" s="2">
        <f>L21*-0.17</f>
        <v>3112.7301693869331</v>
      </c>
      <c r="M22" s="2">
        <f>M21*-0.17</f>
        <v>3102.8451505515318</v>
      </c>
      <c r="N22" s="2">
        <f>N21*-0.17</f>
        <v>3071.9640358205625</v>
      </c>
      <c r="O22" s="22"/>
      <c r="Q22" s="2">
        <v>13525</v>
      </c>
      <c r="R22" s="2">
        <v>15879</v>
      </c>
      <c r="S22" s="2">
        <v>25535</v>
      </c>
      <c r="T22" s="2">
        <f>T21*-0.03</f>
        <v>10278.527533369237</v>
      </c>
      <c r="U22" s="2">
        <f>U21*0.08</f>
        <v>33046.39468132703</v>
      </c>
      <c r="V22" s="2">
        <f>V21*0.08</f>
        <v>31606.483354486587</v>
      </c>
      <c r="W22" s="2">
        <f>W21*0.08</f>
        <v>29077.820971542133</v>
      </c>
      <c r="X22" s="2">
        <f>X21*0.08</f>
        <v>26984.403101726894</v>
      </c>
    </row>
    <row r="23" spans="2:399" x14ac:dyDescent="0.25">
      <c r="B23" s="2" t="s">
        <v>120</v>
      </c>
      <c r="C23" s="2">
        <f t="shared" ref="C23:J23" si="21">C21-C22</f>
        <v>-515510</v>
      </c>
      <c r="D23" s="2">
        <f t="shared" si="21"/>
        <v>-24576</v>
      </c>
      <c r="E23" s="2">
        <f t="shared" si="21"/>
        <v>-40520</v>
      </c>
      <c r="F23" s="2">
        <f t="shared" si="21"/>
        <v>47211</v>
      </c>
      <c r="G23" s="2">
        <f t="shared" si="21"/>
        <v>36119</v>
      </c>
      <c r="H23" s="2">
        <f t="shared" si="21"/>
        <v>6121</v>
      </c>
      <c r="I23" s="2">
        <f t="shared" si="21"/>
        <v>36886</v>
      </c>
      <c r="J23" s="2">
        <f t="shared" si="21"/>
        <v>154977</v>
      </c>
      <c r="K23" s="2">
        <f>K21-K22</f>
        <v>-352576</v>
      </c>
      <c r="L23" s="2">
        <f>L21-L22</f>
        <v>-21422.907636368891</v>
      </c>
      <c r="M23" s="2">
        <f>M21-M22</f>
        <v>-21354.875447913484</v>
      </c>
      <c r="N23" s="2">
        <f>N21-N22</f>
        <v>-21142.340717117986</v>
      </c>
      <c r="O23" s="22"/>
      <c r="Q23" s="2">
        <f t="shared" ref="Q23:X23" si="22">Q21-Q22</f>
        <v>-705132</v>
      </c>
      <c r="R23" s="2">
        <f t="shared" si="22"/>
        <v>-533395</v>
      </c>
      <c r="S23" s="2">
        <f t="shared" si="22"/>
        <v>234103</v>
      </c>
      <c r="T23" s="2">
        <f t="shared" si="22"/>
        <v>-352896.11197901051</v>
      </c>
      <c r="U23" s="2">
        <f t="shared" si="22"/>
        <v>380033.53883526084</v>
      </c>
      <c r="V23" s="2">
        <f t="shared" si="22"/>
        <v>363474.55857659574</v>
      </c>
      <c r="W23" s="2">
        <f t="shared" si="22"/>
        <v>334394.94117273449</v>
      </c>
      <c r="X23" s="2">
        <f t="shared" si="22"/>
        <v>310320.63566985924</v>
      </c>
      <c r="Y23" s="2">
        <f t="shared" ref="Y23:AH23" si="23">X23*(1+$C$37)</f>
        <v>307217.42931316065</v>
      </c>
      <c r="Z23" s="2">
        <f t="shared" si="23"/>
        <v>304145.25502002903</v>
      </c>
      <c r="AA23" s="2">
        <f t="shared" si="23"/>
        <v>301103.80246982875</v>
      </c>
      <c r="AB23" s="2">
        <f t="shared" si="23"/>
        <v>298092.76444513048</v>
      </c>
      <c r="AC23" s="2">
        <f t="shared" si="23"/>
        <v>295111.83680067916</v>
      </c>
      <c r="AD23" s="2">
        <f t="shared" si="23"/>
        <v>292160.71843267238</v>
      </c>
      <c r="AE23" s="2">
        <f t="shared" si="23"/>
        <v>289239.11124834564</v>
      </c>
      <c r="AF23" s="2">
        <f t="shared" si="23"/>
        <v>286346.72013586218</v>
      </c>
      <c r="AG23" s="2">
        <f t="shared" si="23"/>
        <v>283483.25293450354</v>
      </c>
      <c r="AH23" s="2">
        <f t="shared" si="23"/>
        <v>280648.42040515848</v>
      </c>
      <c r="AI23" s="2">
        <f t="shared" ref="AI23:CK23" si="24">AH23*(1+$C$37)</f>
        <v>277841.93620110687</v>
      </c>
      <c r="AJ23" s="2">
        <f t="shared" si="24"/>
        <v>275063.5168390958</v>
      </c>
      <c r="AK23" s="2">
        <f t="shared" si="24"/>
        <v>272312.88167070481</v>
      </c>
      <c r="AL23" s="2">
        <f t="shared" si="24"/>
        <v>269589.75285399775</v>
      </c>
      <c r="AM23" s="2">
        <f t="shared" si="24"/>
        <v>266893.85532545776</v>
      </c>
      <c r="AN23" s="2">
        <f t="shared" si="24"/>
        <v>264224.91677220317</v>
      </c>
      <c r="AO23" s="2">
        <f t="shared" si="24"/>
        <v>261582.66760448113</v>
      </c>
      <c r="AP23" s="2">
        <f t="shared" si="24"/>
        <v>258966.84092843632</v>
      </c>
      <c r="AQ23" s="2">
        <f t="shared" si="24"/>
        <v>256377.17251915194</v>
      </c>
      <c r="AR23" s="2">
        <f t="shared" si="24"/>
        <v>253813.40079396041</v>
      </c>
      <c r="AS23" s="2">
        <f t="shared" si="24"/>
        <v>251275.2667860208</v>
      </c>
      <c r="AT23" s="2">
        <f t="shared" si="24"/>
        <v>248762.51411816059</v>
      </c>
      <c r="AU23" s="2">
        <f t="shared" si="24"/>
        <v>246274.88897697898</v>
      </c>
      <c r="AV23" s="2">
        <f t="shared" si="24"/>
        <v>243812.14008720918</v>
      </c>
      <c r="AW23" s="2">
        <f t="shared" si="24"/>
        <v>241374.01868633708</v>
      </c>
      <c r="AX23" s="2">
        <f t="shared" si="24"/>
        <v>238960.2784994737</v>
      </c>
      <c r="AY23" s="2">
        <f t="shared" si="24"/>
        <v>236570.67571447897</v>
      </c>
      <c r="AZ23" s="2">
        <f t="shared" si="24"/>
        <v>234204.96895733417</v>
      </c>
      <c r="BA23" s="2">
        <f t="shared" si="24"/>
        <v>231862.91926776082</v>
      </c>
      <c r="BB23" s="2">
        <f t="shared" si="24"/>
        <v>229544.29007508321</v>
      </c>
      <c r="BC23" s="2">
        <f t="shared" si="24"/>
        <v>227248.84717433236</v>
      </c>
      <c r="BD23" s="2">
        <f t="shared" si="24"/>
        <v>224976.35870258903</v>
      </c>
      <c r="BE23" s="2">
        <f t="shared" si="24"/>
        <v>222726.59511556313</v>
      </c>
      <c r="BF23" s="2">
        <f t="shared" si="24"/>
        <v>220499.32916440751</v>
      </c>
      <c r="BG23" s="2">
        <f t="shared" si="24"/>
        <v>218294.33587276342</v>
      </c>
      <c r="BH23" s="2">
        <f t="shared" si="24"/>
        <v>216111.39251403578</v>
      </c>
      <c r="BI23" s="2">
        <f t="shared" si="24"/>
        <v>213950.27858889542</v>
      </c>
      <c r="BJ23" s="2">
        <f t="shared" si="24"/>
        <v>211810.77580300646</v>
      </c>
      <c r="BK23" s="2">
        <f t="shared" si="24"/>
        <v>209692.6680449764</v>
      </c>
      <c r="BL23" s="2">
        <f t="shared" si="24"/>
        <v>207595.74136452662</v>
      </c>
      <c r="BM23" s="2">
        <f t="shared" si="24"/>
        <v>205519.78395088136</v>
      </c>
      <c r="BN23" s="2">
        <f t="shared" si="24"/>
        <v>203464.58611137254</v>
      </c>
      <c r="BO23" s="2">
        <f t="shared" si="24"/>
        <v>201429.94025025881</v>
      </c>
      <c r="BP23" s="2">
        <f t="shared" si="24"/>
        <v>199415.64084775621</v>
      </c>
      <c r="BQ23" s="2">
        <f t="shared" si="24"/>
        <v>197421.48443927863</v>
      </c>
      <c r="BR23" s="2">
        <f t="shared" si="24"/>
        <v>195447.26959488585</v>
      </c>
      <c r="BS23" s="2">
        <f t="shared" si="24"/>
        <v>193492.796898937</v>
      </c>
      <c r="BT23" s="2">
        <f t="shared" si="24"/>
        <v>191557.86892994764</v>
      </c>
      <c r="BU23" s="2">
        <f t="shared" si="24"/>
        <v>189642.29024064817</v>
      </c>
      <c r="BV23" s="2">
        <f t="shared" si="24"/>
        <v>187745.86733824169</v>
      </c>
      <c r="BW23" s="2">
        <f t="shared" si="24"/>
        <v>185868.40866485928</v>
      </c>
      <c r="BX23" s="2">
        <f t="shared" si="24"/>
        <v>184009.72457821068</v>
      </c>
      <c r="BY23" s="2">
        <f t="shared" si="24"/>
        <v>182169.62733242856</v>
      </c>
      <c r="BZ23" s="2">
        <f t="shared" si="24"/>
        <v>180347.93105910427</v>
      </c>
      <c r="CA23" s="2">
        <f t="shared" si="24"/>
        <v>178544.45174851324</v>
      </c>
      <c r="CB23" s="2">
        <f t="shared" si="24"/>
        <v>176759.00723102811</v>
      </c>
      <c r="CC23" s="2">
        <f t="shared" si="24"/>
        <v>174991.41715871781</v>
      </c>
      <c r="CD23" s="2">
        <f t="shared" si="24"/>
        <v>173241.50298713063</v>
      </c>
      <c r="CE23" s="2">
        <f t="shared" si="24"/>
        <v>171509.08795725933</v>
      </c>
      <c r="CF23" s="2">
        <f t="shared" si="24"/>
        <v>169793.99707768674</v>
      </c>
      <c r="CG23" s="2">
        <f t="shared" si="24"/>
        <v>168096.05710690987</v>
      </c>
      <c r="CH23" s="2">
        <f t="shared" si="24"/>
        <v>166415.09653584077</v>
      </c>
      <c r="CI23" s="2">
        <f t="shared" si="24"/>
        <v>164750.94557048235</v>
      </c>
      <c r="CJ23" s="2">
        <f t="shared" si="24"/>
        <v>163103.43611477752</v>
      </c>
      <c r="CK23" s="2">
        <f t="shared" si="24"/>
        <v>161472.40175362973</v>
      </c>
      <c r="CL23" s="2">
        <f t="shared" ref="CL23:EW23" si="25">CK23*(1+$C$37)</f>
        <v>159857.67773609344</v>
      </c>
      <c r="CM23" s="2">
        <f t="shared" si="25"/>
        <v>158259.10095873251</v>
      </c>
      <c r="CN23" s="2">
        <f t="shared" si="25"/>
        <v>156676.50994914517</v>
      </c>
      <c r="CO23" s="2">
        <f t="shared" si="25"/>
        <v>155109.74484965371</v>
      </c>
      <c r="CP23" s="2">
        <f t="shared" si="25"/>
        <v>153558.64740115718</v>
      </c>
      <c r="CQ23" s="2">
        <f t="shared" si="25"/>
        <v>152023.06092714562</v>
      </c>
      <c r="CR23" s="2">
        <f t="shared" si="25"/>
        <v>150502.83031787415</v>
      </c>
      <c r="CS23" s="2">
        <f t="shared" si="25"/>
        <v>148997.80201469539</v>
      </c>
      <c r="CT23" s="2">
        <f t="shared" si="25"/>
        <v>147507.82399454844</v>
      </c>
      <c r="CU23" s="2">
        <f t="shared" si="25"/>
        <v>146032.74575460295</v>
      </c>
      <c r="CV23" s="2">
        <f t="shared" si="25"/>
        <v>144572.41829705692</v>
      </c>
      <c r="CW23" s="2">
        <f t="shared" si="25"/>
        <v>143126.69411408636</v>
      </c>
      <c r="CX23" s="2">
        <f t="shared" si="25"/>
        <v>141695.42717294549</v>
      </c>
      <c r="CY23" s="2">
        <f t="shared" si="25"/>
        <v>140278.47290121604</v>
      </c>
      <c r="CZ23" s="2">
        <f t="shared" si="25"/>
        <v>138875.68817220387</v>
      </c>
      <c r="DA23" s="2">
        <f t="shared" si="25"/>
        <v>137486.93129048182</v>
      </c>
      <c r="DB23" s="2">
        <f t="shared" si="25"/>
        <v>136112.06197757699</v>
      </c>
      <c r="DC23" s="2">
        <f t="shared" si="25"/>
        <v>134750.9413578012</v>
      </c>
      <c r="DD23" s="2">
        <f t="shared" si="25"/>
        <v>133403.43194422318</v>
      </c>
      <c r="DE23" s="2">
        <f t="shared" si="25"/>
        <v>132069.39762478095</v>
      </c>
      <c r="DF23" s="2">
        <f t="shared" si="25"/>
        <v>130748.70364853313</v>
      </c>
      <c r="DG23" s="2">
        <f t="shared" si="25"/>
        <v>129441.21661204781</v>
      </c>
      <c r="DH23" s="2">
        <f t="shared" si="25"/>
        <v>128146.80444592732</v>
      </c>
      <c r="DI23" s="2">
        <f t="shared" si="25"/>
        <v>126865.33640146804</v>
      </c>
      <c r="DJ23" s="2">
        <f t="shared" si="25"/>
        <v>125596.68303745336</v>
      </c>
      <c r="DK23" s="2">
        <f t="shared" si="25"/>
        <v>124340.71620707883</v>
      </c>
      <c r="DL23" s="2">
        <f t="shared" si="25"/>
        <v>123097.30904500805</v>
      </c>
      <c r="DM23" s="2">
        <f t="shared" si="25"/>
        <v>121866.33595455797</v>
      </c>
      <c r="DN23" s="2">
        <f t="shared" si="25"/>
        <v>120647.67259501239</v>
      </c>
      <c r="DO23" s="2">
        <f t="shared" si="25"/>
        <v>119441.19586906227</v>
      </c>
      <c r="DP23" s="2">
        <f t="shared" si="25"/>
        <v>118246.78391037164</v>
      </c>
      <c r="DQ23" s="2">
        <f t="shared" si="25"/>
        <v>117064.31607126792</v>
      </c>
      <c r="DR23" s="2">
        <f t="shared" si="25"/>
        <v>115893.67291055524</v>
      </c>
      <c r="DS23" s="2">
        <f t="shared" si="25"/>
        <v>114734.73618144968</v>
      </c>
      <c r="DT23" s="2">
        <f t="shared" si="25"/>
        <v>113587.38881963519</v>
      </c>
      <c r="DU23" s="2">
        <f t="shared" si="25"/>
        <v>112451.51493143884</v>
      </c>
      <c r="DV23" s="2">
        <f t="shared" si="25"/>
        <v>111326.99978212445</v>
      </c>
      <c r="DW23" s="2">
        <f t="shared" si="25"/>
        <v>110213.7297843032</v>
      </c>
      <c r="DX23" s="2">
        <f t="shared" si="25"/>
        <v>109111.59248646017</v>
      </c>
      <c r="DY23" s="2">
        <f t="shared" si="25"/>
        <v>108020.47656159557</v>
      </c>
      <c r="DZ23" s="2">
        <f t="shared" si="25"/>
        <v>106940.27179597961</v>
      </c>
      <c r="EA23" s="2">
        <f t="shared" si="25"/>
        <v>105870.86907801982</v>
      </c>
      <c r="EB23" s="2">
        <f t="shared" si="25"/>
        <v>104812.16038723962</v>
      </c>
      <c r="EC23" s="2">
        <f t="shared" si="25"/>
        <v>103764.03878336723</v>
      </c>
      <c r="ED23" s="2">
        <f t="shared" si="25"/>
        <v>102726.39839553356</v>
      </c>
      <c r="EE23" s="2">
        <f t="shared" si="25"/>
        <v>101699.13441157823</v>
      </c>
      <c r="EF23" s="2">
        <f t="shared" si="25"/>
        <v>100682.14306746244</v>
      </c>
      <c r="EG23" s="2">
        <f t="shared" si="25"/>
        <v>99675.321636787819</v>
      </c>
      <c r="EH23" s="2">
        <f t="shared" si="25"/>
        <v>98678.568420419935</v>
      </c>
      <c r="EI23" s="2">
        <f t="shared" si="25"/>
        <v>97691.78273621574</v>
      </c>
      <c r="EJ23" s="2">
        <f t="shared" si="25"/>
        <v>96714.864908853589</v>
      </c>
      <c r="EK23" s="2">
        <f t="shared" si="25"/>
        <v>95747.716259765046</v>
      </c>
      <c r="EL23" s="2">
        <f t="shared" si="25"/>
        <v>94790.239097167389</v>
      </c>
      <c r="EM23" s="2">
        <f t="shared" si="25"/>
        <v>93842.336706195711</v>
      </c>
      <c r="EN23" s="2">
        <f t="shared" si="25"/>
        <v>92903.913339133753</v>
      </c>
      <c r="EO23" s="2">
        <f t="shared" si="25"/>
        <v>91974.87420574241</v>
      </c>
      <c r="EP23" s="2">
        <f t="shared" si="25"/>
        <v>91055.125463684992</v>
      </c>
      <c r="EQ23" s="2">
        <f t="shared" si="25"/>
        <v>90144.574209048136</v>
      </c>
      <c r="ER23" s="2">
        <f t="shared" si="25"/>
        <v>89243.128466957656</v>
      </c>
      <c r="ES23" s="2">
        <f t="shared" si="25"/>
        <v>88350.697182288073</v>
      </c>
      <c r="ET23" s="2">
        <f t="shared" si="25"/>
        <v>87467.190210465196</v>
      </c>
      <c r="EU23" s="2">
        <f t="shared" si="25"/>
        <v>86592.518308360537</v>
      </c>
      <c r="EV23" s="2">
        <f t="shared" si="25"/>
        <v>85726.593125276937</v>
      </c>
      <c r="EW23" s="2">
        <f t="shared" si="25"/>
        <v>84869.327194024168</v>
      </c>
      <c r="EX23" s="2">
        <f t="shared" ref="EX23:HD23" si="26">EW23*(1+$C$37)</f>
        <v>84020.633922083929</v>
      </c>
      <c r="EY23" s="2">
        <f t="shared" si="26"/>
        <v>83180.427582863093</v>
      </c>
      <c r="EZ23" s="2">
        <f t="shared" si="26"/>
        <v>82348.623307034461</v>
      </c>
      <c r="FA23" s="2">
        <f t="shared" si="26"/>
        <v>81525.137073964113</v>
      </c>
      <c r="FB23" s="2">
        <f t="shared" si="26"/>
        <v>80709.88570322447</v>
      </c>
      <c r="FC23" s="2">
        <f t="shared" si="26"/>
        <v>79902.786846192219</v>
      </c>
      <c r="FD23" s="2">
        <f t="shared" si="26"/>
        <v>79103.758977730293</v>
      </c>
      <c r="FE23" s="2">
        <f t="shared" si="26"/>
        <v>78312.721387952988</v>
      </c>
      <c r="FF23" s="2">
        <f t="shared" si="26"/>
        <v>77529.594174073456</v>
      </c>
      <c r="FG23" s="2">
        <f t="shared" si="26"/>
        <v>76754.298232332716</v>
      </c>
      <c r="FH23" s="2">
        <f t="shared" si="26"/>
        <v>75986.755250009388</v>
      </c>
      <c r="FI23" s="2">
        <f t="shared" si="26"/>
        <v>75226.887697509286</v>
      </c>
      <c r="FJ23" s="2">
        <f t="shared" si="26"/>
        <v>74474.61882053419</v>
      </c>
      <c r="FK23" s="2">
        <f t="shared" si="26"/>
        <v>73729.872632328843</v>
      </c>
      <c r="FL23" s="2">
        <f t="shared" si="26"/>
        <v>72992.573906005549</v>
      </c>
      <c r="FM23" s="2">
        <f t="shared" si="26"/>
        <v>72262.648166945495</v>
      </c>
      <c r="FN23" s="2">
        <f t="shared" si="26"/>
        <v>71540.021685276035</v>
      </c>
      <c r="FO23" s="2">
        <f t="shared" si="26"/>
        <v>70824.621468423269</v>
      </c>
      <c r="FP23" s="2">
        <f t="shared" si="26"/>
        <v>70116.375253739039</v>
      </c>
      <c r="FQ23" s="2">
        <f t="shared" si="26"/>
        <v>69415.211501201644</v>
      </c>
      <c r="FR23" s="2">
        <f t="shared" si="26"/>
        <v>68721.05938618962</v>
      </c>
      <c r="FS23" s="2">
        <f t="shared" si="26"/>
        <v>68033.848792327728</v>
      </c>
      <c r="FT23" s="2">
        <f t="shared" si="26"/>
        <v>67353.510304404452</v>
      </c>
      <c r="FU23" s="2">
        <f t="shared" si="26"/>
        <v>66679.975201360401</v>
      </c>
      <c r="FV23" s="2">
        <f t="shared" si="26"/>
        <v>66013.175449346803</v>
      </c>
      <c r="FW23" s="2">
        <f t="shared" si="26"/>
        <v>65353.043694853332</v>
      </c>
      <c r="FX23" s="2">
        <f t="shared" si="26"/>
        <v>64699.5132579048</v>
      </c>
      <c r="FY23" s="2">
        <f t="shared" si="26"/>
        <v>64052.518125325754</v>
      </c>
      <c r="FZ23" s="2">
        <f t="shared" si="26"/>
        <v>63411.992944072495</v>
      </c>
      <c r="GA23" s="2">
        <f t="shared" si="26"/>
        <v>62777.873014631768</v>
      </c>
      <c r="GB23" s="2">
        <f t="shared" si="26"/>
        <v>62150.094284485451</v>
      </c>
      <c r="GC23" s="2">
        <f t="shared" si="26"/>
        <v>61528.593341640597</v>
      </c>
      <c r="GD23" s="2">
        <f t="shared" si="26"/>
        <v>60913.307408224187</v>
      </c>
      <c r="GE23" s="2">
        <f t="shared" si="26"/>
        <v>60304.174334141942</v>
      </c>
      <c r="GF23" s="2">
        <f t="shared" si="26"/>
        <v>59701.132590800524</v>
      </c>
      <c r="GG23" s="2">
        <f t="shared" si="26"/>
        <v>59104.121264892521</v>
      </c>
      <c r="GH23" s="2">
        <f t="shared" si="26"/>
        <v>58513.080052243597</v>
      </c>
      <c r="GI23" s="2">
        <f t="shared" si="26"/>
        <v>57927.949251721162</v>
      </c>
      <c r="GJ23" s="2">
        <f t="shared" si="26"/>
        <v>57348.669759203949</v>
      </c>
      <c r="GK23" s="2">
        <f t="shared" si="26"/>
        <v>56775.183061611911</v>
      </c>
      <c r="GL23" s="2">
        <f t="shared" si="26"/>
        <v>56207.43123099579</v>
      </c>
      <c r="GM23" s="2">
        <f t="shared" si="26"/>
        <v>55645.356918685829</v>
      </c>
      <c r="GN23" s="2">
        <f t="shared" si="26"/>
        <v>55088.903349498971</v>
      </c>
      <c r="GO23" s="2">
        <f t="shared" si="26"/>
        <v>54538.014316003981</v>
      </c>
      <c r="GP23" s="2">
        <f t="shared" si="26"/>
        <v>53992.634172843944</v>
      </c>
      <c r="GQ23" s="2">
        <f t="shared" si="26"/>
        <v>53452.707831115506</v>
      </c>
      <c r="GR23" s="2">
        <f t="shared" si="26"/>
        <v>52918.18075280435</v>
      </c>
      <c r="GS23" s="2">
        <f t="shared" si="26"/>
        <v>52388.998945276304</v>
      </c>
      <c r="GT23" s="2">
        <f t="shared" si="26"/>
        <v>51865.10895582354</v>
      </c>
      <c r="GU23" s="2">
        <f t="shared" si="26"/>
        <v>51346.457866265308</v>
      </c>
      <c r="GV23" s="2">
        <f t="shared" si="26"/>
        <v>50832.993287602651</v>
      </c>
      <c r="GW23" s="2">
        <f t="shared" si="26"/>
        <v>50324.663354726625</v>
      </c>
      <c r="GX23" s="2">
        <f t="shared" si="26"/>
        <v>49821.416721179361</v>
      </c>
      <c r="GY23" s="2">
        <f t="shared" si="26"/>
        <v>49323.202553967567</v>
      </c>
      <c r="GZ23" s="2">
        <f t="shared" si="26"/>
        <v>48829.97052842789</v>
      </c>
      <c r="HA23" s="2">
        <f t="shared" si="26"/>
        <v>48341.670823143613</v>
      </c>
      <c r="HB23" s="2">
        <f t="shared" si="26"/>
        <v>47858.254114912175</v>
      </c>
      <c r="HC23" s="2">
        <f t="shared" si="26"/>
        <v>47379.671573763051</v>
      </c>
      <c r="HD23" s="2">
        <f t="shared" si="26"/>
        <v>46905.874858025418</v>
      </c>
      <c r="HE23" s="2">
        <f>HD23*(1+$C$37)</f>
        <v>46436.816109445164</v>
      </c>
      <c r="HF23" s="2">
        <f t="shared" ref="HF23:JQ23" si="27">HE23*(1+$C$37)</f>
        <v>45972.447948350709</v>
      </c>
      <c r="HG23" s="2">
        <f t="shared" si="27"/>
        <v>45512.723468867203</v>
      </c>
      <c r="HH23" s="2">
        <f t="shared" si="27"/>
        <v>45057.596234178534</v>
      </c>
      <c r="HI23" s="2">
        <f t="shared" si="27"/>
        <v>44607.020271836751</v>
      </c>
      <c r="HJ23" s="2">
        <f t="shared" si="27"/>
        <v>44160.950069118386</v>
      </c>
      <c r="HK23" s="2">
        <f t="shared" si="27"/>
        <v>43719.3405684272</v>
      </c>
      <c r="HL23" s="2">
        <f t="shared" si="27"/>
        <v>43282.147162742927</v>
      </c>
      <c r="HM23" s="2">
        <f t="shared" si="27"/>
        <v>42849.325691115497</v>
      </c>
      <c r="HN23" s="2">
        <f t="shared" si="27"/>
        <v>42420.832434204342</v>
      </c>
      <c r="HO23" s="2">
        <f t="shared" si="27"/>
        <v>41996.6241098623</v>
      </c>
      <c r="HP23" s="2">
        <f t="shared" si="27"/>
        <v>41576.657868763679</v>
      </c>
      <c r="HQ23" s="2">
        <f t="shared" si="27"/>
        <v>41160.891290076041</v>
      </c>
      <c r="HR23" s="2">
        <f t="shared" si="27"/>
        <v>40749.282377175281</v>
      </c>
      <c r="HS23" s="2">
        <f t="shared" si="27"/>
        <v>40341.789553403527</v>
      </c>
      <c r="HT23" s="2">
        <f t="shared" si="27"/>
        <v>39938.371657869495</v>
      </c>
      <c r="HU23" s="2">
        <f t="shared" si="27"/>
        <v>39538.987941290798</v>
      </c>
      <c r="HV23" s="2">
        <f t="shared" si="27"/>
        <v>39143.598061877892</v>
      </c>
      <c r="HW23" s="2">
        <f t="shared" si="27"/>
        <v>38752.162081259114</v>
      </c>
      <c r="HX23" s="2">
        <f t="shared" si="27"/>
        <v>38364.640460446521</v>
      </c>
      <c r="HY23" s="2">
        <f t="shared" si="27"/>
        <v>37980.994055842057</v>
      </c>
      <c r="HZ23" s="2">
        <f t="shared" si="27"/>
        <v>37601.184115283635</v>
      </c>
      <c r="IA23" s="2">
        <f t="shared" si="27"/>
        <v>37225.172274130797</v>
      </c>
      <c r="IB23" s="2">
        <f t="shared" si="27"/>
        <v>36852.920551389485</v>
      </c>
      <c r="IC23" s="2">
        <f t="shared" si="27"/>
        <v>36484.391345875592</v>
      </c>
      <c r="ID23" s="2">
        <f t="shared" si="27"/>
        <v>36119.547432416839</v>
      </c>
      <c r="IE23" s="2">
        <f t="shared" si="27"/>
        <v>35758.351958092673</v>
      </c>
      <c r="IF23" s="2">
        <f t="shared" si="27"/>
        <v>35400.768438511746</v>
      </c>
      <c r="IG23" s="2">
        <f t="shared" si="27"/>
        <v>35046.760754126626</v>
      </c>
      <c r="IH23" s="2">
        <f t="shared" si="27"/>
        <v>34696.293146585362</v>
      </c>
      <c r="II23" s="2">
        <f t="shared" si="27"/>
        <v>34349.330215119509</v>
      </c>
      <c r="IJ23" s="2">
        <f t="shared" si="27"/>
        <v>34005.836912968312</v>
      </c>
      <c r="IK23" s="2">
        <f t="shared" si="27"/>
        <v>33665.778543838627</v>
      </c>
      <c r="IL23" s="2">
        <f t="shared" si="27"/>
        <v>33329.12075840024</v>
      </c>
      <c r="IM23" s="2">
        <f t="shared" si="27"/>
        <v>32995.829550816241</v>
      </c>
      <c r="IN23" s="2">
        <f t="shared" si="27"/>
        <v>32665.871255308077</v>
      </c>
      <c r="IO23" s="2">
        <f t="shared" si="27"/>
        <v>32339.212542754995</v>
      </c>
      <c r="IP23" s="2">
        <f t="shared" si="27"/>
        <v>32015.820417327443</v>
      </c>
      <c r="IQ23" s="2">
        <f t="shared" si="27"/>
        <v>31695.662213154166</v>
      </c>
      <c r="IR23" s="2">
        <f t="shared" si="27"/>
        <v>31378.705591022623</v>
      </c>
      <c r="IS23" s="2">
        <f t="shared" si="27"/>
        <v>31064.918535112396</v>
      </c>
      <c r="IT23" s="2">
        <f t="shared" si="27"/>
        <v>30754.269349761271</v>
      </c>
      <c r="IU23" s="2">
        <f t="shared" si="27"/>
        <v>30446.726656263658</v>
      </c>
      <c r="IV23" s="2">
        <f t="shared" si="27"/>
        <v>30142.259389701019</v>
      </c>
      <c r="IW23" s="2">
        <f t="shared" si="27"/>
        <v>29840.836795804007</v>
      </c>
      <c r="IX23" s="2">
        <f t="shared" si="27"/>
        <v>29542.428427845967</v>
      </c>
      <c r="IY23" s="2">
        <f t="shared" si="27"/>
        <v>29247.004143567508</v>
      </c>
      <c r="IZ23" s="2">
        <f t="shared" si="27"/>
        <v>28954.534102131835</v>
      </c>
      <c r="JA23" s="2">
        <f t="shared" si="27"/>
        <v>28664.988761110515</v>
      </c>
      <c r="JB23" s="2">
        <f t="shared" si="27"/>
        <v>28378.338873499411</v>
      </c>
      <c r="JC23" s="2">
        <f t="shared" si="27"/>
        <v>28094.555484764416</v>
      </c>
      <c r="JD23" s="2">
        <f t="shared" si="27"/>
        <v>27813.609929916773</v>
      </c>
      <c r="JE23" s="2">
        <f t="shared" si="27"/>
        <v>27535.473830617604</v>
      </c>
      <c r="JF23" s="2">
        <f t="shared" si="27"/>
        <v>27260.119092311426</v>
      </c>
      <c r="JG23" s="2">
        <f t="shared" si="27"/>
        <v>26987.517901388313</v>
      </c>
      <c r="JH23" s="2">
        <f t="shared" si="27"/>
        <v>26717.642722374429</v>
      </c>
      <c r="JI23" s="2">
        <f t="shared" si="27"/>
        <v>26450.466295150683</v>
      </c>
      <c r="JJ23" s="2">
        <f t="shared" si="27"/>
        <v>26185.961632199178</v>
      </c>
      <c r="JK23" s="2">
        <f t="shared" si="27"/>
        <v>25924.102015877186</v>
      </c>
      <c r="JL23" s="2">
        <f t="shared" si="27"/>
        <v>25664.860995718413</v>
      </c>
      <c r="JM23" s="2">
        <f t="shared" si="27"/>
        <v>25408.212385761228</v>
      </c>
      <c r="JN23" s="2">
        <f t="shared" si="27"/>
        <v>25154.130261903614</v>
      </c>
      <c r="JO23" s="2">
        <f t="shared" si="27"/>
        <v>24902.588959284578</v>
      </c>
      <c r="JP23" s="2">
        <f t="shared" si="27"/>
        <v>24653.563069691732</v>
      </c>
      <c r="JQ23" s="2">
        <f t="shared" si="27"/>
        <v>24407.027438994814</v>
      </c>
      <c r="JR23" s="2">
        <f t="shared" ref="JR23:KS23" si="28">JQ23*(1+$C$37)</f>
        <v>24162.957164604864</v>
      </c>
      <c r="JS23" s="2">
        <f t="shared" si="28"/>
        <v>23921.327592958816</v>
      </c>
      <c r="JT23" s="2">
        <f t="shared" si="28"/>
        <v>23682.114317029227</v>
      </c>
      <c r="JU23" s="2">
        <f t="shared" si="28"/>
        <v>23445.293173858936</v>
      </c>
      <c r="JV23" s="2">
        <f t="shared" si="28"/>
        <v>23210.840242120346</v>
      </c>
      <c r="JW23" s="2">
        <f t="shared" si="28"/>
        <v>22978.731839699143</v>
      </c>
      <c r="JX23" s="2">
        <f t="shared" si="28"/>
        <v>22748.94452130215</v>
      </c>
      <c r="JY23" s="2">
        <f t="shared" si="28"/>
        <v>22521.455076089129</v>
      </c>
      <c r="JZ23" s="2">
        <f t="shared" si="28"/>
        <v>22296.240525328238</v>
      </c>
      <c r="KA23" s="2">
        <f t="shared" si="28"/>
        <v>22073.278120074956</v>
      </c>
      <c r="KB23" s="2">
        <f t="shared" si="28"/>
        <v>21852.545338874206</v>
      </c>
      <c r="KC23" s="2">
        <f t="shared" si="28"/>
        <v>21634.019885485464</v>
      </c>
      <c r="KD23" s="2">
        <f t="shared" si="28"/>
        <v>21417.67968663061</v>
      </c>
      <c r="KE23" s="2">
        <f t="shared" si="28"/>
        <v>21203.502889764302</v>
      </c>
      <c r="KF23" s="2">
        <f t="shared" si="28"/>
        <v>20991.467860866658</v>
      </c>
      <c r="KG23" s="2">
        <f t="shared" si="28"/>
        <v>20781.553182257991</v>
      </c>
      <c r="KH23" s="2">
        <f t="shared" si="28"/>
        <v>20573.737650435411</v>
      </c>
      <c r="KI23" s="2">
        <f t="shared" si="28"/>
        <v>20368.000273931055</v>
      </c>
      <c r="KJ23" s="2">
        <f t="shared" si="28"/>
        <v>20164.320271191744</v>
      </c>
      <c r="KK23" s="2">
        <f t="shared" si="28"/>
        <v>19962.677068479825</v>
      </c>
      <c r="KL23" s="2">
        <f t="shared" si="28"/>
        <v>19763.050297795027</v>
      </c>
      <c r="KM23" s="2">
        <f t="shared" si="28"/>
        <v>19565.419794817077</v>
      </c>
      <c r="KN23" s="2">
        <f t="shared" si="28"/>
        <v>19369.765596868907</v>
      </c>
      <c r="KO23" s="2">
        <f t="shared" si="28"/>
        <v>19176.067940900219</v>
      </c>
      <c r="KP23" s="2">
        <f t="shared" si="28"/>
        <v>18984.307261491216</v>
      </c>
      <c r="KQ23" s="2">
        <f t="shared" si="28"/>
        <v>18794.464188876304</v>
      </c>
      <c r="KR23" s="2">
        <f t="shared" si="28"/>
        <v>18606.51954698754</v>
      </c>
      <c r="KS23" s="2">
        <f t="shared" si="28"/>
        <v>18420.454351517663</v>
      </c>
      <c r="KT23" s="2">
        <f>KS23*(1+$C$37)</f>
        <v>18236.249808002485</v>
      </c>
      <c r="KU23" s="2">
        <f t="shared" ref="KU23:MK23" si="29">KT23*(1+$C$37)</f>
        <v>18053.887309922462</v>
      </c>
      <c r="KV23" s="2">
        <f t="shared" si="29"/>
        <v>17873.348436823238</v>
      </c>
      <c r="KW23" s="2">
        <f t="shared" si="29"/>
        <v>17694.614952455006</v>
      </c>
      <c r="KX23" s="2">
        <f t="shared" si="29"/>
        <v>17517.668802930457</v>
      </c>
      <c r="KY23" s="2">
        <f t="shared" si="29"/>
        <v>17342.492114901153</v>
      </c>
      <c r="KZ23" s="2">
        <f t="shared" si="29"/>
        <v>17169.06719375214</v>
      </c>
      <c r="LA23" s="2">
        <f t="shared" si="29"/>
        <v>16997.376521814618</v>
      </c>
      <c r="LB23" s="2">
        <f t="shared" si="29"/>
        <v>16827.402756596472</v>
      </c>
      <c r="LC23" s="2">
        <f t="shared" si="29"/>
        <v>16659.128729030508</v>
      </c>
      <c r="LD23" s="2">
        <f t="shared" si="29"/>
        <v>16492.537441740202</v>
      </c>
      <c r="LE23" s="2">
        <f t="shared" si="29"/>
        <v>16327.6120673228</v>
      </c>
      <c r="LF23" s="2">
        <f t="shared" si="29"/>
        <v>16164.335946649571</v>
      </c>
      <c r="LG23" s="2">
        <f t="shared" si="29"/>
        <v>16002.692587183075</v>
      </c>
      <c r="LH23" s="2">
        <f t="shared" si="29"/>
        <v>15842.665661311245</v>
      </c>
      <c r="LI23" s="2">
        <f t="shared" si="29"/>
        <v>15684.239004698133</v>
      </c>
      <c r="LJ23" s="2">
        <f t="shared" si="29"/>
        <v>15527.396614651152</v>
      </c>
      <c r="LK23" s="2">
        <f t="shared" si="29"/>
        <v>15372.122648504641</v>
      </c>
      <c r="LL23" s="2">
        <f t="shared" si="29"/>
        <v>15218.401422019595</v>
      </c>
      <c r="LM23" s="2">
        <f t="shared" si="29"/>
        <v>15066.217407799399</v>
      </c>
      <c r="LN23" s="2">
        <f t="shared" si="29"/>
        <v>14915.555233721405</v>
      </c>
      <c r="LO23" s="2">
        <f t="shared" si="29"/>
        <v>14766.399681384191</v>
      </c>
      <c r="LP23" s="2">
        <f t="shared" si="29"/>
        <v>14618.735684570349</v>
      </c>
      <c r="LQ23" s="2">
        <f t="shared" si="29"/>
        <v>14472.548327724646</v>
      </c>
      <c r="LR23" s="2">
        <f t="shared" si="29"/>
        <v>14327.822844447399</v>
      </c>
      <c r="LS23" s="2">
        <f t="shared" si="29"/>
        <v>14184.544616002924</v>
      </c>
      <c r="LT23" s="2">
        <f t="shared" si="29"/>
        <v>14042.699169842896</v>
      </c>
      <c r="LU23" s="2">
        <f t="shared" si="29"/>
        <v>13902.272178144467</v>
      </c>
      <c r="LV23" s="2">
        <f t="shared" si="29"/>
        <v>13763.249456363023</v>
      </c>
      <c r="LW23" s="2">
        <f t="shared" si="29"/>
        <v>13625.616961799393</v>
      </c>
      <c r="LX23" s="2">
        <f t="shared" si="29"/>
        <v>13489.360792181398</v>
      </c>
      <c r="LY23" s="2">
        <f t="shared" si="29"/>
        <v>13354.467184259584</v>
      </c>
      <c r="LZ23" s="2">
        <f t="shared" si="29"/>
        <v>13220.922512416988</v>
      </c>
      <c r="MA23" s="2">
        <f t="shared" si="29"/>
        <v>13088.713287292818</v>
      </c>
      <c r="MB23" s="2">
        <f t="shared" si="29"/>
        <v>12957.82615441989</v>
      </c>
      <c r="MC23" s="2">
        <f t="shared" si="29"/>
        <v>12828.247892875692</v>
      </c>
      <c r="MD23" s="2">
        <f t="shared" si="29"/>
        <v>12699.965413946935</v>
      </c>
      <c r="ME23" s="2">
        <f t="shared" si="29"/>
        <v>12572.965759807465</v>
      </c>
      <c r="MF23" s="2">
        <f t="shared" si="29"/>
        <v>12447.23610220939</v>
      </c>
      <c r="MG23" s="2">
        <f t="shared" si="29"/>
        <v>12322.763741187297</v>
      </c>
      <c r="MH23" s="2">
        <f t="shared" si="29"/>
        <v>12199.536103775423</v>
      </c>
      <c r="MI23" s="2">
        <f t="shared" si="29"/>
        <v>12077.540742737669</v>
      </c>
      <c r="MJ23" s="2">
        <f t="shared" si="29"/>
        <v>11956.765335310292</v>
      </c>
      <c r="MK23" s="2">
        <f t="shared" si="29"/>
        <v>11837.19768195719</v>
      </c>
      <c r="ML23" s="2">
        <f t="shared" ref="ML23:MQ23" si="30">MK23*(1+$C$37)</f>
        <v>11718.825705137619</v>
      </c>
      <c r="MM23" s="2">
        <f t="shared" si="30"/>
        <v>11601.637448086241</v>
      </c>
      <c r="MN23" s="2">
        <f t="shared" si="30"/>
        <v>11485.621073605378</v>
      </c>
      <c r="MO23" s="2">
        <f t="shared" si="30"/>
        <v>11370.764862869324</v>
      </c>
      <c r="MP23" s="2">
        <f t="shared" si="30"/>
        <v>11257.057214240631</v>
      </c>
      <c r="MQ23" s="2">
        <f t="shared" si="30"/>
        <v>11144.486642098225</v>
      </c>
      <c r="MR23" s="2">
        <f t="shared" ref="MR23:NC23" si="31">MQ23*(1+$C$37)</f>
        <v>11033.041775677242</v>
      </c>
      <c r="MS23" s="2">
        <f t="shared" ref="MS23:MX23" si="32">MR23*(1+$C$37)</f>
        <v>10922.711357920469</v>
      </c>
      <c r="MT23" s="2">
        <f t="shared" si="32"/>
        <v>10813.484244341264</v>
      </c>
      <c r="MU23" s="2">
        <f t="shared" si="32"/>
        <v>10705.349401897851</v>
      </c>
      <c r="MV23" s="2">
        <f t="shared" si="32"/>
        <v>10598.295907878872</v>
      </c>
      <c r="MW23" s="2">
        <f t="shared" si="32"/>
        <v>10492.312948800083</v>
      </c>
      <c r="MX23" s="2">
        <f t="shared" si="32"/>
        <v>10387.389819312082</v>
      </c>
      <c r="MY23" s="2">
        <f t="shared" si="31"/>
        <v>10283.515921118962</v>
      </c>
      <c r="MZ23" s="2">
        <f>MY23*(1+$C$37)</f>
        <v>10180.680761907772</v>
      </c>
      <c r="NA23" s="2">
        <f>MZ23*(1+$C$37)</f>
        <v>10078.873954288694</v>
      </c>
      <c r="NB23" s="2">
        <f t="shared" si="31"/>
        <v>9978.0852147458063</v>
      </c>
      <c r="NC23" s="2">
        <f t="shared" si="31"/>
        <v>9878.3043625983482</v>
      </c>
      <c r="ND23" s="2">
        <f t="shared" ref="ND23:NI23" si="33">NC23*(1+$C$37)</f>
        <v>9779.5213189723654</v>
      </c>
      <c r="NE23" s="2">
        <f t="shared" si="33"/>
        <v>9681.7261057826418</v>
      </c>
      <c r="NF23" s="2">
        <f t="shared" si="33"/>
        <v>9584.9088447248159</v>
      </c>
      <c r="NG23" s="2">
        <f t="shared" si="33"/>
        <v>9489.0597562775674</v>
      </c>
      <c r="NH23" s="2">
        <f t="shared" si="33"/>
        <v>9394.1691587147925</v>
      </c>
      <c r="NI23" s="2">
        <f t="shared" si="33"/>
        <v>9300.2274671276446</v>
      </c>
      <c r="NJ23" s="2">
        <f t="shared" ref="NJ23:OI23" si="34">NI23*(1+$C$37)</f>
        <v>9207.2251924563679</v>
      </c>
      <c r="NK23" s="2">
        <f t="shared" si="34"/>
        <v>9115.1529405318033</v>
      </c>
      <c r="NL23" s="2">
        <f t="shared" si="34"/>
        <v>9024.0014111264845</v>
      </c>
      <c r="NM23" s="2">
        <f t="shared" si="34"/>
        <v>8933.7613970152197</v>
      </c>
      <c r="NN23" s="2">
        <f t="shared" si="34"/>
        <v>8844.4237830450675</v>
      </c>
      <c r="NO23" s="2">
        <f t="shared" si="34"/>
        <v>8755.9795452146172</v>
      </c>
      <c r="NP23" s="2">
        <f t="shared" si="34"/>
        <v>8668.4197497624718</v>
      </c>
      <c r="NQ23" s="2">
        <f t="shared" si="34"/>
        <v>8581.7355522648468</v>
      </c>
      <c r="NR23" s="2">
        <f t="shared" si="34"/>
        <v>8495.9181967421973</v>
      </c>
      <c r="NS23" s="2">
        <f t="shared" si="34"/>
        <v>8410.9590147747749</v>
      </c>
      <c r="NT23" s="2">
        <f t="shared" si="34"/>
        <v>8326.8494246270275</v>
      </c>
      <c r="NU23" s="2">
        <f t="shared" si="34"/>
        <v>8243.5809303807564</v>
      </c>
      <c r="NV23" s="2">
        <f t="shared" si="34"/>
        <v>8161.1451210769492</v>
      </c>
      <c r="NW23" s="2">
        <f t="shared" si="34"/>
        <v>8079.5336698661795</v>
      </c>
      <c r="NX23" s="2">
        <f t="shared" si="34"/>
        <v>7998.7383331675173</v>
      </c>
      <c r="NY23" s="2">
        <f t="shared" si="34"/>
        <v>7918.7509498358422</v>
      </c>
      <c r="NZ23" s="2">
        <f t="shared" si="34"/>
        <v>7839.5634403374834</v>
      </c>
      <c r="OA23" s="2">
        <f t="shared" si="34"/>
        <v>7761.1678059341084</v>
      </c>
      <c r="OB23" s="2">
        <f t="shared" si="34"/>
        <v>7683.5561278747673</v>
      </c>
      <c r="OC23" s="2">
        <f t="shared" si="34"/>
        <v>7606.7205665960191</v>
      </c>
      <c r="OD23" s="2">
        <f t="shared" si="34"/>
        <v>7530.6533609300586</v>
      </c>
      <c r="OE23" s="2">
        <f t="shared" si="34"/>
        <v>7455.3468273207582</v>
      </c>
      <c r="OF23" s="2">
        <f t="shared" si="34"/>
        <v>7380.7933590475504</v>
      </c>
      <c r="OG23" s="2">
        <f t="shared" si="34"/>
        <v>7306.9854254570746</v>
      </c>
      <c r="OH23" s="2">
        <f t="shared" si="34"/>
        <v>7233.915571202504</v>
      </c>
      <c r="OI23" s="2">
        <f t="shared" si="34"/>
        <v>7161.5764154904791</v>
      </c>
    </row>
    <row r="24" spans="2:399" x14ac:dyDescent="0.25">
      <c r="O24" s="22"/>
    </row>
    <row r="25" spans="2:399" x14ac:dyDescent="0.25">
      <c r="B25" s="2" t="s">
        <v>118</v>
      </c>
      <c r="C25" s="2">
        <f t="shared" ref="C25:J25" si="35">C23/C26</f>
        <v>-5.8490287737133517</v>
      </c>
      <c r="D25" s="2">
        <f t="shared" si="35"/>
        <v>-0.27693451877894593</v>
      </c>
      <c r="E25" s="2">
        <f t="shared" si="35"/>
        <v>-0.45584943018821228</v>
      </c>
      <c r="F25" s="2">
        <f t="shared" si="35"/>
        <v>0.51095261802203507</v>
      </c>
      <c r="G25" s="2">
        <f t="shared" si="35"/>
        <v>0.38428147375812577</v>
      </c>
      <c r="H25" s="2">
        <f t="shared" si="35"/>
        <v>6.4691707708892598E-2</v>
      </c>
      <c r="I25" s="2">
        <f t="shared" si="35"/>
        <v>0.38668623545445013</v>
      </c>
      <c r="J25" s="2">
        <f t="shared" si="35"/>
        <v>1.6300499605574545</v>
      </c>
      <c r="K25" s="2">
        <f>K23/K26</f>
        <v>-3.6212896201803577</v>
      </c>
      <c r="L25" s="2">
        <f>L23/L26</f>
        <v>-0.23101570416476358</v>
      </c>
      <c r="M25" s="2">
        <f>M23/M26</f>
        <v>-0.22902047285283389</v>
      </c>
      <c r="N25" s="2">
        <f>N23/N26</f>
        <v>-0.22553141171032812</v>
      </c>
      <c r="O25" s="22"/>
      <c r="Q25" s="2">
        <f t="shared" ref="Q25:X25" si="36">Q23/Q26</f>
        <v>-8.0532212565241714</v>
      </c>
      <c r="R25" s="2">
        <f t="shared" si="36"/>
        <v>-5.7727981125132581</v>
      </c>
      <c r="S25" s="2">
        <f t="shared" si="36"/>
        <v>2.4622981856429136</v>
      </c>
      <c r="T25" s="2">
        <f t="shared" si="36"/>
        <v>-3.7117655743256432</v>
      </c>
      <c r="U25" s="2">
        <f t="shared" si="36"/>
        <v>4.1072829082969067</v>
      </c>
      <c r="V25" s="2">
        <f t="shared" si="36"/>
        <v>3.8762892844863135</v>
      </c>
      <c r="W25" s="2">
        <f t="shared" si="36"/>
        <v>3.5531836262218954</v>
      </c>
      <c r="X25" s="2">
        <f t="shared" si="36"/>
        <v>3.3058394654819097</v>
      </c>
    </row>
    <row r="26" spans="2:399" x14ac:dyDescent="0.25">
      <c r="B26" s="2" t="s">
        <v>119</v>
      </c>
      <c r="C26" s="2">
        <v>88136</v>
      </c>
      <c r="D26" s="2">
        <v>88743</v>
      </c>
      <c r="E26" s="2">
        <v>88889</v>
      </c>
      <c r="F26" s="2">
        <f>R26</f>
        <v>92398</v>
      </c>
      <c r="G26" s="2">
        <v>93991</v>
      </c>
      <c r="H26" s="2">
        <v>94618</v>
      </c>
      <c r="I26" s="2">
        <v>95390</v>
      </c>
      <c r="J26" s="2">
        <f>S26</f>
        <v>95075</v>
      </c>
      <c r="K26" s="2">
        <f>Main!E7</f>
        <v>97362</v>
      </c>
      <c r="L26" s="2">
        <f>AVERAGE(C26:K26)</f>
        <v>92733.555555555562</v>
      </c>
      <c r="M26" s="2">
        <f>AVERAGE(D26:L26)</f>
        <v>93244.395061728384</v>
      </c>
      <c r="N26" s="2">
        <f>AVERAGE(E26:M26)</f>
        <v>93744.550068587108</v>
      </c>
      <c r="O26" s="22"/>
      <c r="Q26" s="2">
        <v>87559</v>
      </c>
      <c r="R26" s="2">
        <v>92398</v>
      </c>
      <c r="S26" s="2">
        <v>95075</v>
      </c>
      <c r="T26" s="2">
        <f>S26</f>
        <v>95075</v>
      </c>
      <c r="U26" s="2">
        <f>AVERAGE(Q26:T26)</f>
        <v>92526.75</v>
      </c>
      <c r="V26" s="2">
        <f>AVERAGE(R26:U26)</f>
        <v>93768.6875</v>
      </c>
      <c r="W26" s="2">
        <f>AVERAGE(S26:V26)</f>
        <v>94111.359375</v>
      </c>
      <c r="X26" s="2">
        <f>AVERAGE(T26:W26)</f>
        <v>93870.44921875</v>
      </c>
    </row>
    <row r="27" spans="2:399" x14ac:dyDescent="0.25">
      <c r="O27" s="22"/>
    </row>
    <row r="28" spans="2:399" x14ac:dyDescent="0.25">
      <c r="B28" s="3" t="s">
        <v>191</v>
      </c>
      <c r="G28" s="32">
        <f>G12/C12-1</f>
        <v>0.63102169625246551</v>
      </c>
      <c r="H28" s="32">
        <f>H12/D12-1</f>
        <v>0.38927338289222857</v>
      </c>
      <c r="I28" s="32">
        <f>I12/E12-1</f>
        <v>0.40792063095019238</v>
      </c>
      <c r="J28" s="32">
        <f>J12/F12-1</f>
        <v>0.65938389186982249</v>
      </c>
      <c r="K28" s="32">
        <f>K12/G12-1</f>
        <v>0.80150146082851226</v>
      </c>
      <c r="O28" s="22"/>
      <c r="R28" s="32">
        <f t="shared" ref="R28:X28" si="37">R12/Q12-1</f>
        <v>0.33260308270088412</v>
      </c>
      <c r="S28" s="32">
        <f t="shared" si="37"/>
        <v>0.52973854211572746</v>
      </c>
      <c r="T28" s="32">
        <f t="shared" si="37"/>
        <v>-0.18032903804852729</v>
      </c>
      <c r="U28" s="32">
        <f t="shared" si="37"/>
        <v>-0.3274404204157173</v>
      </c>
      <c r="V28" s="32">
        <f t="shared" si="37"/>
        <v>6.363925657154379E-3</v>
      </c>
      <c r="W28" s="32">
        <f t="shared" si="37"/>
        <v>4.9492586648656189E-3</v>
      </c>
      <c r="X28" s="32">
        <f t="shared" si="37"/>
        <v>2.6278904525742774E-3</v>
      </c>
      <c r="Y28" s="32"/>
      <c r="Z28" s="32"/>
      <c r="AA28" s="32"/>
      <c r="AB28" s="32"/>
      <c r="AC28" s="32"/>
    </row>
    <row r="29" spans="2:399" x14ac:dyDescent="0.25">
      <c r="B29" s="3" t="s">
        <v>192</v>
      </c>
      <c r="C29" s="32">
        <f t="shared" ref="C29:J29" si="38">C14/C12</f>
        <v>0.8618658777120316</v>
      </c>
      <c r="D29" s="32">
        <f t="shared" si="38"/>
        <v>0.86937581821940146</v>
      </c>
      <c r="E29" s="32">
        <f t="shared" si="38"/>
        <v>0.88841439709237324</v>
      </c>
      <c r="F29" s="32">
        <f t="shared" si="38"/>
        <v>0.88866402373097497</v>
      </c>
      <c r="G29" s="32">
        <f t="shared" si="38"/>
        <v>0.87771849544337599</v>
      </c>
      <c r="H29" s="32">
        <f t="shared" si="38"/>
        <v>0.87726317123640585</v>
      </c>
      <c r="I29" s="32">
        <f t="shared" si="38"/>
        <v>0.8037318161191167</v>
      </c>
      <c r="J29" s="32">
        <f t="shared" si="38"/>
        <v>0.79905591028110057</v>
      </c>
      <c r="K29" s="32">
        <f>K14/K12</f>
        <v>0.8153146379971431</v>
      </c>
      <c r="O29" s="22"/>
      <c r="Q29" s="32">
        <f t="shared" ref="Q29:W29" si="39">Q14/Q12</f>
        <v>0.8499602899423695</v>
      </c>
      <c r="R29" s="32">
        <f t="shared" si="39"/>
        <v>0.87908095639473161</v>
      </c>
      <c r="S29" s="32">
        <f t="shared" si="39"/>
        <v>0.83222790577603645</v>
      </c>
      <c r="T29" s="32">
        <f t="shared" si="39"/>
        <v>0.83525027431712995</v>
      </c>
      <c r="U29" s="32">
        <f t="shared" si="39"/>
        <v>0.8491298566075669</v>
      </c>
      <c r="V29" s="32">
        <f t="shared" si="39"/>
        <v>0.84892224827386609</v>
      </c>
      <c r="W29" s="32">
        <f t="shared" si="39"/>
        <v>0.84138257124364979</v>
      </c>
      <c r="X29" s="32">
        <f t="shared" ref="X29" si="40">X14/X12</f>
        <v>0.84367123761055329</v>
      </c>
      <c r="Y29" s="32"/>
      <c r="Z29" s="32"/>
      <c r="AA29" s="32"/>
      <c r="AB29" s="32"/>
      <c r="AC29" s="32"/>
    </row>
    <row r="30" spans="2:399" x14ac:dyDescent="0.25">
      <c r="B30" s="30" t="s">
        <v>190</v>
      </c>
      <c r="F30" s="32">
        <f t="shared" ref="F30:K30" si="41">F9/E9-1</f>
        <v>0.8991723100075244</v>
      </c>
      <c r="G30" s="32">
        <f t="shared" si="41"/>
        <v>2.0480312080946028E-2</v>
      </c>
      <c r="H30" s="32">
        <f t="shared" si="41"/>
        <v>-9.1200274758093447E-2</v>
      </c>
      <c r="I30" s="32">
        <f t="shared" si="41"/>
        <v>0.48686750848251337</v>
      </c>
      <c r="J30" s="32">
        <f t="shared" si="41"/>
        <v>1.1225805738660539</v>
      </c>
      <c r="K30" s="32">
        <f t="shared" si="41"/>
        <v>-2.3860409057896548E-2</v>
      </c>
    </row>
    <row r="31" spans="2:399" x14ac:dyDescent="0.25">
      <c r="B31" s="33" t="s">
        <v>189</v>
      </c>
      <c r="C31" s="24"/>
      <c r="D31" s="24"/>
      <c r="E31" s="24"/>
      <c r="F31" s="24"/>
      <c r="G31" s="24"/>
      <c r="H31" s="24"/>
      <c r="I31" s="34">
        <f>I9/E9-1</f>
        <v>1.6188429704231058</v>
      </c>
      <c r="J31" s="34">
        <f>J9/F9-1</f>
        <v>1.92690936242838</v>
      </c>
      <c r="K31" s="35">
        <f>K9/G9-1</f>
        <v>1.7997327081591208</v>
      </c>
      <c r="S31" s="36">
        <f>S9/R9-1</f>
        <v>3.0966629399668593</v>
      </c>
      <c r="T31" s="36">
        <f>T9/S9-1</f>
        <v>-0.54314192041579401</v>
      </c>
      <c r="U31" s="32"/>
      <c r="V31" s="32"/>
      <c r="W31" s="32"/>
      <c r="X31" s="32"/>
      <c r="Y31" s="32"/>
      <c r="Z31" s="32"/>
      <c r="AA31" s="32"/>
      <c r="AB31" s="32"/>
      <c r="AC31" s="32"/>
    </row>
    <row r="32" spans="2:399" x14ac:dyDescent="0.25">
      <c r="B32" s="30" t="s">
        <v>187</v>
      </c>
      <c r="C32" s="32"/>
      <c r="D32" s="32"/>
      <c r="E32" s="32">
        <f t="shared" ref="E32:J32" si="42">E9/E12</f>
        <v>0.20827142672014995</v>
      </c>
      <c r="F32" s="32">
        <f t="shared" si="42"/>
        <v>0.33078196788656716</v>
      </c>
      <c r="G32" s="32">
        <f t="shared" si="42"/>
        <v>0.32393630400712031</v>
      </c>
      <c r="H32" s="32">
        <f t="shared" si="42"/>
        <v>0.33538330977513631</v>
      </c>
      <c r="I32" s="32">
        <f t="shared" si="42"/>
        <v>0.38740121411385958</v>
      </c>
      <c r="J32" s="32">
        <f t="shared" si="42"/>
        <v>0.58345078765271596</v>
      </c>
      <c r="K32" s="32">
        <f>K9/K12</f>
        <v>0.50343287830130923</v>
      </c>
      <c r="R32" s="32">
        <f>R9/R12</f>
        <v>0.16114389030801007</v>
      </c>
      <c r="S32" s="32">
        <f>S9/S12</f>
        <v>0.43154577416469897</v>
      </c>
      <c r="T32" s="32">
        <f>T9/T12</f>
        <v>0.24052965493394662</v>
      </c>
      <c r="U32" s="32">
        <f>U9/U12</f>
        <v>0</v>
      </c>
      <c r="V32" s="32">
        <f>V9/V12</f>
        <v>0</v>
      </c>
      <c r="W32" s="32">
        <f t="shared" ref="W32:X32" si="43">W9/W12</f>
        <v>0</v>
      </c>
      <c r="X32" s="32">
        <f t="shared" si="43"/>
        <v>0</v>
      </c>
      <c r="Y32" s="32"/>
      <c r="Z32" s="32"/>
      <c r="AA32" s="32"/>
      <c r="AB32" s="32"/>
      <c r="AC32" s="32"/>
    </row>
    <row r="33" spans="1:29" x14ac:dyDescent="0.25">
      <c r="B33" s="30" t="s">
        <v>105</v>
      </c>
      <c r="C33" s="32">
        <f t="shared" ref="C33:K33" si="44">C8/C12</f>
        <v>0.91319526627218939</v>
      </c>
      <c r="D33" s="32">
        <f t="shared" si="44"/>
        <v>0.91482862370711759</v>
      </c>
      <c r="E33" s="32">
        <f t="shared" si="44"/>
        <v>0.72393518113900135</v>
      </c>
      <c r="F33" s="32">
        <f t="shared" si="44"/>
        <v>0.58929989087179069</v>
      </c>
      <c r="G33" s="32">
        <f t="shared" si="44"/>
        <v>0.54550819418377416</v>
      </c>
      <c r="H33" s="32">
        <f t="shared" si="44"/>
        <v>0.65805070385279851</v>
      </c>
      <c r="I33" s="32">
        <f t="shared" si="44"/>
        <v>0.53254047759711631</v>
      </c>
      <c r="J33" s="32">
        <f t="shared" si="44"/>
        <v>0.38578579977278665</v>
      </c>
      <c r="K33" s="32">
        <f t="shared" si="44"/>
        <v>0.31756205226245071</v>
      </c>
      <c r="Q33" s="32">
        <f t="shared" ref="Q33:X33" si="45">Q8/Q12</f>
        <v>0.90434859964437797</v>
      </c>
      <c r="R33" s="32">
        <f t="shared" si="45"/>
        <v>0.759665931011408</v>
      </c>
      <c r="S33" s="32">
        <f t="shared" si="45"/>
        <v>0.50850666595162197</v>
      </c>
      <c r="T33" s="32">
        <f t="shared" si="45"/>
        <v>0.62534882381474877</v>
      </c>
      <c r="U33" s="32">
        <f t="shared" si="45"/>
        <v>0.93910239512653637</v>
      </c>
      <c r="V33" s="32">
        <f t="shared" si="45"/>
        <v>0.94249544811379915</v>
      </c>
      <c r="W33" s="32">
        <f t="shared" si="45"/>
        <v>0.94723230490225929</v>
      </c>
      <c r="X33" s="32">
        <f t="shared" si="45"/>
        <v>0.95419710249575906</v>
      </c>
      <c r="Y33" s="32"/>
      <c r="Z33" s="32"/>
      <c r="AA33" s="32"/>
      <c r="AB33" s="32"/>
      <c r="AC33" s="32"/>
    </row>
    <row r="34" spans="1:29" x14ac:dyDescent="0.25">
      <c r="B34" s="30" t="s">
        <v>105</v>
      </c>
      <c r="R34" s="32">
        <f t="shared" ref="R34:X34" si="46">R8/Q8-1</f>
        <v>0.11940590374853777</v>
      </c>
      <c r="S34" s="32">
        <f t="shared" si="46"/>
        <v>2.3979375767585687E-2</v>
      </c>
      <c r="T34" s="32">
        <f t="shared" si="46"/>
        <v>8.0109196055704324E-3</v>
      </c>
      <c r="U34" s="32">
        <f t="shared" si="46"/>
        <v>1.0000000000000009E-2</v>
      </c>
      <c r="V34" s="32">
        <f t="shared" si="46"/>
        <v>1.0000000000000009E-2</v>
      </c>
      <c r="W34" s="32">
        <f t="shared" si="46"/>
        <v>1.0000000000000231E-2</v>
      </c>
      <c r="X34" s="32">
        <f t="shared" si="46"/>
        <v>1.0000000000000009E-2</v>
      </c>
      <c r="Y34" s="32"/>
      <c r="Z34" s="32"/>
      <c r="AA34" s="32"/>
      <c r="AB34" s="32"/>
      <c r="AC34" s="32"/>
    </row>
    <row r="35" spans="1:29" x14ac:dyDescent="0.25">
      <c r="B35" s="30" t="s">
        <v>208</v>
      </c>
      <c r="C35" s="32">
        <f t="shared" ref="C35:K35" si="47">C22/C21</f>
        <v>-7.9086545511423065E-3</v>
      </c>
      <c r="D35" s="32">
        <f t="shared" si="47"/>
        <v>-0.61461139215557459</v>
      </c>
      <c r="E35" s="32">
        <f t="shared" si="47"/>
        <v>-0.23698751411911959</v>
      </c>
      <c r="F35" s="32">
        <f t="shared" si="47"/>
        <v>-0.12602857347294105</v>
      </c>
      <c r="G35" s="32">
        <f t="shared" si="47"/>
        <v>0.12857073923952905</v>
      </c>
      <c r="H35" s="32">
        <f t="shared" si="47"/>
        <v>0.53761897567608397</v>
      </c>
      <c r="I35" s="32">
        <f t="shared" si="47"/>
        <v>1.0595209355972211E-2</v>
      </c>
      <c r="J35" s="32">
        <f t="shared" si="47"/>
        <v>7.5707784888263324E-2</v>
      </c>
      <c r="K35" s="32">
        <f t="shared" si="47"/>
        <v>-0.22173632816560748</v>
      </c>
      <c r="Q35" s="32">
        <f>Q22/Q21</f>
        <v>-1.9555903858694317E-2</v>
      </c>
      <c r="R35" s="32">
        <f>R22/R21</f>
        <v>-3.0683109314494625E-2</v>
      </c>
      <c r="S35" s="32">
        <f>S22/S21</f>
        <v>9.8348469792557333E-2</v>
      </c>
      <c r="T35" s="32">
        <f>T22/T21</f>
        <v>-0.03</v>
      </c>
    </row>
    <row r="37" spans="1:29" x14ac:dyDescent="0.25">
      <c r="B37" s="2" t="s">
        <v>210</v>
      </c>
      <c r="C37" s="32">
        <v>-0.01</v>
      </c>
    </row>
    <row r="38" spans="1:29" x14ac:dyDescent="0.25">
      <c r="B38" s="2" t="s">
        <v>211</v>
      </c>
      <c r="C38" s="32">
        <v>0.09</v>
      </c>
    </row>
    <row r="39" spans="1:29" x14ac:dyDescent="0.25">
      <c r="B39" s="2" t="s">
        <v>212</v>
      </c>
      <c r="C39" s="2">
        <f>NPV(C38,T23:XFD23)+Main!E9-Main!E10</f>
        <v>2096534.2000675723</v>
      </c>
    </row>
    <row r="40" spans="1:29" x14ac:dyDescent="0.25">
      <c r="B40" s="2" t="s">
        <v>213</v>
      </c>
      <c r="C40" s="2">
        <f>C39/Main!E7</f>
        <v>21.533392905523431</v>
      </c>
    </row>
    <row r="42" spans="1:29" x14ac:dyDescent="0.25">
      <c r="B42" s="2" t="s">
        <v>214</v>
      </c>
      <c r="C42" s="1">
        <v>45868</v>
      </c>
    </row>
    <row r="43" spans="1:29" x14ac:dyDescent="0.25">
      <c r="B43" s="2" t="s">
        <v>215</v>
      </c>
      <c r="C43" s="1">
        <v>46022</v>
      </c>
    </row>
    <row r="45" spans="1:29" x14ac:dyDescent="0.25">
      <c r="A45" s="2" t="s">
        <v>89</v>
      </c>
      <c r="B45" s="2" t="s">
        <v>134</v>
      </c>
      <c r="C45" s="13" t="s">
        <v>60</v>
      </c>
      <c r="D45" s="13" t="s">
        <v>61</v>
      </c>
      <c r="E45" s="13" t="s">
        <v>62</v>
      </c>
      <c r="F45" s="13" t="s">
        <v>63</v>
      </c>
      <c r="G45" s="13" t="s">
        <v>64</v>
      </c>
      <c r="H45" s="13" t="s">
        <v>65</v>
      </c>
      <c r="I45" s="13" t="s">
        <v>66</v>
      </c>
      <c r="J45" s="13" t="s">
        <v>67</v>
      </c>
      <c r="K45" s="13" t="s">
        <v>8</v>
      </c>
      <c r="L45" s="13" t="s">
        <v>68</v>
      </c>
      <c r="M45" s="13" t="s">
        <v>69</v>
      </c>
      <c r="N45" s="13" t="s">
        <v>70</v>
      </c>
      <c r="P45" s="31"/>
      <c r="Q45" s="13" t="s">
        <v>186</v>
      </c>
      <c r="R45" s="13" t="s">
        <v>122</v>
      </c>
      <c r="S45" s="13" t="s">
        <v>123</v>
      </c>
      <c r="T45" s="13" t="s">
        <v>124</v>
      </c>
      <c r="U45" s="13" t="s">
        <v>125</v>
      </c>
      <c r="V45" s="13" t="s">
        <v>126</v>
      </c>
      <c r="W45" s="13" t="s">
        <v>127</v>
      </c>
      <c r="X45" s="13" t="s">
        <v>128</v>
      </c>
      <c r="Y45" s="13"/>
      <c r="Z45" s="13"/>
      <c r="AA45" s="13"/>
      <c r="AB45" s="13"/>
      <c r="AC45" s="13"/>
    </row>
    <row r="46" spans="1:29" x14ac:dyDescent="0.25">
      <c r="P46" s="31"/>
    </row>
    <row r="47" spans="1:29" x14ac:dyDescent="0.25">
      <c r="B47" s="2" t="s">
        <v>136</v>
      </c>
      <c r="C47" s="3"/>
      <c r="D47" s="3"/>
      <c r="E47" s="3"/>
      <c r="K47" s="2">
        <v>240867</v>
      </c>
      <c r="P47" s="31"/>
      <c r="Q47" s="2">
        <v>966777</v>
      </c>
      <c r="R47" s="2">
        <v>428430</v>
      </c>
      <c r="S47" s="2">
        <v>1103010</v>
      </c>
    </row>
    <row r="48" spans="1:29" x14ac:dyDescent="0.25">
      <c r="B48" s="2" t="s">
        <v>135</v>
      </c>
      <c r="K48" s="2">
        <v>281895</v>
      </c>
      <c r="P48" s="31"/>
      <c r="Q48" s="2">
        <v>1022597</v>
      </c>
      <c r="R48" s="2">
        <v>1247820</v>
      </c>
      <c r="S48" s="2">
        <v>251782</v>
      </c>
    </row>
    <row r="49" spans="2:19" x14ac:dyDescent="0.25">
      <c r="B49" s="2" t="s">
        <v>137</v>
      </c>
      <c r="C49" s="12"/>
      <c r="K49" s="2">
        <v>659371</v>
      </c>
      <c r="P49" s="31"/>
      <c r="Q49" s="2">
        <v>214628</v>
      </c>
      <c r="R49" s="2">
        <v>400327</v>
      </c>
      <c r="S49" s="2">
        <v>601988</v>
      </c>
    </row>
    <row r="50" spans="2:19" x14ac:dyDescent="0.25">
      <c r="B50" s="2" t="s">
        <v>138</v>
      </c>
      <c r="C50" s="12"/>
      <c r="K50" s="2">
        <v>941432</v>
      </c>
      <c r="P50" s="31"/>
      <c r="Q50" s="2">
        <v>203968</v>
      </c>
      <c r="R50" s="2">
        <v>322859</v>
      </c>
      <c r="S50" s="2">
        <v>749960</v>
      </c>
    </row>
    <row r="51" spans="2:19" x14ac:dyDescent="0.25">
      <c r="B51" s="2" t="s">
        <v>139</v>
      </c>
      <c r="C51" s="12"/>
      <c r="K51" s="2">
        <v>203490</v>
      </c>
      <c r="P51" s="31"/>
      <c r="Q51" s="2">
        <v>149891</v>
      </c>
      <c r="R51" s="2">
        <v>102181</v>
      </c>
      <c r="S51" s="2">
        <v>276262</v>
      </c>
    </row>
    <row r="52" spans="2:19" x14ac:dyDescent="0.25">
      <c r="B52" s="2" t="s">
        <v>115</v>
      </c>
      <c r="C52" s="12"/>
      <c r="K52" s="2">
        <v>105478</v>
      </c>
      <c r="P52" s="31"/>
      <c r="Q52" s="2">
        <v>0</v>
      </c>
      <c r="R52" s="2">
        <v>77714</v>
      </c>
      <c r="S52" s="2">
        <v>90461</v>
      </c>
    </row>
    <row r="53" spans="2:19" x14ac:dyDescent="0.25">
      <c r="B53" s="2" t="s">
        <v>140</v>
      </c>
      <c r="C53" s="12"/>
      <c r="K53" s="2">
        <f>SUM(K47:K52)</f>
        <v>2432533</v>
      </c>
      <c r="P53" s="31"/>
      <c r="Q53" s="2">
        <f>SUM(Q47:Q52)</f>
        <v>2557861</v>
      </c>
      <c r="R53" s="2">
        <f>SUM(R47:R52)</f>
        <v>2579331</v>
      </c>
      <c r="S53" s="2">
        <f>SUM(S47:S52)</f>
        <v>3073463</v>
      </c>
    </row>
    <row r="54" spans="2:19" x14ac:dyDescent="0.25">
      <c r="C54" s="12"/>
      <c r="P54" s="31"/>
    </row>
    <row r="55" spans="2:19" x14ac:dyDescent="0.25">
      <c r="B55" s="2" t="s">
        <v>141</v>
      </c>
      <c r="C55" s="12"/>
      <c r="K55" s="2">
        <v>360587</v>
      </c>
      <c r="P55" s="31"/>
      <c r="Q55" s="2">
        <v>180037</v>
      </c>
      <c r="R55" s="2">
        <v>227154</v>
      </c>
      <c r="S55" s="2">
        <v>340336</v>
      </c>
    </row>
    <row r="56" spans="2:19" x14ac:dyDescent="0.25">
      <c r="B56" s="2" t="s">
        <v>142</v>
      </c>
      <c r="C56" s="12"/>
      <c r="K56" s="2">
        <v>147063</v>
      </c>
      <c r="P56" s="31"/>
      <c r="Q56" s="2">
        <v>64954</v>
      </c>
      <c r="R56" s="2">
        <v>129952</v>
      </c>
      <c r="S56" s="2">
        <v>148310</v>
      </c>
    </row>
    <row r="57" spans="2:19" x14ac:dyDescent="0.25">
      <c r="B57" s="2" t="s">
        <v>143</v>
      </c>
      <c r="K57" s="2">
        <v>181158</v>
      </c>
      <c r="P57" s="31"/>
      <c r="Q57" s="2">
        <v>162545</v>
      </c>
      <c r="R57" s="2">
        <v>191368</v>
      </c>
      <c r="S57" s="2">
        <v>187986</v>
      </c>
    </row>
    <row r="58" spans="2:19" x14ac:dyDescent="0.25">
      <c r="B58" s="2" t="s">
        <v>144</v>
      </c>
      <c r="K58" s="2">
        <v>154370</v>
      </c>
      <c r="P58" s="31"/>
      <c r="Q58" s="2">
        <v>0</v>
      </c>
      <c r="R58" s="2">
        <v>0</v>
      </c>
      <c r="S58" s="2">
        <v>3710</v>
      </c>
    </row>
    <row r="59" spans="2:19" x14ac:dyDescent="0.25">
      <c r="B59" s="2" t="s">
        <v>145</v>
      </c>
      <c r="K59" s="2">
        <v>109125</v>
      </c>
      <c r="P59" s="31"/>
      <c r="Q59" s="2">
        <v>162969</v>
      </c>
      <c r="R59" s="2">
        <v>136771</v>
      </c>
      <c r="S59" s="2">
        <v>133163</v>
      </c>
    </row>
    <row r="60" spans="2:19" x14ac:dyDescent="0.25">
      <c r="B60" s="2" t="s">
        <v>115</v>
      </c>
      <c r="K60" s="2">
        <v>80551</v>
      </c>
      <c r="P60" s="31"/>
      <c r="Q60" s="2">
        <v>0</v>
      </c>
      <c r="R60" s="2">
        <v>0</v>
      </c>
      <c r="S60" s="2">
        <v>76205</v>
      </c>
    </row>
    <row r="61" spans="2:19" x14ac:dyDescent="0.25">
      <c r="B61" s="2" t="s">
        <v>146</v>
      </c>
      <c r="K61" s="2">
        <f>SUM(K55:K60)</f>
        <v>1032854</v>
      </c>
      <c r="P61" s="31"/>
      <c r="Q61" s="2">
        <f>SUM(Q55:Q60)</f>
        <v>570505</v>
      </c>
      <c r="R61" s="2">
        <f>SUM(R55:R60)</f>
        <v>685245</v>
      </c>
      <c r="S61" s="2">
        <f>SUM(S55:S60)</f>
        <v>889710</v>
      </c>
    </row>
    <row r="62" spans="2:19" x14ac:dyDescent="0.25">
      <c r="P62" s="31"/>
    </row>
    <row r="63" spans="2:19" x14ac:dyDescent="0.25">
      <c r="B63" s="2" t="s">
        <v>147</v>
      </c>
      <c r="K63" s="2">
        <f>+K61+K53</f>
        <v>3465387</v>
      </c>
      <c r="P63" s="31"/>
      <c r="Q63" s="2">
        <f>+Q61+Q53</f>
        <v>3128366</v>
      </c>
      <c r="R63" s="2">
        <f>+R61+R53</f>
        <v>3264576</v>
      </c>
      <c r="S63" s="2">
        <f>+S61+S53</f>
        <v>3963173</v>
      </c>
    </row>
    <row r="64" spans="2:19" x14ac:dyDescent="0.25">
      <c r="P64" s="31"/>
    </row>
    <row r="65" spans="2:19" x14ac:dyDescent="0.25">
      <c r="B65" s="2" t="s">
        <v>148</v>
      </c>
      <c r="K65" s="2">
        <v>156105</v>
      </c>
      <c r="P65" s="31"/>
      <c r="Q65" s="2">
        <v>95875</v>
      </c>
      <c r="R65" s="2">
        <v>164918</v>
      </c>
      <c r="S65" s="2">
        <v>214442</v>
      </c>
    </row>
    <row r="66" spans="2:19" x14ac:dyDescent="0.25">
      <c r="B66" s="2" t="s">
        <v>149</v>
      </c>
      <c r="K66" s="2">
        <v>391650</v>
      </c>
      <c r="P66" s="31"/>
      <c r="Q66" s="2">
        <v>418996</v>
      </c>
      <c r="R66" s="2">
        <v>314997</v>
      </c>
      <c r="S66" s="2">
        <v>373513</v>
      </c>
    </row>
    <row r="67" spans="2:19" x14ac:dyDescent="0.25">
      <c r="B67" s="2" t="s">
        <v>150</v>
      </c>
      <c r="K67" s="2">
        <v>44859</v>
      </c>
      <c r="P67" s="31"/>
      <c r="Q67" s="2">
        <v>89244</v>
      </c>
      <c r="R67" s="2">
        <v>50416</v>
      </c>
      <c r="S67" s="2">
        <v>130256</v>
      </c>
    </row>
    <row r="68" spans="2:19" x14ac:dyDescent="0.25">
      <c r="B68" s="2" t="s">
        <v>115</v>
      </c>
      <c r="K68" s="2">
        <v>12974</v>
      </c>
      <c r="P68" s="31"/>
      <c r="Q68" s="2">
        <v>15489</v>
      </c>
      <c r="R68" s="2">
        <f>105483+17845</f>
        <v>123328</v>
      </c>
      <c r="S68" s="2">
        <v>13473</v>
      </c>
    </row>
    <row r="69" spans="2:19" x14ac:dyDescent="0.25">
      <c r="B69" s="2" t="s">
        <v>151</v>
      </c>
      <c r="K69" s="2">
        <f>SUM(K65:K68)</f>
        <v>605588</v>
      </c>
      <c r="P69" s="31"/>
      <c r="Q69" s="2">
        <f>SUM(Q65:Q68)</f>
        <v>619604</v>
      </c>
      <c r="R69" s="2">
        <f>SUM(R65:R68)</f>
        <v>653659</v>
      </c>
      <c r="S69" s="2">
        <f>SUM(S65:S68)</f>
        <v>731684</v>
      </c>
    </row>
    <row r="70" spans="2:19" x14ac:dyDescent="0.25">
      <c r="P70" s="31"/>
    </row>
    <row r="71" spans="2:19" x14ac:dyDescent="0.25">
      <c r="B71" s="2" t="s">
        <v>152</v>
      </c>
      <c r="K71" s="2">
        <v>1138289</v>
      </c>
      <c r="P71" s="31"/>
      <c r="Q71" s="2">
        <v>1544292</v>
      </c>
      <c r="R71" s="2">
        <v>1132515</v>
      </c>
      <c r="S71" s="2">
        <v>1137124</v>
      </c>
    </row>
    <row r="72" spans="2:19" x14ac:dyDescent="0.25">
      <c r="B72" s="2" t="s">
        <v>153</v>
      </c>
      <c r="K72" s="2">
        <v>205460</v>
      </c>
      <c r="P72" s="31"/>
      <c r="Q72" s="2">
        <v>57578</v>
      </c>
      <c r="R72" s="2">
        <v>140965</v>
      </c>
      <c r="S72" s="2">
        <v>192473</v>
      </c>
    </row>
    <row r="73" spans="2:19" x14ac:dyDescent="0.25">
      <c r="B73" s="2" t="s">
        <v>150</v>
      </c>
      <c r="K73" s="2">
        <v>325000</v>
      </c>
      <c r="P73" s="31"/>
      <c r="Q73" s="2">
        <v>485000</v>
      </c>
      <c r="R73" s="2">
        <v>437000</v>
      </c>
      <c r="S73" s="2">
        <v>325000</v>
      </c>
    </row>
    <row r="74" spans="2:19" x14ac:dyDescent="0.25">
      <c r="B74" s="2" t="s">
        <v>154</v>
      </c>
      <c r="K74" s="2">
        <v>47400</v>
      </c>
      <c r="P74" s="31"/>
      <c r="Q74" s="2">
        <v>36900</v>
      </c>
      <c r="R74" s="2">
        <v>38100</v>
      </c>
      <c r="S74" s="2">
        <v>47400</v>
      </c>
    </row>
    <row r="75" spans="2:19" x14ac:dyDescent="0.25">
      <c r="B75" s="2" t="s">
        <v>115</v>
      </c>
      <c r="K75" s="2">
        <v>927</v>
      </c>
      <c r="P75" s="31"/>
      <c r="Q75" s="2">
        <v>42</v>
      </c>
      <c r="R75" s="2">
        <v>3000</v>
      </c>
      <c r="S75" s="2">
        <v>1750</v>
      </c>
    </row>
    <row r="76" spans="2:19" x14ac:dyDescent="0.25">
      <c r="B76" s="2" t="s">
        <v>155</v>
      </c>
      <c r="K76" s="2">
        <f>SUM(K71:K75)</f>
        <v>1717076</v>
      </c>
      <c r="P76" s="31"/>
      <c r="Q76" s="2">
        <f>SUM(Q71:Q75)</f>
        <v>2123812</v>
      </c>
      <c r="R76" s="2">
        <f>SUM(R71:R75)</f>
        <v>1751580</v>
      </c>
      <c r="S76" s="2">
        <f>SUM(S71:S75)</f>
        <v>1703747</v>
      </c>
    </row>
    <row r="77" spans="2:19" x14ac:dyDescent="0.25">
      <c r="P77" s="31"/>
    </row>
    <row r="78" spans="2:19" x14ac:dyDescent="0.25">
      <c r="B78" s="2" t="s">
        <v>156</v>
      </c>
      <c r="K78" s="2">
        <f>+K76+K69</f>
        <v>2322664</v>
      </c>
      <c r="P78" s="31"/>
      <c r="Q78" s="2">
        <f>+Q76+Q69</f>
        <v>2743416</v>
      </c>
      <c r="R78" s="2">
        <f>+R76+R69</f>
        <v>2405239</v>
      </c>
      <c r="S78" s="2">
        <f>+S76+S69</f>
        <v>2435431</v>
      </c>
    </row>
    <row r="79" spans="2:19" x14ac:dyDescent="0.25">
      <c r="P79" s="31"/>
    </row>
    <row r="80" spans="2:19" x14ac:dyDescent="0.25">
      <c r="B80" s="2" t="s">
        <v>157</v>
      </c>
      <c r="K80" s="2">
        <v>1142723</v>
      </c>
      <c r="P80" s="31"/>
      <c r="Q80" s="2">
        <v>384950</v>
      </c>
      <c r="R80" s="2">
        <v>859337</v>
      </c>
      <c r="S80" s="2">
        <v>1527742</v>
      </c>
    </row>
    <row r="81" spans="1:29" x14ac:dyDescent="0.25">
      <c r="P81" s="31"/>
    </row>
    <row r="82" spans="1:29" x14ac:dyDescent="0.25">
      <c r="B82" s="2" t="s">
        <v>158</v>
      </c>
      <c r="K82" s="2" t="b">
        <f>(+K80+K78=K63)</f>
        <v>1</v>
      </c>
      <c r="P82" s="31"/>
      <c r="Q82" s="2" t="b">
        <f>(+Q80+Q78=Q63)</f>
        <v>1</v>
      </c>
      <c r="R82" s="2" t="b">
        <f>(+R80+R78=R63)</f>
        <v>1</v>
      </c>
      <c r="S82" s="2" t="b">
        <f>(+S80+S78=S63)</f>
        <v>1</v>
      </c>
    </row>
    <row r="87" spans="1:29" x14ac:dyDescent="0.25">
      <c r="A87" s="2" t="s">
        <v>89</v>
      </c>
      <c r="B87" s="2" t="s">
        <v>121</v>
      </c>
      <c r="C87" s="13" t="s">
        <v>60</v>
      </c>
      <c r="D87" s="13" t="s">
        <v>61</v>
      </c>
      <c r="E87" s="13" t="s">
        <v>62</v>
      </c>
      <c r="F87" s="13" t="s">
        <v>63</v>
      </c>
      <c r="G87" s="13" t="s">
        <v>64</v>
      </c>
      <c r="H87" s="13" t="s">
        <v>65</v>
      </c>
      <c r="I87" s="13" t="s">
        <v>66</v>
      </c>
      <c r="J87" s="13" t="s">
        <v>67</v>
      </c>
      <c r="K87" s="13" t="s">
        <v>8</v>
      </c>
      <c r="L87" s="13" t="s">
        <v>68</v>
      </c>
      <c r="M87" s="13" t="s">
        <v>69</v>
      </c>
      <c r="N87" s="13" t="s">
        <v>70</v>
      </c>
      <c r="P87" s="31"/>
      <c r="Q87" s="13" t="s">
        <v>186</v>
      </c>
      <c r="R87" s="13" t="s">
        <v>122</v>
      </c>
      <c r="S87" s="13" t="s">
        <v>123</v>
      </c>
      <c r="T87" s="13" t="s">
        <v>124</v>
      </c>
      <c r="U87" s="13" t="s">
        <v>125</v>
      </c>
      <c r="V87" s="13" t="s">
        <v>126</v>
      </c>
      <c r="W87" s="13" t="s">
        <v>127</v>
      </c>
      <c r="X87" s="13" t="s">
        <v>128</v>
      </c>
      <c r="Y87" s="13" t="s">
        <v>129</v>
      </c>
      <c r="Z87" s="13" t="s">
        <v>130</v>
      </c>
      <c r="AA87" s="13" t="s">
        <v>131</v>
      </c>
      <c r="AB87" s="13" t="s">
        <v>132</v>
      </c>
      <c r="AC87" s="13" t="s">
        <v>133</v>
      </c>
    </row>
    <row r="88" spans="1:29" x14ac:dyDescent="0.25">
      <c r="P88" s="31"/>
    </row>
    <row r="89" spans="1:29" x14ac:dyDescent="0.25">
      <c r="B89" s="2" t="s">
        <v>5</v>
      </c>
      <c r="K89" s="2">
        <f>Main!E9-Main!E10</f>
        <v>-615527</v>
      </c>
      <c r="P89" s="31"/>
    </row>
    <row r="90" spans="1:29" x14ac:dyDescent="0.25">
      <c r="B90" s="2" t="s">
        <v>120</v>
      </c>
      <c r="G90" s="2">
        <f>G23</f>
        <v>36119</v>
      </c>
      <c r="K90" s="2">
        <f>K23</f>
        <v>-352576</v>
      </c>
      <c r="P90" s="31"/>
      <c r="Q90" s="2">
        <f>Q23</f>
        <v>-705132</v>
      </c>
      <c r="R90" s="2">
        <f>R23</f>
        <v>-533395</v>
      </c>
      <c r="S90" s="2">
        <f>S23</f>
        <v>234103</v>
      </c>
    </row>
    <row r="91" spans="1:29" x14ac:dyDescent="0.25">
      <c r="P91" s="31"/>
    </row>
    <row r="92" spans="1:29" x14ac:dyDescent="0.25">
      <c r="B92" s="2" t="s">
        <v>159</v>
      </c>
      <c r="G92" s="2">
        <v>36119</v>
      </c>
      <c r="K92" s="2">
        <v>-447508</v>
      </c>
      <c r="P92" s="31"/>
      <c r="Q92" s="2">
        <v>-703488</v>
      </c>
      <c r="R92" s="2">
        <v>-535977</v>
      </c>
      <c r="S92" s="2">
        <v>235239</v>
      </c>
    </row>
    <row r="93" spans="1:29" x14ac:dyDescent="0.25">
      <c r="B93" s="2" t="s">
        <v>160</v>
      </c>
      <c r="G93" s="2">
        <v>-931</v>
      </c>
      <c r="K93" s="2">
        <v>90728</v>
      </c>
      <c r="P93" s="31"/>
      <c r="Q93" s="2">
        <v>41864</v>
      </c>
      <c r="R93" s="2">
        <v>44397</v>
      </c>
      <c r="S93" s="2">
        <v>37724</v>
      </c>
    </row>
    <row r="94" spans="1:29" x14ac:dyDescent="0.25">
      <c r="B94" s="2" t="s">
        <v>161</v>
      </c>
      <c r="G94" s="2">
        <v>40692</v>
      </c>
      <c r="K94" s="2">
        <v>41428</v>
      </c>
      <c r="P94" s="31"/>
      <c r="Q94" s="2">
        <v>12735</v>
      </c>
      <c r="R94" s="2">
        <v>14495</v>
      </c>
      <c r="S94" s="2">
        <v>16167</v>
      </c>
    </row>
    <row r="95" spans="1:29" x14ac:dyDescent="0.25">
      <c r="B95" s="2" t="s">
        <v>162</v>
      </c>
      <c r="G95" s="2">
        <v>8744</v>
      </c>
      <c r="K95" s="2">
        <v>9978</v>
      </c>
      <c r="P95" s="31"/>
      <c r="Q95" s="2">
        <v>7552</v>
      </c>
      <c r="R95" s="2">
        <v>5156</v>
      </c>
      <c r="S95" s="2">
        <v>4951</v>
      </c>
    </row>
    <row r="96" spans="1:29" x14ac:dyDescent="0.25">
      <c r="B96" s="2" t="s">
        <v>163</v>
      </c>
      <c r="G96" s="2">
        <v>3952</v>
      </c>
      <c r="K96" s="2">
        <v>3934</v>
      </c>
      <c r="P96" s="31"/>
      <c r="Q96" s="2">
        <v>233018</v>
      </c>
      <c r="R96" s="2">
        <v>182514</v>
      </c>
      <c r="S96" s="2">
        <v>184300</v>
      </c>
    </row>
    <row r="97" spans="2:19" x14ac:dyDescent="0.25">
      <c r="B97" s="2" t="s">
        <v>164</v>
      </c>
      <c r="G97" s="2">
        <v>-12401</v>
      </c>
      <c r="K97" s="2">
        <v>-1912</v>
      </c>
      <c r="P97" s="31"/>
      <c r="Q97" s="2">
        <v>-10651</v>
      </c>
      <c r="R97" s="2">
        <v>-46176</v>
      </c>
      <c r="S97" s="2">
        <v>-40277</v>
      </c>
    </row>
    <row r="98" spans="2:19" x14ac:dyDescent="0.25">
      <c r="B98" s="2" t="s">
        <v>165</v>
      </c>
      <c r="G98" s="2">
        <v>10100</v>
      </c>
      <c r="K98" s="2">
        <v>0</v>
      </c>
      <c r="P98" s="31"/>
      <c r="Q98" s="2">
        <v>0</v>
      </c>
      <c r="R98" s="2">
        <v>0</v>
      </c>
      <c r="S98" s="2">
        <v>62747</v>
      </c>
    </row>
    <row r="99" spans="2:19" x14ac:dyDescent="0.25">
      <c r="B99" s="2" t="s">
        <v>115</v>
      </c>
      <c r="G99" s="2">
        <v>1260</v>
      </c>
      <c r="K99" s="2">
        <v>1692</v>
      </c>
      <c r="P99" s="31"/>
      <c r="Q99" s="2">
        <f>-6700+2575+125441-0+11778</f>
        <v>133094</v>
      </c>
      <c r="R99" s="2">
        <f>1200+30321+387329-102000-1163</f>
        <v>315687</v>
      </c>
      <c r="S99" s="2">
        <f>7838+2130</f>
        <v>9968</v>
      </c>
    </row>
    <row r="100" spans="2:19" x14ac:dyDescent="0.25">
      <c r="P100" s="31"/>
    </row>
    <row r="101" spans="2:19" x14ac:dyDescent="0.25">
      <c r="B101" s="19" t="s">
        <v>166</v>
      </c>
      <c r="G101" s="2">
        <v>21521</v>
      </c>
      <c r="K101" s="2">
        <v>-57383</v>
      </c>
      <c r="P101" s="31"/>
      <c r="Q101" s="2">
        <v>-61638</v>
      </c>
      <c r="R101" s="2">
        <v>-185699</v>
      </c>
      <c r="S101" s="2">
        <v>-201661</v>
      </c>
    </row>
    <row r="102" spans="2:19" x14ac:dyDescent="0.25">
      <c r="B102" s="19" t="s">
        <v>167</v>
      </c>
      <c r="G102" s="2">
        <v>-145046</v>
      </c>
      <c r="K102" s="2">
        <v>71136</v>
      </c>
      <c r="P102" s="31"/>
      <c r="Q102" s="2">
        <v>42557</v>
      </c>
      <c r="R102" s="2">
        <v>-12521</v>
      </c>
      <c r="S102" s="2">
        <v>-188588</v>
      </c>
    </row>
    <row r="103" spans="2:19" x14ac:dyDescent="0.25">
      <c r="B103" s="19" t="s">
        <v>168</v>
      </c>
      <c r="G103" s="2">
        <v>-60512</v>
      </c>
      <c r="K103" s="2">
        <v>-177359</v>
      </c>
      <c r="P103" s="31"/>
      <c r="Q103" s="2">
        <v>-50780</v>
      </c>
      <c r="R103" s="2">
        <v>-147714</v>
      </c>
      <c r="S103" s="2">
        <v>-395170</v>
      </c>
    </row>
    <row r="104" spans="2:19" x14ac:dyDescent="0.25">
      <c r="B104" s="19" t="s">
        <v>169</v>
      </c>
      <c r="G104" s="2">
        <v>-2315</v>
      </c>
      <c r="K104" s="2">
        <v>-15067</v>
      </c>
      <c r="P104" s="31"/>
      <c r="Q104" s="2">
        <v>-27937</v>
      </c>
      <c r="R104" s="2">
        <v>1808</v>
      </c>
      <c r="S104" s="2">
        <v>-9676</v>
      </c>
    </row>
    <row r="105" spans="2:19" x14ac:dyDescent="0.25">
      <c r="B105" s="19" t="s">
        <v>170</v>
      </c>
      <c r="G105" s="2">
        <v>-50416</v>
      </c>
      <c r="K105" s="2">
        <v>-85397</v>
      </c>
      <c r="P105" s="31"/>
      <c r="Q105" s="2">
        <v>-89244</v>
      </c>
      <c r="R105" s="2">
        <v>-86828</v>
      </c>
      <c r="S105" s="2">
        <v>-32160</v>
      </c>
    </row>
    <row r="106" spans="2:19" x14ac:dyDescent="0.25">
      <c r="B106" s="19" t="s">
        <v>171</v>
      </c>
      <c r="G106" s="2">
        <v>-92843</v>
      </c>
      <c r="K106" s="2">
        <v>-17707</v>
      </c>
      <c r="P106" s="31"/>
      <c r="Q106" s="2">
        <v>147572</v>
      </c>
      <c r="R106" s="2">
        <v>-50135</v>
      </c>
      <c r="S106" s="2">
        <v>110649</v>
      </c>
    </row>
    <row r="107" spans="2:19" x14ac:dyDescent="0.25">
      <c r="B107" s="23" t="s">
        <v>173</v>
      </c>
      <c r="C107" s="24"/>
      <c r="D107" s="24"/>
      <c r="E107" s="24"/>
      <c r="F107" s="24"/>
      <c r="G107" s="25">
        <f>SUM(G101:G106)</f>
        <v>-329611</v>
      </c>
      <c r="H107" s="24"/>
      <c r="I107" s="24"/>
      <c r="J107" s="24"/>
      <c r="K107" s="25">
        <f>SUM(K101:K106)</f>
        <v>-281777</v>
      </c>
      <c r="P107" s="31"/>
      <c r="Q107" s="23">
        <f>SUM(Q101:Q106)</f>
        <v>-39470</v>
      </c>
      <c r="R107" s="24">
        <f>SUM(R101:R106)</f>
        <v>-481089</v>
      </c>
      <c r="S107" s="25">
        <f>SUM(S101:S106)</f>
        <v>-716606</v>
      </c>
    </row>
    <row r="108" spans="2:19" x14ac:dyDescent="0.25">
      <c r="P108" s="31"/>
    </row>
    <row r="109" spans="2:19" x14ac:dyDescent="0.25">
      <c r="B109" s="2" t="s">
        <v>172</v>
      </c>
      <c r="G109" s="2">
        <f>SUM(G92:G107)-G107</f>
        <v>-242076</v>
      </c>
      <c r="K109" s="2">
        <f>SUM(K92:K107)-K107</f>
        <v>-583437</v>
      </c>
      <c r="P109" s="31"/>
      <c r="Q109" s="2">
        <f>SUM(Q92:Q107)-Q107</f>
        <v>-325346</v>
      </c>
      <c r="R109" s="2">
        <f>SUM(R92:R107)-R107</f>
        <v>-500993</v>
      </c>
      <c r="S109" s="2">
        <f>SUM(S92:S107)-S107</f>
        <v>-205787</v>
      </c>
    </row>
    <row r="110" spans="2:19" x14ac:dyDescent="0.25">
      <c r="P110" s="31"/>
    </row>
    <row r="111" spans="2:19" x14ac:dyDescent="0.25">
      <c r="B111" s="2" t="s">
        <v>174</v>
      </c>
      <c r="G111" s="2">
        <v>-32444</v>
      </c>
      <c r="K111" s="2">
        <v>-43651</v>
      </c>
      <c r="P111" s="31"/>
      <c r="Q111" s="2">
        <v>-30824</v>
      </c>
      <c r="R111" s="2">
        <v>-76106</v>
      </c>
      <c r="S111" s="2">
        <v>-136956</v>
      </c>
    </row>
    <row r="112" spans="2:19" x14ac:dyDescent="0.25">
      <c r="B112" s="2" t="s">
        <v>175</v>
      </c>
      <c r="G112" s="2">
        <v>-216450</v>
      </c>
      <c r="K112" s="2">
        <v>-44658</v>
      </c>
      <c r="P112" s="31"/>
      <c r="Q112" s="2">
        <v>-1936856</v>
      </c>
      <c r="R112" s="2">
        <v>-2044940</v>
      </c>
      <c r="S112" s="2">
        <v>-1099595</v>
      </c>
    </row>
    <row r="113" spans="2:19" x14ac:dyDescent="0.25">
      <c r="B113" s="2" t="s">
        <v>176</v>
      </c>
      <c r="G113" s="2">
        <v>477690</v>
      </c>
      <c r="K113" s="2">
        <v>40758</v>
      </c>
      <c r="P113" s="31"/>
      <c r="Q113" s="2">
        <v>923224</v>
      </c>
      <c r="R113" s="2">
        <v>1868482</v>
      </c>
      <c r="S113" s="2">
        <v>2002112</v>
      </c>
    </row>
    <row r="114" spans="2:19" x14ac:dyDescent="0.25">
      <c r="B114" s="2" t="s">
        <v>177</v>
      </c>
      <c r="G114" s="2">
        <v>-10000</v>
      </c>
      <c r="K114" s="2">
        <v>-2238</v>
      </c>
      <c r="P114" s="31"/>
      <c r="Q114" s="2">
        <v>-1427</v>
      </c>
      <c r="R114" s="2">
        <v>-11239</v>
      </c>
      <c r="S114" s="2">
        <v>-10000</v>
      </c>
    </row>
    <row r="115" spans="2:19" x14ac:dyDescent="0.25">
      <c r="B115" s="2" t="s">
        <v>178</v>
      </c>
      <c r="G115" s="2">
        <v>0</v>
      </c>
      <c r="K115" s="2">
        <v>-241388</v>
      </c>
      <c r="P115" s="31"/>
      <c r="Q115" s="2">
        <v>-1000</v>
      </c>
      <c r="R115" s="2">
        <f>-4000+102000</f>
        <v>98000</v>
      </c>
      <c r="S115" s="2">
        <v>0</v>
      </c>
    </row>
    <row r="116" spans="2:19" x14ac:dyDescent="0.25">
      <c r="P116" s="31"/>
    </row>
    <row r="117" spans="2:19" x14ac:dyDescent="0.25">
      <c r="B117" s="2" t="s">
        <v>180</v>
      </c>
      <c r="G117" s="2">
        <f>SUM(G111:G115)</f>
        <v>218796</v>
      </c>
      <c r="K117" s="2">
        <f>SUM(K111:K115)</f>
        <v>-291177</v>
      </c>
      <c r="P117" s="31"/>
      <c r="Q117" s="2">
        <f>SUM(Q111:Q115)</f>
        <v>-1046883</v>
      </c>
      <c r="R117" s="2">
        <f>SUM(R111:R115)</f>
        <v>-165803</v>
      </c>
      <c r="S117" s="2">
        <f>SUM(S111:S115)</f>
        <v>755561</v>
      </c>
    </row>
    <row r="118" spans="2:19" x14ac:dyDescent="0.25">
      <c r="P118" s="31"/>
    </row>
    <row r="119" spans="2:19" x14ac:dyDescent="0.25">
      <c r="B119" s="2" t="s">
        <v>179</v>
      </c>
      <c r="G119" s="2">
        <f>+G109-G117</f>
        <v>-460872</v>
      </c>
      <c r="K119" s="2">
        <f>+K109-K117</f>
        <v>-292260</v>
      </c>
      <c r="P119" s="31"/>
      <c r="Q119" s="2">
        <f>Q109-Q117</f>
        <v>721537</v>
      </c>
      <c r="R119" s="2">
        <f>+R109-R117</f>
        <v>-335190</v>
      </c>
      <c r="S119" s="2">
        <f>+S109-S117</f>
        <v>-961348</v>
      </c>
    </row>
    <row r="120" spans="2:19" x14ac:dyDescent="0.25">
      <c r="P120" s="31"/>
    </row>
    <row r="121" spans="2:19" x14ac:dyDescent="0.25">
      <c r="B121" s="26" t="s">
        <v>182</v>
      </c>
      <c r="G121" s="2">
        <v>22140</v>
      </c>
      <c r="K121" s="2">
        <v>15681</v>
      </c>
      <c r="P121" s="31"/>
      <c r="Q121" s="2">
        <v>26317</v>
      </c>
      <c r="R121" s="2">
        <v>80645</v>
      </c>
      <c r="S121" s="2">
        <v>45349</v>
      </c>
    </row>
    <row r="122" spans="2:19" x14ac:dyDescent="0.25">
      <c r="B122" s="26" t="s">
        <v>181</v>
      </c>
      <c r="G122" s="2">
        <v>0</v>
      </c>
      <c r="K122" s="2">
        <v>-3210</v>
      </c>
      <c r="P122" s="31"/>
      <c r="Q122" s="2">
        <f>30043-0-0+1127400-127305-716-247868-550000-25364</f>
        <v>206190</v>
      </c>
      <c r="R122" s="2">
        <f>51246-6877</f>
        <v>44369</v>
      </c>
      <c r="S122" s="2">
        <f>79525-68</f>
        <v>79457</v>
      </c>
    </row>
    <row r="123" spans="2:19" x14ac:dyDescent="0.25">
      <c r="B123" s="27"/>
      <c r="P123" s="31"/>
    </row>
    <row r="124" spans="2:19" x14ac:dyDescent="0.25">
      <c r="B124" s="2" t="s">
        <v>183</v>
      </c>
      <c r="G124" s="2">
        <f>SUM(G121:G122)</f>
        <v>22140</v>
      </c>
      <c r="K124" s="2">
        <f>SUM(K121:K122)</f>
        <v>12471</v>
      </c>
      <c r="P124" s="31"/>
      <c r="Q124" s="2">
        <f>SUM(Q121:Q122)</f>
        <v>232507</v>
      </c>
      <c r="R124" s="2">
        <f>SUM(R121:R122)</f>
        <v>125014</v>
      </c>
      <c r="S124" s="2">
        <f>SUM(S121:S122)</f>
        <v>124806</v>
      </c>
    </row>
    <row r="126" spans="2:19" x14ac:dyDescent="0.25">
      <c r="B126" s="2" t="s">
        <v>193</v>
      </c>
      <c r="C126" s="2">
        <f>S47/S109</f>
        <v>-5.3599595698464917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122A5-57DC-46E0-B0AF-3944CBAFB38D}">
  <dimension ref="A3:Q17"/>
  <sheetViews>
    <sheetView showGridLines="0" workbookViewId="0">
      <selection activeCell="B16" sqref="B16"/>
    </sheetView>
  </sheetViews>
  <sheetFormatPr defaultRowHeight="13.8" x14ac:dyDescent="0.25"/>
  <cols>
    <col min="5" max="5" width="11.6640625" bestFit="1" customWidth="1"/>
  </cols>
  <sheetData>
    <row r="3" spans="1:17" x14ac:dyDescent="0.25">
      <c r="A3" t="s">
        <v>194</v>
      </c>
    </row>
    <row r="4" spans="1:17" x14ac:dyDescent="0.25">
      <c r="E4" t="s">
        <v>59</v>
      </c>
      <c r="N4" t="s">
        <v>200</v>
      </c>
    </row>
    <row r="6" spans="1:17" x14ac:dyDescent="0.25">
      <c r="N6" t="s">
        <v>202</v>
      </c>
    </row>
    <row r="7" spans="1:17" x14ac:dyDescent="0.25">
      <c r="O7">
        <v>2025</v>
      </c>
    </row>
    <row r="8" spans="1:17" x14ac:dyDescent="0.25">
      <c r="O8" t="s">
        <v>203</v>
      </c>
      <c r="P8" t="s">
        <v>204</v>
      </c>
    </row>
    <row r="9" spans="1:17" x14ac:dyDescent="0.25">
      <c r="B9" t="s">
        <v>207</v>
      </c>
      <c r="N9" t="s">
        <v>197</v>
      </c>
      <c r="O9">
        <v>15000</v>
      </c>
    </row>
    <row r="10" spans="1:17" x14ac:dyDescent="0.25">
      <c r="B10" t="s">
        <v>196</v>
      </c>
      <c r="N10" t="s">
        <v>198</v>
      </c>
      <c r="O10">
        <v>5000</v>
      </c>
    </row>
    <row r="11" spans="1:17" x14ac:dyDescent="0.25">
      <c r="B11" t="s">
        <v>195</v>
      </c>
      <c r="N11" t="s">
        <v>199</v>
      </c>
      <c r="O11">
        <v>1000</v>
      </c>
      <c r="Q11" t="s">
        <v>205</v>
      </c>
    </row>
    <row r="12" spans="1:17" x14ac:dyDescent="0.25">
      <c r="Q12">
        <f>20*1000</f>
        <v>20000</v>
      </c>
    </row>
    <row r="13" spans="1:17" x14ac:dyDescent="0.25">
      <c r="N13" t="s">
        <v>201</v>
      </c>
    </row>
    <row r="14" spans="1:17" x14ac:dyDescent="0.25">
      <c r="K14" t="s">
        <v>206</v>
      </c>
    </row>
    <row r="15" spans="1:17" x14ac:dyDescent="0.25">
      <c r="B15" t="s">
        <v>207</v>
      </c>
    </row>
    <row r="16" spans="1:17" x14ac:dyDescent="0.25">
      <c r="N16" t="s">
        <v>56</v>
      </c>
    </row>
    <row r="17" spans="14:14" x14ac:dyDescent="0.25">
      <c r="N1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ELEVIDYS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Eray Günel</dc:creator>
  <cp:lastModifiedBy>Eray Günel</cp:lastModifiedBy>
  <dcterms:created xsi:type="dcterms:W3CDTF">2025-07-25T17:10:52Z</dcterms:created>
  <dcterms:modified xsi:type="dcterms:W3CDTF">2025-08-08T14:00:40Z</dcterms:modified>
</cp:coreProperties>
</file>