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tebook\Desktop\"/>
    </mc:Choice>
  </mc:AlternateContent>
  <xr:revisionPtr revIDLastSave="0" documentId="13_ncr:1_{9773793E-A540-473A-BA37-130861F0F881}" xr6:coauthVersionLast="47" xr6:coauthVersionMax="47" xr10:uidLastSave="{00000000-0000-0000-0000-000000000000}"/>
  <bookViews>
    <workbookView xWindow="-108" yWindow="-108" windowWidth="23256" windowHeight="12456" activeTab="1" xr2:uid="{552CFBDA-2E47-4515-814D-08DAC2627436}"/>
  </bookViews>
  <sheets>
    <sheet name="Main" sheetId="1" r:id="rId1"/>
    <sheet name="Module" sheetId="2" r:id="rId2"/>
    <sheet name="LNZ100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AD48" i="2"/>
  <c r="AD47" i="2"/>
  <c r="AC47" i="2"/>
  <c r="AC48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F27" i="2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E27" i="2"/>
  <c r="AE41" i="2"/>
  <c r="AD41" i="2"/>
  <c r="AD53" i="2"/>
  <c r="AB41" i="2" l="1"/>
  <c r="AC41" i="2" s="1"/>
  <c r="AA41" i="2"/>
  <c r="Z41" i="2"/>
  <c r="AD37" i="2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Q26" i="2"/>
  <c r="AL26" i="2"/>
  <c r="AK26" i="2"/>
  <c r="AI26" i="2"/>
  <c r="AF26" i="2"/>
  <c r="AE26" i="2"/>
  <c r="AC36" i="2"/>
  <c r="AD36" i="2" s="1"/>
  <c r="AE30" i="2"/>
  <c r="AE33" i="2" s="1"/>
  <c r="AE34" i="2" s="1"/>
  <c r="AB39" i="2"/>
  <c r="AC37" i="2"/>
  <c r="AC31" i="2"/>
  <c r="AD24" i="2"/>
  <c r="AD26" i="2" s="1"/>
  <c r="AD30" i="2" s="1"/>
  <c r="AD33" i="2" s="1"/>
  <c r="AQ24" i="2"/>
  <c r="AN24" i="2"/>
  <c r="AN26" i="2" s="1"/>
  <c r="AG23" i="2"/>
  <c r="AG24" i="2" s="1"/>
  <c r="AG26" i="2" s="1"/>
  <c r="AF23" i="2"/>
  <c r="AF24" i="2" s="1"/>
  <c r="AE23" i="2"/>
  <c r="AE24" i="2" s="1"/>
  <c r="AD23" i="2"/>
  <c r="AQ23" i="2"/>
  <c r="AP23" i="2"/>
  <c r="AP24" i="2" s="1"/>
  <c r="AP26" i="2" s="1"/>
  <c r="AO23" i="2"/>
  <c r="AO24" i="2" s="1"/>
  <c r="AO26" i="2" s="1"/>
  <c r="AN23" i="2"/>
  <c r="AM23" i="2"/>
  <c r="AM24" i="2" s="1"/>
  <c r="AM26" i="2" s="1"/>
  <c r="AL23" i="2"/>
  <c r="AL24" i="2" s="1"/>
  <c r="AK23" i="2"/>
  <c r="AK24" i="2" s="1"/>
  <c r="AJ23" i="2"/>
  <c r="AJ24" i="2" s="1"/>
  <c r="AJ26" i="2" s="1"/>
  <c r="AI23" i="2"/>
  <c r="AI24" i="2" s="1"/>
  <c r="AH23" i="2"/>
  <c r="AH24" i="2" s="1"/>
  <c r="AH26" i="2" s="1"/>
  <c r="W33" i="2"/>
  <c r="W35" i="2" s="1"/>
  <c r="AB33" i="2"/>
  <c r="AB35" i="2" s="1"/>
  <c r="U33" i="2"/>
  <c r="U35" i="2" s="1"/>
  <c r="AC30" i="2"/>
  <c r="Z37" i="2"/>
  <c r="V37" i="2"/>
  <c r="W37" i="2" s="1"/>
  <c r="V36" i="2"/>
  <c r="W36" i="2" s="1"/>
  <c r="U41" i="2"/>
  <c r="V41" i="2" s="1"/>
  <c r="W41" i="2" s="1"/>
  <c r="U39" i="2"/>
  <c r="C33" i="2"/>
  <c r="V33" i="2"/>
  <c r="V35" i="2" s="1"/>
  <c r="AA39" i="2"/>
  <c r="Z33" i="2"/>
  <c r="Z35" i="2" s="1"/>
  <c r="Z39" i="2"/>
  <c r="Q47" i="2"/>
  <c r="N39" i="2"/>
  <c r="L39" i="2"/>
  <c r="L33" i="2"/>
  <c r="L35" i="2" s="1"/>
  <c r="L40" i="2" s="1"/>
  <c r="L42" i="2" s="1"/>
  <c r="M41" i="2"/>
  <c r="M39" i="2"/>
  <c r="M33" i="2"/>
  <c r="M35" i="2" s="1"/>
  <c r="M40" i="2" s="1"/>
  <c r="N41" i="2"/>
  <c r="N33" i="2"/>
  <c r="N35" i="2" s="1"/>
  <c r="R41" i="2"/>
  <c r="R39" i="2"/>
  <c r="R33" i="2"/>
  <c r="R35" i="2" s="1"/>
  <c r="R40" i="2" s="1"/>
  <c r="AA33" i="2"/>
  <c r="AA35" i="2" s="1"/>
  <c r="P41" i="2"/>
  <c r="P39" i="2"/>
  <c r="P33" i="2"/>
  <c r="P35" i="2" s="1"/>
  <c r="T41" i="2"/>
  <c r="T39" i="2"/>
  <c r="T33" i="2"/>
  <c r="T35" i="2" s="1"/>
  <c r="Q41" i="2"/>
  <c r="Q39" i="2"/>
  <c r="Q33" i="2"/>
  <c r="Q35" i="2" s="1"/>
  <c r="P9" i="1"/>
  <c r="P7" i="1"/>
  <c r="AE36" i="2" l="1"/>
  <c r="AD39" i="2"/>
  <c r="AD34" i="2"/>
  <c r="AD35" i="2" s="1"/>
  <c r="AD40" i="2" s="1"/>
  <c r="AD38" i="2"/>
  <c r="AE35" i="2"/>
  <c r="AE38" i="2"/>
  <c r="Q40" i="2"/>
  <c r="Q42" i="2" s="1"/>
  <c r="Q44" i="2" s="1"/>
  <c r="Q48" i="2" s="1"/>
  <c r="AC33" i="2"/>
  <c r="AC35" i="2" s="1"/>
  <c r="AG30" i="2"/>
  <c r="AG33" i="2" s="1"/>
  <c r="AF30" i="2"/>
  <c r="AF33" i="2" s="1"/>
  <c r="P40" i="2"/>
  <c r="P42" i="2" s="1"/>
  <c r="P44" i="2" s="1"/>
  <c r="P48" i="2" s="1"/>
  <c r="N40" i="2"/>
  <c r="N42" i="2" s="1"/>
  <c r="AB40" i="2"/>
  <c r="AB42" i="2" s="1"/>
  <c r="Z40" i="2"/>
  <c r="Z42" i="2" s="1"/>
  <c r="Z44" i="2" s="1"/>
  <c r="Z48" i="2" s="1"/>
  <c r="M42" i="2"/>
  <c r="AA40" i="2"/>
  <c r="AA42" i="2" s="1"/>
  <c r="AA44" i="2" s="1"/>
  <c r="U40" i="2"/>
  <c r="U42" i="2" s="1"/>
  <c r="U44" i="2" s="1"/>
  <c r="U48" i="2" s="1"/>
  <c r="W38" i="2"/>
  <c r="W39" i="2" s="1"/>
  <c r="W40" i="2" s="1"/>
  <c r="W42" i="2" s="1"/>
  <c r="W44" i="2" s="1"/>
  <c r="V38" i="2"/>
  <c r="AC38" i="2" s="1"/>
  <c r="AC39" i="2" s="1"/>
  <c r="T40" i="2"/>
  <c r="T42" i="2" s="1"/>
  <c r="T44" i="2" s="1"/>
  <c r="T48" i="2" s="1"/>
  <c r="L44" i="2"/>
  <c r="L48" i="2" s="1"/>
  <c r="M44" i="2"/>
  <c r="M48" i="2" s="1"/>
  <c r="R42" i="2"/>
  <c r="R44" i="2" s="1"/>
  <c r="R48" i="2" s="1"/>
  <c r="AB44" i="2" l="1"/>
  <c r="AB48" i="2" s="1"/>
  <c r="AF34" i="2"/>
  <c r="AF38" i="2"/>
  <c r="AF35" i="2"/>
  <c r="AG34" i="2"/>
  <c r="AG35" i="2" s="1"/>
  <c r="AG38" i="2"/>
  <c r="AC40" i="2"/>
  <c r="AC42" i="2" s="1"/>
  <c r="AC44" i="2" s="1"/>
  <c r="AF36" i="2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E39" i="2"/>
  <c r="AE40" i="2" s="1"/>
  <c r="AE42" i="2" s="1"/>
  <c r="AE43" i="2" s="1"/>
  <c r="AD42" i="2"/>
  <c r="AD43" i="2" s="1"/>
  <c r="AH30" i="2"/>
  <c r="AH33" i="2" s="1"/>
  <c r="AF39" i="2"/>
  <c r="V39" i="2"/>
  <c r="V40" i="2" s="1"/>
  <c r="V42" i="2" s="1"/>
  <c r="V44" i="2" s="1"/>
  <c r="N44" i="2"/>
  <c r="N48" i="2" s="1"/>
  <c r="AE44" i="2" l="1"/>
  <c r="AE45" i="2" s="1"/>
  <c r="AF40" i="2"/>
  <c r="AH34" i="2"/>
  <c r="AH38" i="2"/>
  <c r="AH39" i="2" s="1"/>
  <c r="AD44" i="2"/>
  <c r="AD45" i="2" s="1"/>
  <c r="AG39" i="2"/>
  <c r="AG40" i="2" s="1"/>
  <c r="AI30" i="2"/>
  <c r="AI33" i="2" s="1"/>
  <c r="AH35" i="2"/>
  <c r="AA48" i="2"/>
  <c r="AE53" i="2" l="1"/>
  <c r="AF53" i="2" s="1"/>
  <c r="AH40" i="2"/>
  <c r="AI38" i="2"/>
  <c r="AI39" i="2" s="1"/>
  <c r="AI34" i="2"/>
  <c r="AI35" i="2" s="1"/>
  <c r="AJ30" i="2"/>
  <c r="AJ33" i="2" s="1"/>
  <c r="AF41" i="2" l="1"/>
  <c r="AF42" i="2" s="1"/>
  <c r="AF43" i="2" s="1"/>
  <c r="AF44" i="2" s="1"/>
  <c r="AF45" i="2" s="1"/>
  <c r="AG53" i="2" s="1"/>
  <c r="AG41" i="2" s="1"/>
  <c r="AI40" i="2"/>
  <c r="AJ38" i="2"/>
  <c r="AJ34" i="2"/>
  <c r="AJ35" i="2" s="1"/>
  <c r="AK30" i="2"/>
  <c r="AK33" i="2" s="1"/>
  <c r="AK34" i="2" s="1"/>
  <c r="AG42" i="2" l="1"/>
  <c r="AG43" i="2" s="1"/>
  <c r="AG44" i="2" s="1"/>
  <c r="AG45" i="2" s="1"/>
  <c r="AH53" i="2" s="1"/>
  <c r="AH41" i="2" s="1"/>
  <c r="AJ39" i="2"/>
  <c r="AL30" i="2"/>
  <c r="AL33" i="2" s="1"/>
  <c r="AL34" i="2" s="1"/>
  <c r="AK35" i="2"/>
  <c r="AK38" i="2"/>
  <c r="AK39" i="2" s="1"/>
  <c r="AK40" i="2" l="1"/>
  <c r="AH42" i="2"/>
  <c r="AH43" i="2" s="1"/>
  <c r="AH44" i="2" s="1"/>
  <c r="AH45" i="2" s="1"/>
  <c r="AI53" i="2" s="1"/>
  <c r="AI41" i="2" s="1"/>
  <c r="AJ40" i="2"/>
  <c r="AL35" i="2"/>
  <c r="AL38" i="2"/>
  <c r="AL39" i="2" s="1"/>
  <c r="AM30" i="2"/>
  <c r="AM33" i="2" s="1"/>
  <c r="AM34" i="2" s="1"/>
  <c r="AI42" i="2" l="1"/>
  <c r="AI43" i="2" s="1"/>
  <c r="AI44" i="2" s="1"/>
  <c r="AI45" i="2" s="1"/>
  <c r="AJ53" i="2" s="1"/>
  <c r="AL40" i="2"/>
  <c r="AM38" i="2"/>
  <c r="AM39" i="2" s="1"/>
  <c r="AM35" i="2"/>
  <c r="AN30" i="2"/>
  <c r="AN33" i="2" s="1"/>
  <c r="AN34" i="2" s="1"/>
  <c r="AJ41" i="2" l="1"/>
  <c r="AJ42" i="2" s="1"/>
  <c r="AJ43" i="2" s="1"/>
  <c r="AJ44" i="2" s="1"/>
  <c r="AJ45" i="2" s="1"/>
  <c r="AK53" i="2" s="1"/>
  <c r="AK41" i="2" s="1"/>
  <c r="AM40" i="2"/>
  <c r="AN35" i="2"/>
  <c r="AN38" i="2"/>
  <c r="AN39" i="2" s="1"/>
  <c r="AO30" i="2"/>
  <c r="AO33" i="2" s="1"/>
  <c r="AO34" i="2" s="1"/>
  <c r="AK42" i="2" l="1"/>
  <c r="AK43" i="2" s="1"/>
  <c r="AK44" i="2" s="1"/>
  <c r="AK45" i="2" s="1"/>
  <c r="AL53" i="2" s="1"/>
  <c r="AL41" i="2" s="1"/>
  <c r="AN40" i="2"/>
  <c r="AQ30" i="2"/>
  <c r="AQ33" i="2" s="1"/>
  <c r="AQ34" i="2" s="1"/>
  <c r="AP30" i="2"/>
  <c r="AP33" i="2" s="1"/>
  <c r="AP34" i="2" s="1"/>
  <c r="AO38" i="2"/>
  <c r="AO39" i="2" s="1"/>
  <c r="AO35" i="2"/>
  <c r="AL42" i="2" l="1"/>
  <c r="AL43" i="2" s="1"/>
  <c r="AL44" i="2" s="1"/>
  <c r="AL45" i="2" s="1"/>
  <c r="AM53" i="2" s="1"/>
  <c r="AM41" i="2" s="1"/>
  <c r="AO40" i="2"/>
  <c r="AP38" i="2"/>
  <c r="AP39" i="2" s="1"/>
  <c r="AP35" i="2"/>
  <c r="AQ38" i="2"/>
  <c r="AQ39" i="2" s="1"/>
  <c r="AQ35" i="2"/>
  <c r="AM42" i="2" l="1"/>
  <c r="AM43" i="2" s="1"/>
  <c r="AM44" i="2" s="1"/>
  <c r="AM45" i="2" s="1"/>
  <c r="AN53" i="2" s="1"/>
  <c r="AN41" i="2" s="1"/>
  <c r="AP40" i="2"/>
  <c r="AQ40" i="2"/>
  <c r="AN42" i="2" l="1"/>
  <c r="AN43" i="2" s="1"/>
  <c r="AN44" i="2" s="1"/>
  <c r="AN45" i="2" s="1"/>
  <c r="AO53" i="2" s="1"/>
  <c r="AO41" i="2" s="1"/>
  <c r="AO42" i="2" l="1"/>
  <c r="AO43" i="2" s="1"/>
  <c r="AO44" i="2" s="1"/>
  <c r="AO45" i="2" s="1"/>
  <c r="AP53" i="2" s="1"/>
  <c r="AP41" i="2" s="1"/>
  <c r="AP42" i="2" l="1"/>
  <c r="AP43" i="2" s="1"/>
  <c r="AP44" i="2" s="1"/>
  <c r="AP45" i="2" s="1"/>
  <c r="AQ53" i="2" s="1"/>
  <c r="AQ41" i="2" s="1"/>
  <c r="AQ42" i="2" l="1"/>
  <c r="AQ43" i="2" s="1"/>
  <c r="AQ44" i="2" s="1"/>
  <c r="AQ45" i="2" s="1"/>
  <c r="C54" i="2" s="1"/>
  <c r="C56" i="2" s="1"/>
</calcChain>
</file>

<file path=xl/sharedStrings.xml><?xml version="1.0" encoding="utf-8"?>
<sst xmlns="http://schemas.openxmlformats.org/spreadsheetml/2006/main" count="169" uniqueCount="146">
  <si>
    <t>LENZ</t>
  </si>
  <si>
    <t>"First in class acecledine based eye drops"</t>
  </si>
  <si>
    <t>Main</t>
  </si>
  <si>
    <t>VIZZ</t>
  </si>
  <si>
    <t>presybyopia</t>
  </si>
  <si>
    <t>Price</t>
  </si>
  <si>
    <t>Shares</t>
  </si>
  <si>
    <t>MC</t>
  </si>
  <si>
    <t>Cash</t>
  </si>
  <si>
    <t>Debt</t>
  </si>
  <si>
    <t>EV</t>
  </si>
  <si>
    <t>LNZ</t>
  </si>
  <si>
    <t>Income Statement</t>
  </si>
  <si>
    <t>Qlosi</t>
  </si>
  <si>
    <t>Vuity</t>
  </si>
  <si>
    <t>Q121</t>
  </si>
  <si>
    <t>Q221</t>
  </si>
  <si>
    <t>Q321</t>
  </si>
  <si>
    <t>Q421</t>
  </si>
  <si>
    <t>Q125</t>
  </si>
  <si>
    <t>Q122</t>
  </si>
  <si>
    <t>Q222</t>
  </si>
  <si>
    <t>Q322</t>
  </si>
  <si>
    <t>Q422</t>
  </si>
  <si>
    <t>Q123</t>
  </si>
  <si>
    <t>Q223</t>
  </si>
  <si>
    <t>Q423</t>
  </si>
  <si>
    <t>Q124</t>
  </si>
  <si>
    <t>Q224</t>
  </si>
  <si>
    <t>Q324</t>
  </si>
  <si>
    <t>Q424</t>
  </si>
  <si>
    <t>Q225E</t>
  </si>
  <si>
    <t>Q325E</t>
  </si>
  <si>
    <t>Q425E</t>
  </si>
  <si>
    <t>Brand</t>
  </si>
  <si>
    <t>Generic</t>
  </si>
  <si>
    <t>MoA</t>
  </si>
  <si>
    <t>IP</t>
  </si>
  <si>
    <t>Comps</t>
  </si>
  <si>
    <t xml:space="preserve">Nyxol </t>
  </si>
  <si>
    <t>LNZ100</t>
  </si>
  <si>
    <t xml:space="preserve">In develpoment ; </t>
  </si>
  <si>
    <t>Qlosi, Orasis Pharmacueticals, pilocarpine based^0.4%</t>
  </si>
  <si>
    <t>vuity 2021 fda approval, pilocarpine based^1.25%</t>
  </si>
  <si>
    <t>acecledine^1.44%</t>
  </si>
  <si>
    <t>Brimochol PF, brimonidine tartrate, α2 agonist, June 2025 Phase III approval, Tenpoint Therapeutics, Q126 commercial</t>
  </si>
  <si>
    <t>Nyxol , phentolamine ^0.75%, + "low dose pilocarpine", staeg: Phase III, Ocuphire Pharma</t>
  </si>
  <si>
    <t>Brimochol PF</t>
  </si>
  <si>
    <t>"VIZZ"</t>
  </si>
  <si>
    <t>PIC</t>
  </si>
  <si>
    <t>AD</t>
  </si>
  <si>
    <t>Revenue</t>
  </si>
  <si>
    <t>License</t>
  </si>
  <si>
    <t>Vuity y/y</t>
  </si>
  <si>
    <t>Qlosi y/y</t>
  </si>
  <si>
    <t>Brimochol PF y/y</t>
  </si>
  <si>
    <t>Nyxol y/y</t>
  </si>
  <si>
    <t>Cost of Goods Sold</t>
  </si>
  <si>
    <t>SBC</t>
  </si>
  <si>
    <t>OpeX</t>
  </si>
  <si>
    <t>OpInc</t>
  </si>
  <si>
    <t>Gross Profit</t>
  </si>
  <si>
    <t>Other</t>
  </si>
  <si>
    <t>Tax</t>
  </si>
  <si>
    <t>Net Income</t>
  </si>
  <si>
    <t xml:space="preserve">Research &amp; Development </t>
  </si>
  <si>
    <t xml:space="preserve">Selling, General Admin </t>
  </si>
  <si>
    <t>Pretax Income</t>
  </si>
  <si>
    <t>"acecledine vs pilocarpine vs phentolamine vs brimonidine tartrate"</t>
  </si>
  <si>
    <t>2039 Expiry ?</t>
  </si>
  <si>
    <t>Indication</t>
  </si>
  <si>
    <t xml:space="preserve">Presybyopia, (1.8b global, US 128m patients) </t>
  </si>
  <si>
    <t xml:space="preserve">worse on set better duration </t>
  </si>
  <si>
    <t>better safety profile overall,</t>
  </si>
  <si>
    <t xml:space="preserve">might attract "pilocarpine" non-active users, </t>
  </si>
  <si>
    <t>Q225</t>
  </si>
  <si>
    <t>Net Cash</t>
  </si>
  <si>
    <t>EPS</t>
  </si>
  <si>
    <t>Maturity</t>
  </si>
  <si>
    <t>NPV</t>
  </si>
  <si>
    <t>ROIC</t>
  </si>
  <si>
    <t>Share</t>
  </si>
  <si>
    <t>Q323</t>
  </si>
  <si>
    <t xml:space="preserve">Fundamental </t>
  </si>
  <si>
    <t>No insurance coverage, only coupons</t>
  </si>
  <si>
    <t>PAP's</t>
  </si>
  <si>
    <t>1.25% pilocarpine VUITY, opthalmic solution for 2.5ml $83.27</t>
  </si>
  <si>
    <t>2.5ml $33.31 per unit, $83.27 price</t>
  </si>
  <si>
    <t>5ml $24.48 per unit, $122.39</t>
  </si>
  <si>
    <t>VUITY</t>
  </si>
  <si>
    <t>VUITY:</t>
  </si>
  <si>
    <t>VUITY, Nov2021 approval, 10 mos later, cut sales and marketing of the product</t>
  </si>
  <si>
    <t xml:space="preserve">$770m impairment </t>
  </si>
  <si>
    <t>combination can make Brimochol PF longer lasting drug</t>
  </si>
  <si>
    <t>Brimochol PF, reported a 8 hours in its p3 program</t>
  </si>
  <si>
    <t xml:space="preserve">Vuity2 doses a day, meanwhile Brimochol PF can be one ? potentially </t>
  </si>
  <si>
    <t>Q126 launch of Brimochol PF</t>
  </si>
  <si>
    <t>CSF-1</t>
  </si>
  <si>
    <t>Micro-Line</t>
  </si>
  <si>
    <t>Brimochol</t>
  </si>
  <si>
    <t>LNZ100-101</t>
  </si>
  <si>
    <t xml:space="preserve">Nyxol-low dose pilocarpine </t>
  </si>
  <si>
    <t>Allergan</t>
  </si>
  <si>
    <t>Orasis</t>
  </si>
  <si>
    <t>Eyenovia</t>
  </si>
  <si>
    <t>Visus</t>
  </si>
  <si>
    <t>Lenz</t>
  </si>
  <si>
    <t>Ocuphire</t>
  </si>
  <si>
    <t>pilocarpine 1.25%</t>
  </si>
  <si>
    <t>sub-glacuoma dose pilocarpine with prop vehicle</t>
  </si>
  <si>
    <t>pilocarpine 1%,2%</t>
  </si>
  <si>
    <t>carbachol+brimonidine</t>
  </si>
  <si>
    <t>acecledine 1.75%, acecledine 1.75%+brimonidine</t>
  </si>
  <si>
    <t xml:space="preserve">phentolomine opthalmic solution 0.75%+ low dose 0.4% pilocarpine </t>
  </si>
  <si>
    <t>John Hovanesian, MD</t>
  </si>
  <si>
    <t>an ophthalmologist at Harvard Eye Associates in Laguna Hills, California,</t>
  </si>
  <si>
    <t xml:space="preserve">why "VUITY" failed </t>
  </si>
  <si>
    <t>_there are side effects that patients are less prep for than most of us expected</t>
  </si>
  <si>
    <t xml:space="preserve">esp. beginning of the dosing regimen its not unusual to have headache or pain </t>
  </si>
  <si>
    <t>"Phase III VIRGO trial"</t>
  </si>
  <si>
    <t>n=114</t>
  </si>
  <si>
    <t>eye irritation, headache</t>
  </si>
  <si>
    <t>_doctors prescribing  these drops often may not take always their time to prepare their patients</t>
  </si>
  <si>
    <t>Gil Kliman, MD</t>
  </si>
  <si>
    <t>an opthalmologist and managing partner at InterWest</t>
  </si>
  <si>
    <t>2021, presentation eyecelerator poll,from industry and psyhicians 40.6% of participants n=105</t>
  </si>
  <si>
    <t>first FDA approval of pharmacological therapy for presbyopia was the greatest advancement</t>
  </si>
  <si>
    <t xml:space="preserve">developing the market with VUITY ? </t>
  </si>
  <si>
    <t>had the opposite effect</t>
  </si>
  <si>
    <t>reason" retinal tears and retinal detachment ?</t>
  </si>
  <si>
    <t xml:space="preserve">Legally, someone taking VUITY who has detachment could blame drug for it </t>
  </si>
  <si>
    <t>if they werent properly warned about that possibility there could be liability in the doctor</t>
  </si>
  <si>
    <t>these few cases led to doctors saying, "‘I don’t want to prescribe a drop that could land me in trouble because it’s associated with retinal detachment."</t>
  </si>
  <si>
    <t>Cataract and presbyopia are, sort of, part of the same process of maturing of the lens of the eye.”</t>
  </si>
  <si>
    <t>"promising" for LNZ100 Kliman says</t>
  </si>
  <si>
    <t>lot of entrants '</t>
  </si>
  <si>
    <t>Orasis, Qlosi Series D funding $78m</t>
  </si>
  <si>
    <t xml:space="preserve">co-led by Arboretum Ventures and JJ </t>
  </si>
  <si>
    <t>$68m equity</t>
  </si>
  <si>
    <t>https://www.aaojournal.org/action/showPdf?pii=S0161-6420%2817%2933797-1</t>
  </si>
  <si>
    <t>Prevelance :</t>
  </si>
  <si>
    <t>US Prevelance</t>
  </si>
  <si>
    <t>Eligible</t>
  </si>
  <si>
    <t>Attractable</t>
  </si>
  <si>
    <t>AUU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</si>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</sst>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1" formatCode="_(* #,##0_);_(* \(#,##0\);_(* &quot;-&quot;_);_(@_)"/>
  </numFmts>
  <fonts count="13"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u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sz val="11"/>
      <color theme="1"/>
      <name val="Calibri "/>
    </font>
    <font>
      <b/>
      <sz val="11"/>
      <color theme="1"/>
      <name val="Calibri "/>
    </font>
    <font>
      <i/>
      <sz val="11"/>
      <color theme="1"/>
      <name val="Calibri "/>
    </font>
    <font>
      <u val="singleAccounting"/>
      <sz val="11"/>
      <color theme="1"/>
      <name val="Calibri "/>
    </font>
    <font>
      <b/>
      <i/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41" fontId="2" fillId="0" borderId="0" xfId="1" applyNumberFormat="1" applyFont="1"/>
    <xf numFmtId="41" fontId="3" fillId="0" borderId="0" xfId="0" applyNumberFormat="1" applyFont="1"/>
    <xf numFmtId="14" fontId="3" fillId="0" borderId="0" xfId="0" applyNumberFormat="1" applyFont="1"/>
    <xf numFmtId="41" fontId="3" fillId="0" borderId="1" xfId="0" applyNumberFormat="1" applyFont="1" applyBorder="1"/>
    <xf numFmtId="41" fontId="4" fillId="0" borderId="0" xfId="0" applyNumberFormat="1" applyFont="1"/>
    <xf numFmtId="49" fontId="3" fillId="0" borderId="0" xfId="0" applyNumberFormat="1" applyFont="1"/>
    <xf numFmtId="41" fontId="5" fillId="0" borderId="0" xfId="0" applyNumberFormat="1" applyFont="1"/>
    <xf numFmtId="41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39" fontId="3" fillId="0" borderId="0" xfId="0" applyNumberFormat="1" applyFont="1"/>
    <xf numFmtId="41" fontId="6" fillId="0" borderId="0" xfId="0" applyNumberFormat="1" applyFont="1"/>
    <xf numFmtId="41" fontId="6" fillId="0" borderId="1" xfId="0" applyNumberFormat="1" applyFont="1" applyBorder="1"/>
    <xf numFmtId="41" fontId="7" fillId="0" borderId="0" xfId="0" applyNumberFormat="1" applyFont="1"/>
    <xf numFmtId="41" fontId="8" fillId="0" borderId="0" xfId="0" applyNumberFormat="1" applyFont="1"/>
    <xf numFmtId="41" fontId="9" fillId="0" borderId="0" xfId="0" applyNumberFormat="1" applyFont="1"/>
    <xf numFmtId="14" fontId="6" fillId="0" borderId="0" xfId="0" applyNumberFormat="1" applyFont="1"/>
    <xf numFmtId="41" fontId="6" fillId="0" borderId="2" xfId="0" applyNumberFormat="1" applyFont="1" applyBorder="1"/>
    <xf numFmtId="41" fontId="6" fillId="0" borderId="3" xfId="0" applyNumberFormat="1" applyFont="1" applyBorder="1"/>
    <xf numFmtId="41" fontId="6" fillId="0" borderId="4" xfId="0" applyNumberFormat="1" applyFont="1" applyBorder="1"/>
    <xf numFmtId="41" fontId="6" fillId="0" borderId="5" xfId="0" applyNumberFormat="1" applyFont="1" applyBorder="1"/>
    <xf numFmtId="41" fontId="6" fillId="0" borderId="6" xfId="0" applyNumberFormat="1" applyFont="1" applyBorder="1"/>
    <xf numFmtId="41" fontId="6" fillId="0" borderId="7" xfId="0" applyNumberFormat="1" applyFont="1" applyBorder="1"/>
    <xf numFmtId="41" fontId="6" fillId="0" borderId="8" xfId="0" applyNumberFormat="1" applyFont="1" applyBorder="1"/>
    <xf numFmtId="41" fontId="7" fillId="0" borderId="4" xfId="0" applyNumberFormat="1" applyFont="1" applyBorder="1"/>
    <xf numFmtId="41" fontId="7" fillId="0" borderId="5" xfId="0" applyNumberFormat="1" applyFont="1" applyBorder="1"/>
    <xf numFmtId="0" fontId="5" fillId="0" borderId="0" xfId="0" applyFont="1"/>
    <xf numFmtId="0" fontId="3" fillId="0" borderId="0" xfId="0" applyFont="1"/>
    <xf numFmtId="0" fontId="2" fillId="0" borderId="0" xfId="1" applyFont="1"/>
    <xf numFmtId="0" fontId="10" fillId="0" borderId="0" xfId="0" applyFont="1"/>
    <xf numFmtId="0" fontId="3" fillId="0" borderId="1" xfId="0" applyFont="1" applyBorder="1"/>
    <xf numFmtId="41" fontId="3" fillId="0" borderId="0" xfId="0" applyNumberFormat="1" applyFont="1" applyAlignment="1">
      <alignment horizontal="left"/>
    </xf>
    <xf numFmtId="0" fontId="11" fillId="0" borderId="0" xfId="0" applyFont="1"/>
    <xf numFmtId="0" fontId="12" fillId="0" borderId="0" xfId="0" applyFont="1"/>
    <xf numFmtId="9" fontId="3" fillId="0" borderId="0" xfId="0" applyNumberFormat="1" applyFont="1"/>
    <xf numFmtId="8" fontId="3" fillId="0" borderId="0" xfId="0" applyNumberFormat="1" applyFont="1"/>
    <xf numFmtId="2" fontId="3" fillId="0" borderId="0" xfId="0" applyNumberFormat="1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83820</xdr:colOff>
      <xdr:row>3</xdr:row>
      <xdr:rowOff>78295</xdr:rowOff>
    </xdr:from>
    <xdr:to>
      <xdr:col>14</xdr:col>
      <xdr:colOff>53340</xdr:colOff>
      <xdr:row>13</xdr:row>
      <xdr:rowOff>161849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46E298-12A6-051B-AFE6-431DED404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611695"/>
          <a:ext cx="3017520" cy="1912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aojournal.org/action/showPdf?pii=S0161-6420%2817%2933797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4E0E-549C-4A64-BA1A-30918AABF35C}">
  <dimension ref="B2:P45"/>
  <sheetViews>
    <sheetView showGridLines="0" topLeftCell="C1" zoomScale="85" zoomScaleNormal="85" workbookViewId="0">
      <selection activeCell="O6" sqref="O6"/>
    </sheetView>
  </sheetViews>
  <sheetFormatPr defaultRowHeight="13.8"/>
  <cols>
    <col min="1" max="1" width="3.6640625" style="11" customWidth="1"/>
    <col min="2" max="2" width="14.6640625" style="11" customWidth="1"/>
    <col min="3" max="3" width="10.77734375" style="11" bestFit="1" customWidth="1"/>
    <col min="4" max="4" width="65.88671875" style="11" bestFit="1" customWidth="1"/>
    <col min="5" max="12" width="8.88671875" style="11"/>
    <col min="13" max="13" width="10.44140625" style="11" bestFit="1" customWidth="1"/>
    <col min="14" max="14" width="19.5546875" style="11" customWidth="1"/>
    <col min="15" max="15" width="8.88671875" style="11"/>
    <col min="16" max="16" width="11.77734375" style="11" bestFit="1" customWidth="1"/>
    <col min="17" max="16384" width="8.88671875" style="11"/>
  </cols>
  <sheetData>
    <row r="2" spans="2:16">
      <c r="B2" s="11" t="s">
        <v>0</v>
      </c>
      <c r="D2" s="16">
        <v>45887</v>
      </c>
    </row>
    <row r="3" spans="2:16" s="12" customFormat="1"/>
    <row r="4" spans="2:16">
      <c r="B4" s="13" t="s">
        <v>48</v>
      </c>
      <c r="H4" s="11" t="s">
        <v>114</v>
      </c>
      <c r="O4" s="11" t="s">
        <v>5</v>
      </c>
      <c r="P4" s="11">
        <v>39.270000000000003</v>
      </c>
    </row>
    <row r="5" spans="2:16" ht="14.4">
      <c r="B5" s="13" t="s">
        <v>4</v>
      </c>
      <c r="H5" s="26" t="s">
        <v>115</v>
      </c>
      <c r="O5" s="11" t="s">
        <v>6</v>
      </c>
      <c r="P5" s="11">
        <v>28522</v>
      </c>
    </row>
    <row r="6" spans="2:16">
      <c r="O6" s="11" t="s">
        <v>7</v>
      </c>
      <c r="P6" s="11">
        <f>P4*P5</f>
        <v>1120058.9400000002</v>
      </c>
    </row>
    <row r="7" spans="2:16">
      <c r="H7" s="11" t="s">
        <v>116</v>
      </c>
      <c r="O7" s="11" t="s">
        <v>8</v>
      </c>
      <c r="P7" s="11">
        <f>37608+171911</f>
        <v>209519</v>
      </c>
    </row>
    <row r="8" spans="2:16">
      <c r="H8" s="11" t="s">
        <v>117</v>
      </c>
      <c r="O8" s="11" t="s">
        <v>9</v>
      </c>
      <c r="P8" s="11">
        <v>0</v>
      </c>
    </row>
    <row r="9" spans="2:16">
      <c r="B9" s="11" t="s">
        <v>43</v>
      </c>
      <c r="H9" s="11" t="s">
        <v>118</v>
      </c>
      <c r="O9" s="11" t="s">
        <v>10</v>
      </c>
      <c r="P9" s="11">
        <f>P6-P7+P8</f>
        <v>910539.94000000018</v>
      </c>
    </row>
    <row r="10" spans="2:16">
      <c r="B10" s="11" t="s">
        <v>42</v>
      </c>
    </row>
    <row r="11" spans="2:16">
      <c r="H11" s="11" t="s">
        <v>119</v>
      </c>
      <c r="O11" s="11" t="s">
        <v>49</v>
      </c>
      <c r="P11" s="11">
        <v>380871</v>
      </c>
    </row>
    <row r="12" spans="2:16">
      <c r="H12" s="11" t="s">
        <v>120</v>
      </c>
      <c r="O12" s="11" t="s">
        <v>50</v>
      </c>
      <c r="P12" s="11">
        <v>-174545</v>
      </c>
    </row>
    <row r="13" spans="2:16" ht="14.4">
      <c r="B13" s="14" t="s">
        <v>41</v>
      </c>
      <c r="H13" s="11" t="s">
        <v>121</v>
      </c>
    </row>
    <row r="14" spans="2:16">
      <c r="H14" s="11" t="s">
        <v>122</v>
      </c>
    </row>
    <row r="15" spans="2:16" ht="14.4">
      <c r="B15" s="14" t="s">
        <v>45</v>
      </c>
    </row>
    <row r="16" spans="2:16" ht="14.4">
      <c r="B16" s="14" t="s">
        <v>46</v>
      </c>
      <c r="H16" s="11" t="s">
        <v>123</v>
      </c>
    </row>
    <row r="17" spans="2:8" ht="14.4">
      <c r="H17" s="14" t="s">
        <v>124</v>
      </c>
    </row>
    <row r="18" spans="2:8">
      <c r="H18" s="11" t="s">
        <v>125</v>
      </c>
    </row>
    <row r="19" spans="2:8" ht="15.6">
      <c r="B19" s="15" t="s">
        <v>83</v>
      </c>
      <c r="H19" s="11" t="s">
        <v>126</v>
      </c>
    </row>
    <row r="21" spans="2:8">
      <c r="B21" s="11" t="s">
        <v>84</v>
      </c>
      <c r="H21" s="11" t="s">
        <v>127</v>
      </c>
    </row>
    <row r="22" spans="2:8">
      <c r="B22" s="11" t="s">
        <v>85</v>
      </c>
      <c r="H22" s="13" t="s">
        <v>128</v>
      </c>
    </row>
    <row r="23" spans="2:8">
      <c r="B23" s="11" t="s">
        <v>86</v>
      </c>
      <c r="H23" s="11" t="s">
        <v>129</v>
      </c>
    </row>
    <row r="24" spans="2:8">
      <c r="B24" s="11" t="s">
        <v>90</v>
      </c>
    </row>
    <row r="25" spans="2:8">
      <c r="B25" s="11" t="s">
        <v>87</v>
      </c>
    </row>
    <row r="26" spans="2:8">
      <c r="B26" s="11" t="s">
        <v>88</v>
      </c>
      <c r="H26" s="11" t="s">
        <v>130</v>
      </c>
    </row>
    <row r="27" spans="2:8">
      <c r="H27" s="11" t="s">
        <v>131</v>
      </c>
    </row>
    <row r="28" spans="2:8">
      <c r="B28" s="11" t="s">
        <v>91</v>
      </c>
    </row>
    <row r="29" spans="2:8">
      <c r="B29" s="11" t="s">
        <v>92</v>
      </c>
      <c r="H29" s="13" t="s">
        <v>132</v>
      </c>
    </row>
    <row r="30" spans="2:8">
      <c r="B30" s="11" t="s">
        <v>93</v>
      </c>
    </row>
    <row r="31" spans="2:8" ht="14.4">
      <c r="B31" s="11" t="s">
        <v>94</v>
      </c>
      <c r="H31" s="27" t="s">
        <v>133</v>
      </c>
    </row>
    <row r="32" spans="2:8">
      <c r="B32" s="11" t="s">
        <v>95</v>
      </c>
    </row>
    <row r="33" spans="2:8">
      <c r="B33" s="11" t="s">
        <v>96</v>
      </c>
      <c r="H33" s="11" t="s">
        <v>134</v>
      </c>
    </row>
    <row r="36" spans="2:8">
      <c r="B36" s="17" t="s">
        <v>89</v>
      </c>
      <c r="C36" s="12" t="s">
        <v>102</v>
      </c>
      <c r="D36" s="18" t="s">
        <v>108</v>
      </c>
      <c r="H36" s="13" t="s">
        <v>135</v>
      </c>
    </row>
    <row r="37" spans="2:8">
      <c r="B37" s="19" t="s">
        <v>97</v>
      </c>
      <c r="C37" s="11" t="s">
        <v>103</v>
      </c>
      <c r="D37" s="20" t="s">
        <v>109</v>
      </c>
    </row>
    <row r="38" spans="2:8">
      <c r="B38" s="19" t="s">
        <v>98</v>
      </c>
      <c r="C38" s="11" t="s">
        <v>104</v>
      </c>
      <c r="D38" s="20" t="s">
        <v>110</v>
      </c>
    </row>
    <row r="39" spans="2:8">
      <c r="B39" s="19" t="s">
        <v>99</v>
      </c>
      <c r="C39" s="11" t="s">
        <v>105</v>
      </c>
      <c r="D39" s="20" t="s">
        <v>111</v>
      </c>
    </row>
    <row r="40" spans="2:8">
      <c r="B40" s="24" t="s">
        <v>100</v>
      </c>
      <c r="C40" s="13" t="s">
        <v>106</v>
      </c>
      <c r="D40" s="25" t="s">
        <v>112</v>
      </c>
    </row>
    <row r="41" spans="2:8">
      <c r="B41" s="21" t="s">
        <v>101</v>
      </c>
      <c r="C41" s="22" t="s">
        <v>107</v>
      </c>
      <c r="D41" s="23" t="s">
        <v>113</v>
      </c>
    </row>
    <row r="43" spans="2:8">
      <c r="B43" s="11" t="s">
        <v>136</v>
      </c>
    </row>
    <row r="44" spans="2:8">
      <c r="B44" s="11" t="s">
        <v>137</v>
      </c>
    </row>
    <row r="45" spans="2:8">
      <c r="B45" s="11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4D52-2B8D-4111-B3B8-89635CC0F0D8}">
  <dimension ref="A1:AQ56"/>
  <sheetViews>
    <sheetView showGridLines="0" tabSelected="1" workbookViewId="0"/>
  </sheetViews>
  <sheetFormatPr defaultRowHeight="14.4"/>
  <cols>
    <col min="1" max="1" width="5.109375" style="2" bestFit="1" customWidth="1"/>
    <col min="2" max="2" width="8.88671875" style="2"/>
    <col min="3" max="3" width="13.109375" style="2" bestFit="1" customWidth="1"/>
    <col min="4" max="6" width="8.88671875" style="2"/>
    <col min="7" max="7" width="9.5546875" style="2" bestFit="1" customWidth="1"/>
    <col min="8" max="11" width="8.88671875" style="2"/>
    <col min="12" max="14" width="9" style="2" bestFit="1" customWidth="1"/>
    <col min="15" max="15" width="8.88671875" style="2"/>
    <col min="16" max="18" width="9" style="2" bestFit="1" customWidth="1"/>
    <col min="19" max="19" width="8.88671875" style="2"/>
    <col min="20" max="21" width="9" style="2" bestFit="1" customWidth="1"/>
    <col min="22" max="23" width="8.88671875" style="2"/>
    <col min="24" max="25" width="9" style="2" bestFit="1" customWidth="1"/>
    <col min="26" max="27" width="9.6640625" style="2" bestFit="1" customWidth="1"/>
    <col min="28" max="34" width="9" style="2" bestFit="1" customWidth="1"/>
    <col min="35" max="43" width="10" style="2" bestFit="1" customWidth="1"/>
    <col min="44" max="16384" width="8.88671875" style="2"/>
  </cols>
  <sheetData>
    <row r="1" spans="1:28">
      <c r="A1" s="1" t="s">
        <v>2</v>
      </c>
    </row>
    <row r="3" spans="1:28">
      <c r="B3" s="2" t="s">
        <v>11</v>
      </c>
      <c r="G3" s="3">
        <v>45885</v>
      </c>
    </row>
    <row r="4" spans="1:28" s="4" customFormat="1"/>
    <row r="5" spans="1:28">
      <c r="B5" s="5" t="s">
        <v>38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  <c r="P5" s="2" t="s">
        <v>28</v>
      </c>
      <c r="Q5" s="2" t="s">
        <v>29</v>
      </c>
      <c r="R5" s="2" t="s">
        <v>30</v>
      </c>
      <c r="S5" s="2" t="s">
        <v>19</v>
      </c>
      <c r="T5" s="2" t="s">
        <v>31</v>
      </c>
      <c r="U5" s="2" t="s">
        <v>32</v>
      </c>
      <c r="V5" s="2" t="s">
        <v>33</v>
      </c>
      <c r="X5" s="6">
        <v>2021</v>
      </c>
      <c r="Y5" s="6">
        <v>2022</v>
      </c>
      <c r="Z5" s="6">
        <v>2023</v>
      </c>
      <c r="AA5" s="6">
        <v>2024</v>
      </c>
      <c r="AB5" s="6">
        <v>2025</v>
      </c>
    </row>
    <row r="7" spans="1:28">
      <c r="B7" s="7" t="s">
        <v>14</v>
      </c>
    </row>
    <row r="8" spans="1:28">
      <c r="B8" s="7" t="s">
        <v>13</v>
      </c>
    </row>
    <row r="9" spans="1:28">
      <c r="B9" s="7" t="s">
        <v>47</v>
      </c>
    </row>
    <row r="10" spans="1:28">
      <c r="B10" s="7" t="s">
        <v>39</v>
      </c>
    </row>
    <row r="12" spans="1:28">
      <c r="B12" s="7" t="s">
        <v>53</v>
      </c>
    </row>
    <row r="13" spans="1:28">
      <c r="B13" s="7" t="s">
        <v>54</v>
      </c>
    </row>
    <row r="14" spans="1:28">
      <c r="B14" s="7" t="s">
        <v>55</v>
      </c>
    </row>
    <row r="15" spans="1:28">
      <c r="B15" s="7" t="s">
        <v>56</v>
      </c>
    </row>
    <row r="18" spans="2:43">
      <c r="B18" s="5" t="s">
        <v>12</v>
      </c>
      <c r="D18" s="8" t="s">
        <v>15</v>
      </c>
      <c r="E18" s="8" t="s">
        <v>16</v>
      </c>
      <c r="F18" s="8" t="s">
        <v>17</v>
      </c>
      <c r="G18" s="8" t="s">
        <v>18</v>
      </c>
      <c r="H18" s="8" t="s">
        <v>20</v>
      </c>
      <c r="I18" s="8" t="s">
        <v>21</v>
      </c>
      <c r="J18" s="8" t="s">
        <v>22</v>
      </c>
      <c r="K18" s="8" t="s">
        <v>23</v>
      </c>
      <c r="L18" s="8" t="s">
        <v>24</v>
      </c>
      <c r="M18" s="8" t="s">
        <v>25</v>
      </c>
      <c r="N18" s="8" t="s">
        <v>82</v>
      </c>
      <c r="O18" s="8" t="s">
        <v>26</v>
      </c>
      <c r="P18" s="8" t="s">
        <v>27</v>
      </c>
      <c r="Q18" s="8" t="s">
        <v>28</v>
      </c>
      <c r="R18" s="8" t="s">
        <v>29</v>
      </c>
      <c r="S18" s="8" t="s">
        <v>30</v>
      </c>
      <c r="T18" s="8" t="s">
        <v>19</v>
      </c>
      <c r="U18" s="8" t="s">
        <v>75</v>
      </c>
      <c r="V18" s="8" t="s">
        <v>32</v>
      </c>
      <c r="W18" s="8" t="s">
        <v>33</v>
      </c>
      <c r="Y18" s="9">
        <v>2021</v>
      </c>
      <c r="Z18" s="9">
        <v>2022</v>
      </c>
      <c r="AA18" s="9">
        <v>2023</v>
      </c>
      <c r="AB18" s="9">
        <v>2024</v>
      </c>
      <c r="AC18" s="9">
        <v>2025</v>
      </c>
      <c r="AD18" s="9">
        <v>2026</v>
      </c>
      <c r="AE18" s="9">
        <v>2027</v>
      </c>
      <c r="AF18" s="9">
        <v>2028</v>
      </c>
      <c r="AG18" s="9">
        <v>2029</v>
      </c>
      <c r="AH18" s="9">
        <v>2030</v>
      </c>
      <c r="AI18" s="9">
        <v>2031</v>
      </c>
      <c r="AJ18" s="9">
        <v>2032</v>
      </c>
      <c r="AK18" s="9">
        <v>2033</v>
      </c>
      <c r="AL18" s="9">
        <v>2034</v>
      </c>
      <c r="AM18" s="9">
        <v>2035</v>
      </c>
      <c r="AN18" s="9">
        <v>2036</v>
      </c>
      <c r="AO18" s="9">
        <v>2037</v>
      </c>
      <c r="AP18" s="9">
        <v>2038</v>
      </c>
      <c r="AQ18" s="9">
        <v>2039</v>
      </c>
    </row>
    <row r="20" spans="2:43">
      <c r="B20" s="7" t="s">
        <v>141</v>
      </c>
    </row>
    <row r="21" spans="2:43">
      <c r="AD21" s="2">
        <v>123000</v>
      </c>
      <c r="AE21" s="2">
        <v>125000</v>
      </c>
      <c r="AF21" s="2">
        <v>126000</v>
      </c>
      <c r="AG21" s="2">
        <v>128000</v>
      </c>
      <c r="AH21" s="2">
        <v>129000</v>
      </c>
      <c r="AI21" s="2">
        <v>131000</v>
      </c>
      <c r="AJ21" s="2">
        <v>132000</v>
      </c>
      <c r="AK21" s="2">
        <v>134000</v>
      </c>
      <c r="AL21" s="2">
        <v>135000</v>
      </c>
      <c r="AM21" s="2">
        <v>136000</v>
      </c>
      <c r="AN21" s="2">
        <v>137000</v>
      </c>
      <c r="AO21" s="2">
        <v>138000</v>
      </c>
      <c r="AP21" s="2">
        <v>139000</v>
      </c>
      <c r="AQ21" s="2">
        <v>140000</v>
      </c>
    </row>
    <row r="23" spans="2:43">
      <c r="B23" s="2" t="s">
        <v>142</v>
      </c>
      <c r="AD23" s="2">
        <f>AD21*0.75</f>
        <v>92250</v>
      </c>
      <c r="AE23" s="2">
        <f>AE21*0.75</f>
        <v>93750</v>
      </c>
      <c r="AF23" s="2">
        <f>AF21*0.75</f>
        <v>94500</v>
      </c>
      <c r="AG23" s="2">
        <f>AG21*0.75</f>
        <v>96000</v>
      </c>
      <c r="AH23" s="2">
        <f t="shared" ref="AH23:AQ23" si="0">AH21*0.75</f>
        <v>96750</v>
      </c>
      <c r="AI23" s="2">
        <f t="shared" si="0"/>
        <v>98250</v>
      </c>
      <c r="AJ23" s="2">
        <f t="shared" si="0"/>
        <v>99000</v>
      </c>
      <c r="AK23" s="2">
        <f t="shared" si="0"/>
        <v>100500</v>
      </c>
      <c r="AL23" s="2">
        <f t="shared" si="0"/>
        <v>101250</v>
      </c>
      <c r="AM23" s="2">
        <f t="shared" si="0"/>
        <v>102000</v>
      </c>
      <c r="AN23" s="2">
        <f t="shared" si="0"/>
        <v>102750</v>
      </c>
      <c r="AO23" s="2">
        <f t="shared" si="0"/>
        <v>103500</v>
      </c>
      <c r="AP23" s="2">
        <f t="shared" si="0"/>
        <v>104250</v>
      </c>
      <c r="AQ23" s="2">
        <f t="shared" si="0"/>
        <v>105000</v>
      </c>
    </row>
    <row r="24" spans="2:43">
      <c r="B24" s="2" t="s">
        <v>143</v>
      </c>
      <c r="AD24" s="2">
        <f>AD23*0.1</f>
        <v>9225</v>
      </c>
      <c r="AE24" s="2">
        <f>AE23*0.15</f>
        <v>14062.5</v>
      </c>
      <c r="AF24" s="2">
        <f>AF23*0.175</f>
        <v>16537.5</v>
      </c>
      <c r="AG24" s="2">
        <f>AG23*0.2</f>
        <v>19200</v>
      </c>
      <c r="AH24" s="2">
        <f>AH23*0.25</f>
        <v>24187.5</v>
      </c>
      <c r="AI24" s="2">
        <f>AI23*0.3</f>
        <v>29475</v>
      </c>
      <c r="AJ24" s="2">
        <f>AJ23*0.3</f>
        <v>29700</v>
      </c>
      <c r="AK24" s="2">
        <f>AK23*0.3</f>
        <v>30150</v>
      </c>
      <c r="AL24" s="2">
        <f>AL23*0.25</f>
        <v>25312.5</v>
      </c>
      <c r="AM24" s="2">
        <f>AM23*0.2</f>
        <v>20400</v>
      </c>
      <c r="AN24" s="2">
        <f>AN23*0.1</f>
        <v>10275</v>
      </c>
      <c r="AO24" s="2">
        <f>AO23*0.1</f>
        <v>10350</v>
      </c>
      <c r="AP24" s="2">
        <f>AP23*0.07</f>
        <v>7297.5000000000009</v>
      </c>
      <c r="AQ24" s="2">
        <f>AQ23*0.05</f>
        <v>5250</v>
      </c>
    </row>
    <row r="25" spans="2:43">
      <c r="B25" s="2" t="s">
        <v>81</v>
      </c>
      <c r="AD25" s="2">
        <f>AD24*0.1</f>
        <v>922.5</v>
      </c>
      <c r="AE25" s="2">
        <f t="shared" ref="AE25:AM25" si="1">AE24*0.1</f>
        <v>1406.25</v>
      </c>
      <c r="AF25" s="2">
        <f t="shared" si="1"/>
        <v>1653.75</v>
      </c>
      <c r="AG25" s="2">
        <f t="shared" si="1"/>
        <v>1920</v>
      </c>
      <c r="AH25" s="2">
        <f t="shared" si="1"/>
        <v>2418.75</v>
      </c>
      <c r="AI25" s="2">
        <f t="shared" si="1"/>
        <v>2947.5</v>
      </c>
      <c r="AJ25" s="2">
        <f t="shared" si="1"/>
        <v>2970</v>
      </c>
      <c r="AK25" s="2">
        <f t="shared" si="1"/>
        <v>3015</v>
      </c>
      <c r="AL25" s="2">
        <f t="shared" si="1"/>
        <v>2531.25</v>
      </c>
      <c r="AM25" s="2">
        <f t="shared" si="1"/>
        <v>2040</v>
      </c>
      <c r="AN25" s="2">
        <f>AN24*0.1</f>
        <v>1027.5</v>
      </c>
      <c r="AO25" s="2">
        <f>AO24*0.1</f>
        <v>1035</v>
      </c>
      <c r="AP25" s="2">
        <f>AP24*0.1</f>
        <v>729.75000000000011</v>
      </c>
      <c r="AQ25" s="2">
        <f>AQ24*0.1</f>
        <v>525</v>
      </c>
    </row>
    <row r="26" spans="2:43">
      <c r="B26" s="2" t="s">
        <v>144</v>
      </c>
      <c r="AD26" s="2">
        <f>(3*AD25*0.6)+(9*AD25*0.35)</f>
        <v>4566.375</v>
      </c>
      <c r="AE26" s="2">
        <f t="shared" ref="AE26:AQ26" si="2">(3*AE25*0.6)+(9*AE25*0.35)</f>
        <v>6960.9375</v>
      </c>
      <c r="AF26" s="2">
        <f t="shared" si="2"/>
        <v>8186.0625</v>
      </c>
      <c r="AG26" s="2">
        <f t="shared" si="2"/>
        <v>9504</v>
      </c>
      <c r="AH26" s="2">
        <f t="shared" si="2"/>
        <v>11972.8125</v>
      </c>
      <c r="AI26" s="2">
        <f t="shared" si="2"/>
        <v>14590.125</v>
      </c>
      <c r="AJ26" s="2">
        <f t="shared" si="2"/>
        <v>14701.5</v>
      </c>
      <c r="AK26" s="2">
        <f t="shared" si="2"/>
        <v>14924.25</v>
      </c>
      <c r="AL26" s="2">
        <f t="shared" si="2"/>
        <v>12529.6875</v>
      </c>
      <c r="AM26" s="2">
        <f t="shared" si="2"/>
        <v>10098</v>
      </c>
      <c r="AN26" s="2">
        <f t="shared" si="2"/>
        <v>5086.125</v>
      </c>
      <c r="AO26" s="2">
        <f t="shared" si="2"/>
        <v>5123.25</v>
      </c>
      <c r="AP26" s="2">
        <f t="shared" si="2"/>
        <v>3612.2625000000003</v>
      </c>
      <c r="AQ26" s="2">
        <f t="shared" si="2"/>
        <v>2598.75</v>
      </c>
    </row>
    <row r="27" spans="2:43">
      <c r="B27" s="2" t="s">
        <v>5</v>
      </c>
      <c r="AD27" s="2">
        <v>65</v>
      </c>
      <c r="AE27" s="2">
        <f>AD27*1.01</f>
        <v>65.650000000000006</v>
      </c>
      <c r="AF27" s="2">
        <f t="shared" ref="AF27:AQ27" si="3">AE27*1.01</f>
        <v>66.3065</v>
      </c>
      <c r="AG27" s="2">
        <f t="shared" si="3"/>
        <v>66.969565000000003</v>
      </c>
      <c r="AH27" s="2">
        <f t="shared" si="3"/>
        <v>67.639260649999997</v>
      </c>
      <c r="AI27" s="2">
        <f t="shared" si="3"/>
        <v>68.315653256499999</v>
      </c>
      <c r="AJ27" s="2">
        <f t="shared" si="3"/>
        <v>68.998809789065007</v>
      </c>
      <c r="AK27" s="2">
        <f t="shared" si="3"/>
        <v>69.688797886955655</v>
      </c>
      <c r="AL27" s="2">
        <f t="shared" si="3"/>
        <v>70.385685865825209</v>
      </c>
      <c r="AM27" s="2">
        <f t="shared" si="3"/>
        <v>71.089542724483465</v>
      </c>
      <c r="AN27" s="2">
        <f t="shared" si="3"/>
        <v>71.800438151728301</v>
      </c>
      <c r="AO27" s="2">
        <f t="shared" si="3"/>
        <v>72.51844253324559</v>
      </c>
      <c r="AP27" s="2">
        <f t="shared" si="3"/>
        <v>73.243626958578048</v>
      </c>
      <c r="AQ27" s="2">
        <f t="shared" si="3"/>
        <v>73.976063228163824</v>
      </c>
    </row>
    <row r="30" spans="2:43">
      <c r="B30" s="7" t="s">
        <v>3</v>
      </c>
      <c r="L30" s="2">
        <v>0</v>
      </c>
      <c r="M30" s="2">
        <v>0</v>
      </c>
      <c r="N30" s="2">
        <v>0</v>
      </c>
      <c r="P30" s="2">
        <v>0</v>
      </c>
      <c r="Q30" s="2">
        <v>0</v>
      </c>
      <c r="R30" s="2">
        <v>0</v>
      </c>
      <c r="T30" s="2">
        <v>0</v>
      </c>
      <c r="U30" s="2">
        <v>0</v>
      </c>
      <c r="V30" s="2">
        <v>0</v>
      </c>
      <c r="W30" s="2">
        <v>0</v>
      </c>
      <c r="Z30" s="2">
        <v>0</v>
      </c>
      <c r="AA30" s="2">
        <v>0</v>
      </c>
      <c r="AB30" s="2">
        <v>0</v>
      </c>
      <c r="AC30" s="2">
        <f>SUM(T30:W30)</f>
        <v>0</v>
      </c>
      <c r="AD30" s="2">
        <f t="shared" ref="AD30:AL30" si="4">AD26*AD27</f>
        <v>296814.375</v>
      </c>
      <c r="AE30" s="2">
        <f t="shared" si="4"/>
        <v>456985.54687500006</v>
      </c>
      <c r="AF30" s="2">
        <f t="shared" si="4"/>
        <v>542789.15315625002</v>
      </c>
      <c r="AG30" s="2">
        <f t="shared" si="4"/>
        <v>636478.74576000008</v>
      </c>
      <c r="AH30" s="2">
        <f t="shared" si="4"/>
        <v>809832.18540107808</v>
      </c>
      <c r="AI30" s="2">
        <f t="shared" si="4"/>
        <v>996733.92046899209</v>
      </c>
      <c r="AJ30" s="2">
        <f t="shared" si="4"/>
        <v>1014386.0021139391</v>
      </c>
      <c r="AK30" s="2">
        <f t="shared" si="4"/>
        <v>1040053.0418643979</v>
      </c>
      <c r="AL30" s="2">
        <f t="shared" si="4"/>
        <v>881910.64837195678</v>
      </c>
      <c r="AM30" s="2">
        <f t="shared" ref="AM30:AQ30" si="5">AM26*AM27</f>
        <v>717862.20243183407</v>
      </c>
      <c r="AN30" s="2">
        <f t="shared" si="5"/>
        <v>365186.00349445909</v>
      </c>
      <c r="AO30" s="2">
        <f t="shared" si="5"/>
        <v>371530.11070845049</v>
      </c>
      <c r="AP30" s="2">
        <f t="shared" si="5"/>
        <v>264575.20702646056</v>
      </c>
      <c r="AQ30" s="2">
        <f t="shared" si="5"/>
        <v>192245.29431419075</v>
      </c>
    </row>
    <row r="31" spans="2:43">
      <c r="B31" s="7" t="s">
        <v>52</v>
      </c>
      <c r="L31" s="2">
        <v>0</v>
      </c>
      <c r="M31" s="2">
        <v>0</v>
      </c>
      <c r="N31" s="2">
        <v>0</v>
      </c>
      <c r="P31" s="2">
        <v>0</v>
      </c>
      <c r="Q31" s="2">
        <v>0</v>
      </c>
      <c r="R31" s="2">
        <v>0</v>
      </c>
      <c r="T31" s="2">
        <v>0</v>
      </c>
      <c r="U31" s="2">
        <v>5000</v>
      </c>
      <c r="V31" s="2">
        <v>1500</v>
      </c>
      <c r="W31" s="2">
        <v>1000</v>
      </c>
      <c r="Z31" s="2">
        <v>0</v>
      </c>
      <c r="AA31" s="2">
        <v>0</v>
      </c>
      <c r="AB31" s="2">
        <v>0</v>
      </c>
      <c r="AC31" s="2">
        <f>SUM(T31:W31)</f>
        <v>7500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</row>
    <row r="33" spans="2:43">
      <c r="B33" s="2" t="s">
        <v>51</v>
      </c>
      <c r="C33" s="2">
        <f>SUM(C30:C31)</f>
        <v>0</v>
      </c>
      <c r="L33" s="2">
        <f>SUM(L30:L31)</f>
        <v>0</v>
      </c>
      <c r="M33" s="2">
        <f>SUM(M30:M31)</f>
        <v>0</v>
      </c>
      <c r="N33" s="2">
        <f>SUM(N30:N31)</f>
        <v>0</v>
      </c>
      <c r="P33" s="2">
        <f>SUM(P30:P31)</f>
        <v>0</v>
      </c>
      <c r="Q33" s="2">
        <f>SUM(Q30:Q31)</f>
        <v>0</v>
      </c>
      <c r="R33" s="2">
        <f>SUM(R30:R31)</f>
        <v>0</v>
      </c>
      <c r="T33" s="2">
        <f>SUM(T30:T31)</f>
        <v>0</v>
      </c>
      <c r="U33" s="2">
        <f>SUM(U30:U31)</f>
        <v>5000</v>
      </c>
      <c r="V33" s="2">
        <f>SUM(V30:V31)</f>
        <v>1500</v>
      </c>
      <c r="W33" s="2">
        <f>SUM(W30:W31)</f>
        <v>1000</v>
      </c>
      <c r="Z33" s="2">
        <f>SUM(Z30:Z31)</f>
        <v>0</v>
      </c>
      <c r="AA33" s="2">
        <f>SUM(AA30:AA31)</f>
        <v>0</v>
      </c>
      <c r="AB33" s="2">
        <f>SUM(AB30:AB31)</f>
        <v>0</v>
      </c>
      <c r="AC33" s="2">
        <f>SUM(AC30:AC31)</f>
        <v>7500</v>
      </c>
      <c r="AD33" s="2">
        <f t="shared" ref="AD33:AQ33" si="6">SUM(AD30:AD31)</f>
        <v>296814.375</v>
      </c>
      <c r="AE33" s="2">
        <f t="shared" si="6"/>
        <v>456985.54687500006</v>
      </c>
      <c r="AF33" s="2">
        <f t="shared" si="6"/>
        <v>542789.15315625002</v>
      </c>
      <c r="AG33" s="2">
        <f t="shared" si="6"/>
        <v>636478.74576000008</v>
      </c>
      <c r="AH33" s="2">
        <f t="shared" si="6"/>
        <v>809832.18540107808</v>
      </c>
      <c r="AI33" s="2">
        <f t="shared" si="6"/>
        <v>996733.92046899209</v>
      </c>
      <c r="AJ33" s="2">
        <f t="shared" si="6"/>
        <v>1014386.0021139391</v>
      </c>
      <c r="AK33" s="2">
        <f t="shared" si="6"/>
        <v>1040053.0418643979</v>
      </c>
      <c r="AL33" s="2">
        <f t="shared" si="6"/>
        <v>881910.64837195678</v>
      </c>
      <c r="AM33" s="2">
        <f t="shared" si="6"/>
        <v>717862.20243183407</v>
      </c>
      <c r="AN33" s="2">
        <f t="shared" si="6"/>
        <v>365186.00349445909</v>
      </c>
      <c r="AO33" s="2">
        <f t="shared" si="6"/>
        <v>371530.11070845049</v>
      </c>
      <c r="AP33" s="2">
        <f t="shared" si="6"/>
        <v>264575.20702646056</v>
      </c>
      <c r="AQ33" s="2">
        <f t="shared" si="6"/>
        <v>192245.29431419075</v>
      </c>
    </row>
    <row r="34" spans="2:43">
      <c r="B34" s="2" t="s">
        <v>57</v>
      </c>
      <c r="L34" s="2">
        <v>0</v>
      </c>
      <c r="M34" s="2">
        <v>0</v>
      </c>
      <c r="N34" s="2">
        <v>0</v>
      </c>
      <c r="P34" s="2">
        <v>0</v>
      </c>
      <c r="Q34" s="2">
        <v>0</v>
      </c>
      <c r="R34" s="2">
        <v>0</v>
      </c>
      <c r="T34" s="2">
        <v>0</v>
      </c>
      <c r="U34" s="2">
        <v>0</v>
      </c>
      <c r="V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f>AD33*0.2</f>
        <v>59362.875</v>
      </c>
      <c r="AE34" s="2">
        <f t="shared" ref="AE34:AQ34" si="7">AE33*0.2</f>
        <v>91397.109375000015</v>
      </c>
      <c r="AF34" s="2">
        <f t="shared" si="7"/>
        <v>108557.83063125001</v>
      </c>
      <c r="AG34" s="2">
        <f t="shared" si="7"/>
        <v>127295.74915200002</v>
      </c>
      <c r="AH34" s="2">
        <f t="shared" si="7"/>
        <v>161966.43708021563</v>
      </c>
      <c r="AI34" s="2">
        <f t="shared" si="7"/>
        <v>199346.78409379843</v>
      </c>
      <c r="AJ34" s="2">
        <f t="shared" si="7"/>
        <v>202877.20042278784</v>
      </c>
      <c r="AK34" s="2">
        <f t="shared" si="7"/>
        <v>208010.60837287959</v>
      </c>
      <c r="AL34" s="2">
        <f t="shared" si="7"/>
        <v>176382.12967439136</v>
      </c>
      <c r="AM34" s="2">
        <f t="shared" si="7"/>
        <v>143572.44048636683</v>
      </c>
      <c r="AN34" s="2">
        <f t="shared" si="7"/>
        <v>73037.200698891815</v>
      </c>
      <c r="AO34" s="2">
        <f t="shared" si="7"/>
        <v>74306.022141690104</v>
      </c>
      <c r="AP34" s="2">
        <f t="shared" si="7"/>
        <v>52915.041405292111</v>
      </c>
      <c r="AQ34" s="2">
        <f t="shared" si="7"/>
        <v>38449.058862838152</v>
      </c>
    </row>
    <row r="35" spans="2:43">
      <c r="B35" s="2" t="s">
        <v>61</v>
      </c>
      <c r="L35" s="2">
        <f>L33-L34</f>
        <v>0</v>
      </c>
      <c r="M35" s="2">
        <f>M33-M34</f>
        <v>0</v>
      </c>
      <c r="N35" s="2">
        <f>N33-N34</f>
        <v>0</v>
      </c>
      <c r="P35" s="2">
        <f>P33-P34</f>
        <v>0</v>
      </c>
      <c r="Q35" s="2">
        <f>Q33-Q34</f>
        <v>0</v>
      </c>
      <c r="R35" s="2">
        <f>R33-R34</f>
        <v>0</v>
      </c>
      <c r="T35" s="2">
        <f>T33-T34</f>
        <v>0</v>
      </c>
      <c r="U35" s="2">
        <f>U33-U34</f>
        <v>5000</v>
      </c>
      <c r="V35" s="2">
        <f>V33-V34</f>
        <v>1500</v>
      </c>
      <c r="W35" s="2">
        <f>W33-W34</f>
        <v>1000</v>
      </c>
      <c r="Z35" s="2">
        <f t="shared" ref="Z35:AF35" si="8">Z33-Z34</f>
        <v>0</v>
      </c>
      <c r="AA35" s="2">
        <f t="shared" si="8"/>
        <v>0</v>
      </c>
      <c r="AB35" s="2">
        <f t="shared" si="8"/>
        <v>0</v>
      </c>
      <c r="AC35" s="2">
        <f t="shared" si="8"/>
        <v>7500</v>
      </c>
      <c r="AD35" s="2">
        <f t="shared" si="8"/>
        <v>237451.5</v>
      </c>
      <c r="AE35" s="2">
        <f t="shared" si="8"/>
        <v>365588.43750000006</v>
      </c>
      <c r="AF35" s="2">
        <f t="shared" si="8"/>
        <v>434231.32252500003</v>
      </c>
      <c r="AG35" s="2">
        <f t="shared" ref="AG35:AQ35" si="9">AG33-AG34</f>
        <v>509182.99660800007</v>
      </c>
      <c r="AH35" s="2">
        <f t="shared" si="9"/>
        <v>647865.74832086242</v>
      </c>
      <c r="AI35" s="2">
        <f t="shared" si="9"/>
        <v>797387.13637519372</v>
      </c>
      <c r="AJ35" s="2">
        <f t="shared" si="9"/>
        <v>811508.80169115134</v>
      </c>
      <c r="AK35" s="2">
        <f t="shared" si="9"/>
        <v>832042.43349151837</v>
      </c>
      <c r="AL35" s="2">
        <f t="shared" si="9"/>
        <v>705528.51869756542</v>
      </c>
      <c r="AM35" s="2">
        <f t="shared" si="9"/>
        <v>574289.76194546721</v>
      </c>
      <c r="AN35" s="2">
        <f t="shared" si="9"/>
        <v>292148.80279556726</v>
      </c>
      <c r="AO35" s="2">
        <f t="shared" si="9"/>
        <v>297224.08856676042</v>
      </c>
      <c r="AP35" s="2">
        <f t="shared" si="9"/>
        <v>211660.16562116845</v>
      </c>
      <c r="AQ35" s="2">
        <f t="shared" si="9"/>
        <v>153796.23545135261</v>
      </c>
    </row>
    <row r="36" spans="2:43">
      <c r="B36" s="2" t="s">
        <v>65</v>
      </c>
      <c r="L36" s="2">
        <v>10325</v>
      </c>
      <c r="M36" s="2">
        <v>12639</v>
      </c>
      <c r="N36" s="2">
        <v>17004</v>
      </c>
      <c r="P36" s="2">
        <v>10537</v>
      </c>
      <c r="Q36" s="2">
        <v>6583</v>
      </c>
      <c r="R36" s="2">
        <v>6451</v>
      </c>
      <c r="T36" s="2">
        <v>5818</v>
      </c>
      <c r="U36" s="2">
        <v>8334</v>
      </c>
      <c r="V36" s="2">
        <f>U36*1.1</f>
        <v>9167.4000000000015</v>
      </c>
      <c r="W36" s="2">
        <f>V36*1.1</f>
        <v>10084.140000000003</v>
      </c>
      <c r="Z36" s="2">
        <v>32137</v>
      </c>
      <c r="AA36" s="2">
        <v>32137</v>
      </c>
      <c r="AB36" s="2">
        <v>29801</v>
      </c>
      <c r="AC36" s="2">
        <f>SUM(T36:W36)</f>
        <v>33403.540000000008</v>
      </c>
      <c r="AD36" s="2">
        <f t="shared" ref="AD36:AF37" si="10">AC36*1.1</f>
        <v>36743.894000000015</v>
      </c>
      <c r="AE36" s="2">
        <f t="shared" si="10"/>
        <v>40418.283400000022</v>
      </c>
      <c r="AF36" s="2">
        <f t="shared" si="10"/>
        <v>44460.111740000029</v>
      </c>
      <c r="AG36" s="2">
        <f t="shared" ref="AG36:AQ36" si="11">AF36*1.1</f>
        <v>48906.122914000036</v>
      </c>
      <c r="AH36" s="2">
        <f t="shared" si="11"/>
        <v>53796.735205400044</v>
      </c>
      <c r="AI36" s="2">
        <f t="shared" si="11"/>
        <v>59176.408725940055</v>
      </c>
      <c r="AJ36" s="2">
        <f t="shared" si="11"/>
        <v>65094.049598534068</v>
      </c>
      <c r="AK36" s="2">
        <f t="shared" si="11"/>
        <v>71603.454558387486</v>
      </c>
      <c r="AL36" s="2">
        <f t="shared" si="11"/>
        <v>78763.800014226246</v>
      </c>
      <c r="AM36" s="2">
        <f t="shared" si="11"/>
        <v>86640.180015648875</v>
      </c>
      <c r="AN36" s="2">
        <f t="shared" si="11"/>
        <v>95304.19801721377</v>
      </c>
      <c r="AO36" s="2">
        <f t="shared" si="11"/>
        <v>104834.61781893515</v>
      </c>
      <c r="AP36" s="2">
        <f t="shared" si="11"/>
        <v>115318.07960082867</v>
      </c>
      <c r="AQ36" s="2">
        <f t="shared" si="11"/>
        <v>126849.88756091155</v>
      </c>
    </row>
    <row r="37" spans="2:43">
      <c r="B37" s="2" t="s">
        <v>66</v>
      </c>
      <c r="L37" s="2">
        <v>2291</v>
      </c>
      <c r="M37" s="2">
        <v>2320</v>
      </c>
      <c r="N37" s="2">
        <v>2861</v>
      </c>
      <c r="P37" s="2">
        <v>5551</v>
      </c>
      <c r="Q37" s="2">
        <v>6172</v>
      </c>
      <c r="R37" s="2">
        <v>6494</v>
      </c>
      <c r="T37" s="2">
        <v>11113</v>
      </c>
      <c r="U37" s="2">
        <v>10678</v>
      </c>
      <c r="V37" s="2">
        <f>U37*1.1</f>
        <v>11745.800000000001</v>
      </c>
      <c r="W37" s="2">
        <f>V37*1.1</f>
        <v>12920.380000000003</v>
      </c>
      <c r="Z37" s="2">
        <f>40973+62081</f>
        <v>103054</v>
      </c>
      <c r="AA37" s="2">
        <v>40973</v>
      </c>
      <c r="AB37" s="2">
        <v>28809</v>
      </c>
      <c r="AC37" s="2">
        <f>SUM(T37:W37)</f>
        <v>46457.180000000008</v>
      </c>
      <c r="AD37" s="2">
        <f t="shared" si="10"/>
        <v>51102.898000000016</v>
      </c>
      <c r="AE37" s="2">
        <f t="shared" si="10"/>
        <v>56213.187800000022</v>
      </c>
      <c r="AF37" s="2">
        <f t="shared" si="10"/>
        <v>61834.50658000003</v>
      </c>
      <c r="AG37" s="2">
        <f>AF37*1.1</f>
        <v>68017.957238000032</v>
      </c>
      <c r="AH37" s="2">
        <f t="shared" ref="AH37:AQ37" si="12">AG37*1.1</f>
        <v>74819.752961800041</v>
      </c>
      <c r="AI37" s="2">
        <f t="shared" si="12"/>
        <v>82301.728257980052</v>
      </c>
      <c r="AJ37" s="2">
        <f t="shared" si="12"/>
        <v>90531.901083778066</v>
      </c>
      <c r="AK37" s="2">
        <f t="shared" si="12"/>
        <v>99585.091192155887</v>
      </c>
      <c r="AL37" s="2">
        <f t="shared" si="12"/>
        <v>109543.60031137148</v>
      </c>
      <c r="AM37" s="2">
        <f t="shared" si="12"/>
        <v>120497.96034250864</v>
      </c>
      <c r="AN37" s="2">
        <f t="shared" si="12"/>
        <v>132547.75637675953</v>
      </c>
      <c r="AO37" s="2">
        <f t="shared" si="12"/>
        <v>145802.53201443551</v>
      </c>
      <c r="AP37" s="2">
        <f t="shared" si="12"/>
        <v>160382.78521587906</v>
      </c>
      <c r="AQ37" s="2">
        <f t="shared" si="12"/>
        <v>176421.06373746699</v>
      </c>
    </row>
    <row r="38" spans="2:43">
      <c r="B38" s="2" t="s">
        <v>58</v>
      </c>
      <c r="L38" s="2">
        <v>0</v>
      </c>
      <c r="M38" s="2">
        <v>0</v>
      </c>
      <c r="N38" s="2">
        <v>0</v>
      </c>
      <c r="P38" s="2">
        <v>0</v>
      </c>
      <c r="Q38" s="2">
        <v>1597</v>
      </c>
      <c r="R38" s="2">
        <v>0</v>
      </c>
      <c r="T38" s="2">
        <v>0</v>
      </c>
      <c r="U38" s="2">
        <v>2845</v>
      </c>
      <c r="V38" s="2">
        <f>V35/2</f>
        <v>750</v>
      </c>
      <c r="W38" s="2">
        <f>W35/2</f>
        <v>500</v>
      </c>
      <c r="Z38" s="2">
        <v>0</v>
      </c>
      <c r="AA38" s="2">
        <v>62081</v>
      </c>
      <c r="AB38" s="2">
        <v>0</v>
      </c>
      <c r="AC38" s="2">
        <f>SUM(T38:W38)</f>
        <v>4095</v>
      </c>
      <c r="AD38" s="2">
        <f t="shared" ref="AD38:AJ38" si="13">AD33*0.13</f>
        <v>38585.868750000001</v>
      </c>
      <c r="AE38" s="2">
        <f t="shared" si="13"/>
        <v>59408.121093750007</v>
      </c>
      <c r="AF38" s="2">
        <f t="shared" si="13"/>
        <v>70562.589910312498</v>
      </c>
      <c r="AG38" s="2">
        <f t="shared" si="13"/>
        <v>82742.236948800011</v>
      </c>
      <c r="AH38" s="2">
        <f t="shared" si="13"/>
        <v>105278.18410214015</v>
      </c>
      <c r="AI38" s="2">
        <f t="shared" si="13"/>
        <v>129575.40966096897</v>
      </c>
      <c r="AJ38" s="2">
        <f t="shared" si="13"/>
        <v>131870.1802748121</v>
      </c>
      <c r="AK38" s="2">
        <f t="shared" ref="AK38:AQ38" si="14">AK33*0.13</f>
        <v>135206.89544237172</v>
      </c>
      <c r="AL38" s="2">
        <f t="shared" si="14"/>
        <v>114648.38428835438</v>
      </c>
      <c r="AM38" s="2">
        <f t="shared" si="14"/>
        <v>93322.086316138433</v>
      </c>
      <c r="AN38" s="2">
        <f t="shared" si="14"/>
        <v>47474.180454279682</v>
      </c>
      <c r="AO38" s="2">
        <f t="shared" si="14"/>
        <v>48298.914392098566</v>
      </c>
      <c r="AP38" s="2">
        <f t="shared" si="14"/>
        <v>34394.776913439877</v>
      </c>
      <c r="AQ38" s="2">
        <f t="shared" si="14"/>
        <v>24991.888260844797</v>
      </c>
    </row>
    <row r="39" spans="2:43">
      <c r="B39" s="2" t="s">
        <v>59</v>
      </c>
      <c r="L39" s="2">
        <f t="shared" ref="L39:R39" si="15">SUM(L36:L38)</f>
        <v>12616</v>
      </c>
      <c r="M39" s="2">
        <f t="shared" si="15"/>
        <v>14959</v>
      </c>
      <c r="N39" s="2">
        <f t="shared" si="15"/>
        <v>19865</v>
      </c>
      <c r="P39" s="2">
        <f t="shared" si="15"/>
        <v>16088</v>
      </c>
      <c r="Q39" s="2">
        <f t="shared" si="15"/>
        <v>14352</v>
      </c>
      <c r="R39" s="2">
        <f t="shared" si="15"/>
        <v>12945</v>
      </c>
      <c r="T39" s="2">
        <f>SUM(T36:T38)</f>
        <v>16931</v>
      </c>
      <c r="U39" s="2">
        <f>SUM(U36:U38)</f>
        <v>21857</v>
      </c>
      <c r="V39" s="2">
        <f>SUM(V36:V38)</f>
        <v>21663.200000000004</v>
      </c>
      <c r="W39" s="2">
        <f>SUM(W36:W38)</f>
        <v>23504.520000000004</v>
      </c>
      <c r="Z39" s="2">
        <f t="shared" ref="Z39:AE39" si="16">SUM(Z36:Z38)</f>
        <v>135191</v>
      </c>
      <c r="AA39" s="2">
        <f t="shared" si="16"/>
        <v>135191</v>
      </c>
      <c r="AB39" s="2">
        <f t="shared" si="16"/>
        <v>58610</v>
      </c>
      <c r="AC39" s="2">
        <f t="shared" si="16"/>
        <v>83955.720000000016</v>
      </c>
      <c r="AD39" s="2">
        <f t="shared" si="16"/>
        <v>126432.66075000004</v>
      </c>
      <c r="AE39" s="2">
        <f t="shared" si="16"/>
        <v>156039.59229375006</v>
      </c>
      <c r="AF39" s="2">
        <f t="shared" ref="AF39:AP39" si="17">SUM(AF36:AF38)</f>
        <v>176857.20823031256</v>
      </c>
      <c r="AG39" s="2">
        <f t="shared" si="17"/>
        <v>199666.31710080008</v>
      </c>
      <c r="AH39" s="2">
        <f t="shared" si="17"/>
        <v>233894.67226934026</v>
      </c>
      <c r="AI39" s="2">
        <f t="shared" si="17"/>
        <v>271053.54664488911</v>
      </c>
      <c r="AJ39" s="2">
        <f t="shared" si="17"/>
        <v>287496.13095712423</v>
      </c>
      <c r="AK39" s="2">
        <f t="shared" si="17"/>
        <v>306395.44119291508</v>
      </c>
      <c r="AL39" s="2">
        <f t="shared" si="17"/>
        <v>302955.7846139521</v>
      </c>
      <c r="AM39" s="2">
        <f t="shared" si="17"/>
        <v>300460.22667429596</v>
      </c>
      <c r="AN39" s="2">
        <f t="shared" si="17"/>
        <v>275326.13484825299</v>
      </c>
      <c r="AO39" s="2">
        <f t="shared" si="17"/>
        <v>298936.06422546919</v>
      </c>
      <c r="AP39" s="2">
        <f t="shared" si="17"/>
        <v>310095.64173014759</v>
      </c>
      <c r="AQ39" s="2">
        <f>SUM(AQ36:AQ38)</f>
        <v>328262.83955922333</v>
      </c>
    </row>
    <row r="40" spans="2:43">
      <c r="B40" s="2" t="s">
        <v>60</v>
      </c>
      <c r="L40" s="2">
        <f t="shared" ref="L40:R40" si="18">L35-L39</f>
        <v>-12616</v>
      </c>
      <c r="M40" s="2">
        <f t="shared" si="18"/>
        <v>-14959</v>
      </c>
      <c r="N40" s="2">
        <f t="shared" si="18"/>
        <v>-19865</v>
      </c>
      <c r="P40" s="2">
        <f t="shared" si="18"/>
        <v>-16088</v>
      </c>
      <c r="Q40" s="2">
        <f t="shared" si="18"/>
        <v>-14352</v>
      </c>
      <c r="R40" s="2">
        <f t="shared" si="18"/>
        <v>-12945</v>
      </c>
      <c r="T40" s="2">
        <f>T35-T39</f>
        <v>-16931</v>
      </c>
      <c r="U40" s="2">
        <f>U35-U39</f>
        <v>-16857</v>
      </c>
      <c r="V40" s="2">
        <f>V35-V39</f>
        <v>-20163.200000000004</v>
      </c>
      <c r="W40" s="2">
        <f>W35-W39</f>
        <v>-22504.520000000004</v>
      </c>
      <c r="Z40" s="2">
        <f t="shared" ref="Z40:AQ40" si="19">Z35-Z39</f>
        <v>-135191</v>
      </c>
      <c r="AA40" s="2">
        <f t="shared" si="19"/>
        <v>-135191</v>
      </c>
      <c r="AB40" s="2">
        <f t="shared" si="19"/>
        <v>-58610</v>
      </c>
      <c r="AC40" s="2">
        <f t="shared" si="19"/>
        <v>-76455.720000000016</v>
      </c>
      <c r="AD40" s="2">
        <f t="shared" si="19"/>
        <v>111018.83924999996</v>
      </c>
      <c r="AE40" s="2">
        <f t="shared" si="19"/>
        <v>209548.84520625</v>
      </c>
      <c r="AF40" s="2">
        <f t="shared" si="19"/>
        <v>257374.11429468746</v>
      </c>
      <c r="AG40" s="2">
        <f t="shared" si="19"/>
        <v>309516.67950720002</v>
      </c>
      <c r="AH40" s="2">
        <f t="shared" si="19"/>
        <v>413971.07605152216</v>
      </c>
      <c r="AI40" s="2">
        <f t="shared" si="19"/>
        <v>526333.58973030467</v>
      </c>
      <c r="AJ40" s="2">
        <f t="shared" si="19"/>
        <v>524012.67073402711</v>
      </c>
      <c r="AK40" s="2">
        <f t="shared" si="19"/>
        <v>525646.99229860329</v>
      </c>
      <c r="AL40" s="2">
        <f t="shared" si="19"/>
        <v>402572.73408361332</v>
      </c>
      <c r="AM40" s="2">
        <f t="shared" si="19"/>
        <v>273829.53527117125</v>
      </c>
      <c r="AN40" s="2">
        <f t="shared" si="19"/>
        <v>16822.667947314272</v>
      </c>
      <c r="AO40" s="2">
        <f t="shared" si="19"/>
        <v>-1711.9756587087759</v>
      </c>
      <c r="AP40" s="2">
        <f t="shared" si="19"/>
        <v>-98435.476108979143</v>
      </c>
      <c r="AQ40" s="2">
        <f t="shared" si="19"/>
        <v>-174466.60410787072</v>
      </c>
    </row>
    <row r="41" spans="2:43">
      <c r="B41" s="2" t="s">
        <v>62</v>
      </c>
      <c r="L41" s="2">
        <v>-54</v>
      </c>
      <c r="M41" s="2">
        <f>-18+251-14</f>
        <v>219</v>
      </c>
      <c r="N41" s="2">
        <f>-101+1086+9</f>
        <v>994</v>
      </c>
      <c r="P41" s="2">
        <f>-1348+788-7</f>
        <v>-567</v>
      </c>
      <c r="Q41" s="2">
        <f>1635+2463</f>
        <v>4098</v>
      </c>
      <c r="R41" s="2">
        <f>-6+2736+585</f>
        <v>3315</v>
      </c>
      <c r="T41" s="2">
        <f>-11+2323-73</f>
        <v>2239</v>
      </c>
      <c r="U41" s="2">
        <f>2246+199</f>
        <v>2445</v>
      </c>
      <c r="V41" s="2">
        <f>U41*1.03</f>
        <v>2518.35</v>
      </c>
      <c r="W41" s="2">
        <f>V41*1.03</f>
        <v>2593.9005000000002</v>
      </c>
      <c r="Z41" s="2">
        <f>93+2189+6</f>
        <v>2288</v>
      </c>
      <c r="AA41" s="2">
        <f>10949-71-338-1048</f>
        <v>9492</v>
      </c>
      <c r="AB41" s="2">
        <f>289+8553+190</f>
        <v>9032</v>
      </c>
      <c r="AC41" s="2">
        <f>AB41*1.1</f>
        <v>9935.2000000000007</v>
      </c>
      <c r="AD41" s="2">
        <f>AC41</f>
        <v>9935.2000000000007</v>
      </c>
      <c r="AE41" s="2">
        <f>AVERAGE(Z41:AD41)+AE53*$C$55</f>
        <v>8201.2081162849991</v>
      </c>
      <c r="AF41" s="2">
        <f t="shared" ref="AF41:AQ41" si="20">AVERAGE(AA41:AE41)+AF53*$C$55</f>
        <v>10694.70506054366</v>
      </c>
      <c r="AG41" s="2">
        <f t="shared" si="20"/>
        <v>12549.020365170883</v>
      </c>
      <c r="AH41" s="2">
        <f t="shared" si="20"/>
        <v>15191.259951436732</v>
      </c>
      <c r="AI41" s="2">
        <f t="shared" si="20"/>
        <v>18826.029204461895</v>
      </c>
      <c r="AJ41" s="2">
        <f t="shared" si="20"/>
        <v>23886.055951341565</v>
      </c>
      <c r="AK41" s="2">
        <f t="shared" si="20"/>
        <v>30321.375852998797</v>
      </c>
      <c r="AL41" s="2">
        <f t="shared" si="20"/>
        <v>37593.639587762467</v>
      </c>
      <c r="AM41" s="2">
        <f t="shared" si="20"/>
        <v>45252.365001782469</v>
      </c>
      <c r="AN41" s="2">
        <f t="shared" si="20"/>
        <v>53185.459051494799</v>
      </c>
      <c r="AO41" s="2">
        <f t="shared" si="20"/>
        <v>60478.793945434212</v>
      </c>
      <c r="AP41" s="2">
        <f t="shared" si="20"/>
        <v>68151.117790338816</v>
      </c>
      <c r="AQ41" s="2">
        <f t="shared" si="20"/>
        <v>75534.754340728614</v>
      </c>
    </row>
    <row r="42" spans="2:43">
      <c r="B42" s="2" t="s">
        <v>67</v>
      </c>
      <c r="L42" s="2">
        <f>SUM(L40:L41)</f>
        <v>-12670</v>
      </c>
      <c r="M42" s="2">
        <f>SUM(M40:M41)</f>
        <v>-14740</v>
      </c>
      <c r="N42" s="2">
        <f>SUM(N40:N41)</f>
        <v>-18871</v>
      </c>
      <c r="P42" s="2">
        <f>SUM(P40:P41)</f>
        <v>-16655</v>
      </c>
      <c r="Q42" s="2">
        <f>SUM(Q40:Q41)</f>
        <v>-10254</v>
      </c>
      <c r="R42" s="2">
        <f>SUM(R40:R41)</f>
        <v>-9630</v>
      </c>
      <c r="T42" s="2">
        <f>SUM(T40:T41)</f>
        <v>-14692</v>
      </c>
      <c r="U42" s="2">
        <f>SUM(U40:U41)</f>
        <v>-14412</v>
      </c>
      <c r="V42" s="2">
        <f>SUM(V40:V41)</f>
        <v>-17644.850000000006</v>
      </c>
      <c r="W42" s="2">
        <f>SUM(W40:W41)</f>
        <v>-19910.619500000004</v>
      </c>
      <c r="Z42" s="2">
        <f>SUM(Z40:Z41)</f>
        <v>-132903</v>
      </c>
      <c r="AA42" s="2">
        <f>SUM(AA40:AA41)</f>
        <v>-125699</v>
      </c>
      <c r="AB42" s="2">
        <f>SUM(AB40:AB41)</f>
        <v>-49578</v>
      </c>
      <c r="AC42" s="2">
        <f>SUM(AC40:AC41)</f>
        <v>-66520.520000000019</v>
      </c>
      <c r="AD42" s="2">
        <f t="shared" ref="AD42:AQ42" si="21">SUM(AD40:AD41)</f>
        <v>120954.03924999996</v>
      </c>
      <c r="AE42" s="2">
        <f>SUM(AE40:AE41)</f>
        <v>217750.05332253501</v>
      </c>
      <c r="AF42" s="2">
        <f t="shared" si="21"/>
        <v>268068.81935523113</v>
      </c>
      <c r="AG42" s="2">
        <f t="shared" si="21"/>
        <v>322065.69987237093</v>
      </c>
      <c r="AH42" s="2">
        <f t="shared" si="21"/>
        <v>429162.33600295888</v>
      </c>
      <c r="AI42" s="2">
        <f t="shared" si="21"/>
        <v>545159.61893476651</v>
      </c>
      <c r="AJ42" s="2">
        <f t="shared" si="21"/>
        <v>547898.72668536869</v>
      </c>
      <c r="AK42" s="2">
        <f t="shared" si="21"/>
        <v>555968.3681516021</v>
      </c>
      <c r="AL42" s="2">
        <f t="shared" si="21"/>
        <v>440166.3736713758</v>
      </c>
      <c r="AM42" s="2">
        <f t="shared" si="21"/>
        <v>319081.90027295373</v>
      </c>
      <c r="AN42" s="2">
        <f t="shared" si="21"/>
        <v>70008.126998809079</v>
      </c>
      <c r="AO42" s="2">
        <f t="shared" si="21"/>
        <v>58766.818286725436</v>
      </c>
      <c r="AP42" s="2">
        <f t="shared" si="21"/>
        <v>-30284.358318640327</v>
      </c>
      <c r="AQ42" s="2">
        <f t="shared" si="21"/>
        <v>-98931.849767142106</v>
      </c>
    </row>
    <row r="43" spans="2:43">
      <c r="B43" s="2" t="s">
        <v>63</v>
      </c>
      <c r="L43" s="2">
        <v>0</v>
      </c>
      <c r="M43" s="2">
        <v>0</v>
      </c>
      <c r="N43" s="2">
        <v>0</v>
      </c>
      <c r="P43" s="2">
        <v>0</v>
      </c>
      <c r="Q43" s="2">
        <v>0</v>
      </c>
      <c r="R43" s="2">
        <v>0</v>
      </c>
      <c r="T43" s="2">
        <v>0</v>
      </c>
      <c r="U43" s="2">
        <v>500</v>
      </c>
      <c r="V43" s="2">
        <v>500</v>
      </c>
      <c r="W43" s="2">
        <v>500</v>
      </c>
      <c r="Z43" s="2">
        <v>-179</v>
      </c>
      <c r="AA43" s="2">
        <v>-179</v>
      </c>
      <c r="AB43" s="2">
        <v>1</v>
      </c>
      <c r="AC43" s="2">
        <v>-179</v>
      </c>
      <c r="AD43" s="2">
        <f t="shared" ref="AD43:AQ43" si="22">AD42*0.14</f>
        <v>16933.565494999995</v>
      </c>
      <c r="AE43" s="2">
        <f t="shared" si="22"/>
        <v>30485.007465154904</v>
      </c>
      <c r="AF43" s="2">
        <f t="shared" si="22"/>
        <v>37529.63470973236</v>
      </c>
      <c r="AG43" s="2">
        <f t="shared" si="22"/>
        <v>45089.197982131933</v>
      </c>
      <c r="AH43" s="2">
        <f t="shared" si="22"/>
        <v>60082.727040414247</v>
      </c>
      <c r="AI43" s="2">
        <f t="shared" si="22"/>
        <v>76322.346650867315</v>
      </c>
      <c r="AJ43" s="2">
        <f t="shared" si="22"/>
        <v>76705.821735951627</v>
      </c>
      <c r="AK43" s="2">
        <f t="shared" si="22"/>
        <v>77835.571541224301</v>
      </c>
      <c r="AL43" s="2">
        <f t="shared" si="22"/>
        <v>61623.292313992621</v>
      </c>
      <c r="AM43" s="2">
        <f t="shared" si="22"/>
        <v>44671.466038213526</v>
      </c>
      <c r="AN43" s="2">
        <f t="shared" si="22"/>
        <v>9801.1377798332724</v>
      </c>
      <c r="AO43" s="2">
        <f t="shared" si="22"/>
        <v>8227.3545601415626</v>
      </c>
      <c r="AP43" s="2">
        <f t="shared" si="22"/>
        <v>-4239.8101646096466</v>
      </c>
      <c r="AQ43" s="2">
        <f t="shared" si="22"/>
        <v>-13850.458967399896</v>
      </c>
    </row>
    <row r="44" spans="2:43">
      <c r="B44" s="2" t="s">
        <v>64</v>
      </c>
      <c r="L44" s="2">
        <f>L42-L43</f>
        <v>-12670</v>
      </c>
      <c r="M44" s="2">
        <f>M42-M43</f>
        <v>-14740</v>
      </c>
      <c r="N44" s="2">
        <f>N42-N43</f>
        <v>-18871</v>
      </c>
      <c r="P44" s="2">
        <f>P42-P43</f>
        <v>-16655</v>
      </c>
      <c r="Q44" s="2">
        <f>Q42-Q43</f>
        <v>-10254</v>
      </c>
      <c r="R44" s="2">
        <f>R42-R43</f>
        <v>-9630</v>
      </c>
      <c r="T44" s="2">
        <f>T42-T43</f>
        <v>-14692</v>
      </c>
      <c r="U44" s="2">
        <f>U42-U43</f>
        <v>-14912</v>
      </c>
      <c r="V44" s="2">
        <f>V42-V43</f>
        <v>-18144.850000000006</v>
      </c>
      <c r="W44" s="2">
        <f>W42-W43</f>
        <v>-20410.619500000004</v>
      </c>
      <c r="Z44" s="2">
        <f t="shared" ref="Z44:AF44" si="23">Z42-Z43</f>
        <v>-132724</v>
      </c>
      <c r="AA44" s="2">
        <f t="shared" si="23"/>
        <v>-125520</v>
      </c>
      <c r="AB44" s="2">
        <f t="shared" si="23"/>
        <v>-49579</v>
      </c>
      <c r="AC44" s="2">
        <f t="shared" si="23"/>
        <v>-66341.520000000019</v>
      </c>
      <c r="AD44" s="2">
        <f t="shared" si="23"/>
        <v>104020.47375499996</v>
      </c>
      <c r="AE44" s="2">
        <f t="shared" si="23"/>
        <v>187265.04585738012</v>
      </c>
      <c r="AF44" s="2">
        <f t="shared" si="23"/>
        <v>230539.18464549875</v>
      </c>
      <c r="AG44" s="2">
        <f t="shared" ref="AG44:AQ44" si="24">AG42-AG43</f>
        <v>276976.50189023901</v>
      </c>
      <c r="AH44" s="2">
        <f t="shared" si="24"/>
        <v>369079.60896254465</v>
      </c>
      <c r="AI44" s="2">
        <f t="shared" si="24"/>
        <v>468837.27228389919</v>
      </c>
      <c r="AJ44" s="2">
        <f t="shared" si="24"/>
        <v>471192.90494941705</v>
      </c>
      <c r="AK44" s="2">
        <f t="shared" si="24"/>
        <v>478132.79661037779</v>
      </c>
      <c r="AL44" s="2">
        <f t="shared" si="24"/>
        <v>378543.08135738317</v>
      </c>
      <c r="AM44" s="2">
        <f t="shared" si="24"/>
        <v>274410.43423474021</v>
      </c>
      <c r="AN44" s="2">
        <f t="shared" si="24"/>
        <v>60206.98921897581</v>
      </c>
      <c r="AO44" s="2">
        <f t="shared" si="24"/>
        <v>50539.463726583876</v>
      </c>
      <c r="AP44" s="2">
        <f t="shared" si="24"/>
        <v>-26044.548154030679</v>
      </c>
      <c r="AQ44" s="2">
        <f t="shared" si="24"/>
        <v>-85081.390799742207</v>
      </c>
    </row>
    <row r="45" spans="2:43">
      <c r="B45" s="2" t="s">
        <v>145</v>
      </c>
      <c r="AD45" s="2">
        <f>AD44*0.7</f>
        <v>72814.33162849996</v>
      </c>
      <c r="AE45" s="2">
        <f t="shared" ref="AE45:AQ45" si="25">AE44*0.7</f>
        <v>131085.53210016608</v>
      </c>
      <c r="AF45" s="2">
        <f t="shared" si="25"/>
        <v>161377.42925184913</v>
      </c>
      <c r="AG45" s="2">
        <f t="shared" si="25"/>
        <v>193883.55132316731</v>
      </c>
      <c r="AH45" s="2">
        <f t="shared" si="25"/>
        <v>258355.72627378124</v>
      </c>
      <c r="AI45" s="2">
        <f t="shared" si="25"/>
        <v>328186.09059872944</v>
      </c>
      <c r="AJ45" s="2">
        <f t="shared" si="25"/>
        <v>329835.03346459189</v>
      </c>
      <c r="AK45" s="2">
        <f t="shared" si="25"/>
        <v>334692.95762726443</v>
      </c>
      <c r="AL45" s="2">
        <f t="shared" si="25"/>
        <v>264980.1569501682</v>
      </c>
      <c r="AM45" s="2">
        <f t="shared" si="25"/>
        <v>192087.30396431813</v>
      </c>
      <c r="AN45" s="2">
        <f t="shared" si="25"/>
        <v>42144.892453283064</v>
      </c>
      <c r="AO45" s="2">
        <f t="shared" si="25"/>
        <v>35377.624608608712</v>
      </c>
      <c r="AP45" s="2">
        <f t="shared" si="25"/>
        <v>-18231.183707821474</v>
      </c>
      <c r="AQ45" s="2">
        <f t="shared" si="25"/>
        <v>-59556.97355981954</v>
      </c>
    </row>
    <row r="47" spans="2:43">
      <c r="B47" s="2" t="s">
        <v>6</v>
      </c>
      <c r="L47" s="2">
        <v>1950</v>
      </c>
      <c r="M47" s="2">
        <v>1956</v>
      </c>
      <c r="N47" s="2">
        <v>1961</v>
      </c>
      <c r="P47" s="2">
        <v>4717</v>
      </c>
      <c r="Q47" s="2">
        <f>R47</f>
        <v>27172</v>
      </c>
      <c r="R47" s="2">
        <v>27172</v>
      </c>
      <c r="T47" s="2">
        <v>27526</v>
      </c>
      <c r="U47" s="2">
        <v>28552</v>
      </c>
      <c r="Z47" s="2">
        <v>1959</v>
      </c>
      <c r="AA47" s="2">
        <v>1959</v>
      </c>
      <c r="AB47" s="2">
        <v>21281</v>
      </c>
      <c r="AC47" s="2">
        <f>AB47</f>
        <v>21281</v>
      </c>
      <c r="AD47" s="2">
        <f>AC47</f>
        <v>21281</v>
      </c>
    </row>
    <row r="48" spans="2:43">
      <c r="B48" s="2" t="s">
        <v>77</v>
      </c>
      <c r="L48" s="10">
        <f>L44/L47</f>
        <v>-6.4974358974358974</v>
      </c>
      <c r="M48" s="10">
        <f>M44/M47</f>
        <v>-7.5357873210633946</v>
      </c>
      <c r="N48" s="10">
        <f>N44/N47</f>
        <v>-9.6231514533401334</v>
      </c>
      <c r="O48" s="10"/>
      <c r="P48" s="10">
        <f>P44/P47</f>
        <v>-3.5308458766164934</v>
      </c>
      <c r="Q48" s="10">
        <f>Q44/Q47</f>
        <v>-0.37737376711320475</v>
      </c>
      <c r="R48" s="10">
        <f>R44/R47</f>
        <v>-0.35440895039010745</v>
      </c>
      <c r="S48" s="10"/>
      <c r="T48" s="10">
        <f>T44/T47</f>
        <v>-0.53374990917677834</v>
      </c>
      <c r="U48" s="10">
        <f>U44/U47</f>
        <v>-0.52227514710002798</v>
      </c>
      <c r="Z48" s="10">
        <f>Z44/Z47</f>
        <v>-67.750893312914755</v>
      </c>
      <c r="AA48" s="10">
        <f>AA44/AA47</f>
        <v>-64.073506891271052</v>
      </c>
      <c r="AB48" s="10">
        <f>AB44/AB47</f>
        <v>-2.3297307457356329</v>
      </c>
      <c r="AC48" s="10">
        <f>AC44/AC47</f>
        <v>-3.1174061369296564</v>
      </c>
      <c r="AD48" s="10">
        <f>AD45/AD47</f>
        <v>3.4215653225177372</v>
      </c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</row>
    <row r="50" spans="2:43">
      <c r="B50" s="2" t="s">
        <v>76</v>
      </c>
    </row>
    <row r="53" spans="2:43">
      <c r="B53" s="2" t="s">
        <v>78</v>
      </c>
      <c r="C53" s="34">
        <v>0.11</v>
      </c>
      <c r="AD53" s="2">
        <f>AC44</f>
        <v>-66341.520000000019</v>
      </c>
      <c r="AE53" s="2">
        <f t="shared" ref="AE53:AQ53" si="26">AD45+AD53</f>
        <v>6472.8116284999414</v>
      </c>
      <c r="AF53" s="2">
        <f t="shared" si="26"/>
        <v>137558.34372866602</v>
      </c>
      <c r="AG53" s="2">
        <f t="shared" si="26"/>
        <v>298935.77298051515</v>
      </c>
      <c r="AH53" s="2">
        <f t="shared" si="26"/>
        <v>492819.32430368243</v>
      </c>
      <c r="AI53" s="2">
        <f t="shared" si="26"/>
        <v>751175.0505774637</v>
      </c>
      <c r="AJ53" s="2">
        <f t="shared" si="26"/>
        <v>1079361.141176193</v>
      </c>
      <c r="AK53" s="2">
        <f t="shared" si="26"/>
        <v>1409196.174640785</v>
      </c>
      <c r="AL53" s="2">
        <f t="shared" si="26"/>
        <v>1743889.1322680493</v>
      </c>
      <c r="AM53" s="2">
        <f t="shared" si="26"/>
        <v>2008869.2892182176</v>
      </c>
      <c r="AN53" s="2">
        <f t="shared" si="26"/>
        <v>2200956.5931825358</v>
      </c>
      <c r="AO53" s="2">
        <f t="shared" si="26"/>
        <v>2243101.4856358189</v>
      </c>
      <c r="AP53" s="2">
        <f t="shared" si="26"/>
        <v>2278479.1102444278</v>
      </c>
      <c r="AQ53" s="2">
        <f t="shared" si="26"/>
        <v>2260247.9265366062</v>
      </c>
    </row>
    <row r="54" spans="2:43">
      <c r="B54" s="2" t="s">
        <v>79</v>
      </c>
      <c r="C54" s="35">
        <f>NPV(C53,AC45:AQ45)+Main!P7-Main!P8</f>
        <v>1436317.5522635519</v>
      </c>
    </row>
    <row r="55" spans="2:43">
      <c r="B55" s="2" t="s">
        <v>80</v>
      </c>
      <c r="C55" s="34">
        <v>0.01</v>
      </c>
    </row>
    <row r="56" spans="2:43">
      <c r="B56" s="2" t="s">
        <v>81</v>
      </c>
      <c r="C56" s="36">
        <f>C54/Main!P5</f>
        <v>50.358234074172636</v>
      </c>
    </row>
  </sheetData>
  <hyperlinks>
    <hyperlink ref="A1" location="Main!A1" display="Main" xr:uid="{A1B912C4-979B-4662-84A7-4F5502F925EB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3226-764C-41DB-97BB-F63101032D85}">
  <dimension ref="A1:E20"/>
  <sheetViews>
    <sheetView showGridLines="0" workbookViewId="0">
      <selection activeCell="B19" sqref="B19"/>
    </sheetView>
  </sheetViews>
  <sheetFormatPr defaultRowHeight="14.4"/>
  <cols>
    <col min="1" max="1" width="8.88671875" style="27"/>
    <col min="2" max="2" width="10.77734375" style="27" customWidth="1"/>
    <col min="3" max="3" width="14.33203125" style="27" customWidth="1"/>
    <col min="4" max="6" width="8.88671875" style="27"/>
    <col min="7" max="7" width="9.109375" style="27" bestFit="1" customWidth="1"/>
    <col min="8" max="16384" width="8.88671875" style="27"/>
  </cols>
  <sheetData>
    <row r="1" spans="1:5">
      <c r="A1" s="28" t="s">
        <v>2</v>
      </c>
    </row>
    <row r="2" spans="1:5">
      <c r="B2" s="3">
        <v>45885</v>
      </c>
    </row>
    <row r="3" spans="1:5">
      <c r="B3" s="29" t="s">
        <v>1</v>
      </c>
    </row>
    <row r="4" spans="1:5" s="30" customFormat="1"/>
    <row r="5" spans="1:5">
      <c r="B5" s="27" t="s">
        <v>34</v>
      </c>
      <c r="C5" s="27" t="s">
        <v>40</v>
      </c>
    </row>
    <row r="6" spans="1:5">
      <c r="B6" s="27" t="s">
        <v>70</v>
      </c>
      <c r="C6" s="27" t="s">
        <v>71</v>
      </c>
      <c r="E6" s="31"/>
    </row>
    <row r="7" spans="1:5">
      <c r="B7" s="27" t="s">
        <v>35</v>
      </c>
      <c r="C7" s="27" t="s">
        <v>3</v>
      </c>
    </row>
    <row r="8" spans="1:5">
      <c r="B8" s="27" t="s">
        <v>36</v>
      </c>
      <c r="C8" s="27" t="s">
        <v>44</v>
      </c>
    </row>
    <row r="9" spans="1:5">
      <c r="B9" s="27" t="s">
        <v>37</v>
      </c>
      <c r="C9" s="27" t="s">
        <v>69</v>
      </c>
    </row>
    <row r="11" spans="1:5">
      <c r="B11" s="32" t="s">
        <v>68</v>
      </c>
    </row>
    <row r="13" spans="1:5">
      <c r="B13" s="26" t="s">
        <v>72</v>
      </c>
    </row>
    <row r="14" spans="1:5">
      <c r="B14" s="26" t="s">
        <v>73</v>
      </c>
    </row>
    <row r="15" spans="1:5">
      <c r="B15" s="26" t="s">
        <v>74</v>
      </c>
    </row>
    <row r="18" spans="2:4">
      <c r="B18" s="2"/>
    </row>
    <row r="20" spans="2:4">
      <c r="C20" s="33" t="s">
        <v>140</v>
      </c>
      <c r="D20" s="37" t="s">
        <v>139</v>
      </c>
    </row>
  </sheetData>
  <hyperlinks>
    <hyperlink ref="A1" location="Main!A1" display="Main" xr:uid="{C934ADB2-1372-44E8-9730-A3C8A42B3EDE}"/>
    <hyperlink ref="D20" r:id="rId1" xr:uid="{F12E82CE-4B2B-4B79-A28C-49A57841202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Module</vt:lpstr>
      <vt:lpstr>LNZ100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Eray Günel</dc:creator>
  <cp:lastModifiedBy>Eray Günel</cp:lastModifiedBy>
  <dcterms:created xsi:type="dcterms:W3CDTF">2025-08-16T11:40:37Z</dcterms:created>
  <dcterms:modified xsi:type="dcterms:W3CDTF">2025-08-18T13:49:49Z</dcterms:modified>
</cp:coreProperties>
</file>