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AY\Desktop\Financial Modelling\"/>
    </mc:Choice>
  </mc:AlternateContent>
  <xr:revisionPtr revIDLastSave="0" documentId="8_{AAC2D184-E2F6-4056-81CA-CB7026020382}" xr6:coauthVersionLast="47" xr6:coauthVersionMax="47" xr10:uidLastSave="{00000000-0000-0000-0000-000000000000}"/>
  <bookViews>
    <workbookView xWindow="-120" yWindow="-120" windowWidth="19800" windowHeight="11760" activeTab="2" xr2:uid="{AB976DE8-E11A-4E94-A65F-2288762ABEDD}"/>
  </bookViews>
  <sheets>
    <sheet name="LBO" sheetId="1" r:id="rId1"/>
    <sheet name="INST" sheetId="2" r:id="rId2"/>
    <sheet name="MODULE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1" i="3" l="1"/>
  <c r="E301" i="3" s="1"/>
  <c r="F301" i="3" s="1"/>
  <c r="G301" i="3" s="1"/>
  <c r="H301" i="3" s="1"/>
  <c r="C269" i="3"/>
  <c r="E144" i="3"/>
  <c r="F144" i="3"/>
  <c r="G144" i="3"/>
  <c r="H144" i="3"/>
  <c r="D144" i="3"/>
  <c r="E243" i="3"/>
  <c r="F243" i="3"/>
  <c r="G243" i="3"/>
  <c r="H243" i="3"/>
  <c r="D243" i="3"/>
  <c r="D226" i="3"/>
  <c r="E226" i="3" s="1"/>
  <c r="F226" i="3" s="1"/>
  <c r="G226" i="3" s="1"/>
  <c r="H226" i="3" s="1"/>
  <c r="D224" i="3"/>
  <c r="E224" i="3" s="1"/>
  <c r="D221" i="3"/>
  <c r="E221" i="3" s="1"/>
  <c r="F221" i="3" s="1"/>
  <c r="G221" i="3" s="1"/>
  <c r="H221" i="3" s="1"/>
  <c r="D255" i="3"/>
  <c r="E255" i="3" s="1"/>
  <c r="F255" i="3" s="1"/>
  <c r="G255" i="3" s="1"/>
  <c r="H255" i="3" s="1"/>
  <c r="D253" i="3"/>
  <c r="E253" i="3" s="1"/>
  <c r="F253" i="3" s="1"/>
  <c r="G253" i="3" s="1"/>
  <c r="H253" i="3" s="1"/>
  <c r="E238" i="3"/>
  <c r="F238" i="3" s="1"/>
  <c r="G238" i="3" s="1"/>
  <c r="H238" i="3" s="1"/>
  <c r="D213" i="3"/>
  <c r="E213" i="3" s="1"/>
  <c r="F213" i="3" s="1"/>
  <c r="G213" i="3" s="1"/>
  <c r="H213" i="3" s="1"/>
  <c r="C368" i="3"/>
  <c r="C364" i="3"/>
  <c r="C355" i="3"/>
  <c r="C342" i="3"/>
  <c r="C341" i="3"/>
  <c r="C360" i="3" s="1"/>
  <c r="C344" i="3"/>
  <c r="D344" i="3" s="1"/>
  <c r="E344" i="3" s="1"/>
  <c r="F344" i="3" s="1"/>
  <c r="G344" i="3" s="1"/>
  <c r="H344" i="3" s="1"/>
  <c r="L163" i="3"/>
  <c r="C163" i="3" s="1"/>
  <c r="C329" i="3" s="1"/>
  <c r="L162" i="3"/>
  <c r="C162" i="3" s="1"/>
  <c r="C328" i="3" s="1"/>
  <c r="K161" i="3"/>
  <c r="L161" i="3" s="1"/>
  <c r="C161" i="3" s="1"/>
  <c r="D212" i="3" s="1"/>
  <c r="L181" i="3"/>
  <c r="C181" i="3" s="1"/>
  <c r="C335" i="3" s="1"/>
  <c r="L180" i="3"/>
  <c r="C180" i="3" s="1"/>
  <c r="C334" i="3" s="1"/>
  <c r="L185" i="3"/>
  <c r="C185" i="3" s="1"/>
  <c r="D185" i="3" s="1"/>
  <c r="E185" i="3" s="1"/>
  <c r="F185" i="3" s="1"/>
  <c r="J189" i="3"/>
  <c r="J182" i="3"/>
  <c r="J171" i="3"/>
  <c r="J164" i="3"/>
  <c r="D321" i="3"/>
  <c r="E321" i="3"/>
  <c r="F321" i="3"/>
  <c r="G321" i="3"/>
  <c r="H321" i="3"/>
  <c r="C321" i="3"/>
  <c r="C320" i="3"/>
  <c r="C112" i="3"/>
  <c r="C113" i="3" s="1"/>
  <c r="C110" i="3"/>
  <c r="D110" i="3" s="1"/>
  <c r="C107" i="3"/>
  <c r="C100" i="3"/>
  <c r="C101" i="3" s="1"/>
  <c r="C98" i="3"/>
  <c r="D98" i="3" s="1"/>
  <c r="E98" i="3" s="1"/>
  <c r="D94" i="3"/>
  <c r="D320" i="3" s="1"/>
  <c r="E95" i="3"/>
  <c r="F95" i="3" s="1"/>
  <c r="G95" i="3" s="1"/>
  <c r="H95" i="3" s="1"/>
  <c r="C87" i="3"/>
  <c r="C86" i="3"/>
  <c r="C16" i="3"/>
  <c r="C17" i="3" s="1"/>
  <c r="C19" i="3" s="1"/>
  <c r="C85" i="3" s="1"/>
  <c r="D7" i="3"/>
  <c r="E7" i="3" s="1"/>
  <c r="F7" i="3" s="1"/>
  <c r="G7" i="3" s="1"/>
  <c r="H7" i="3" s="1"/>
  <c r="D151" i="3" l="1"/>
  <c r="G185" i="3"/>
  <c r="F224" i="3"/>
  <c r="C348" i="3"/>
  <c r="D348" i="3" s="1"/>
  <c r="E348" i="3" s="1"/>
  <c r="C350" i="3"/>
  <c r="D350" i="3" s="1"/>
  <c r="E350" i="3" s="1"/>
  <c r="F350" i="3" s="1"/>
  <c r="G350" i="3" s="1"/>
  <c r="H350" i="3" s="1"/>
  <c r="C349" i="3"/>
  <c r="D349" i="3" s="1"/>
  <c r="E349" i="3" s="1"/>
  <c r="C347" i="3"/>
  <c r="D347" i="3" s="1"/>
  <c r="E347" i="3" s="1"/>
  <c r="F347" i="3" s="1"/>
  <c r="G347" i="3" s="1"/>
  <c r="H347" i="3" s="1"/>
  <c r="C378" i="3"/>
  <c r="C361" i="3"/>
  <c r="D361" i="3" s="1"/>
  <c r="E361" i="3" s="1"/>
  <c r="F361" i="3" s="1"/>
  <c r="G361" i="3" s="1"/>
  <c r="H361" i="3" s="1"/>
  <c r="C164" i="3"/>
  <c r="D341" i="3"/>
  <c r="C330" i="3"/>
  <c r="C336" i="3"/>
  <c r="C182" i="3"/>
  <c r="L182" i="3"/>
  <c r="L164" i="3"/>
  <c r="J191" i="3"/>
  <c r="J194" i="3" s="1"/>
  <c r="J173" i="3"/>
  <c r="C322" i="3"/>
  <c r="D322" i="3"/>
  <c r="E94" i="3"/>
  <c r="E341" i="3" s="1"/>
  <c r="E110" i="3"/>
  <c r="C103" i="3"/>
  <c r="C104" i="3" s="1"/>
  <c r="D104" i="3" s="1"/>
  <c r="D103" i="3" s="1"/>
  <c r="F98" i="3"/>
  <c r="D97" i="3"/>
  <c r="C39" i="3"/>
  <c r="C44" i="3"/>
  <c r="D248" i="3" s="1"/>
  <c r="D256" i="3" s="1"/>
  <c r="C32" i="3"/>
  <c r="C76" i="3" s="1"/>
  <c r="H185" i="3" l="1"/>
  <c r="G224" i="3"/>
  <c r="C78" i="3"/>
  <c r="K188" i="3" s="1"/>
  <c r="L188" i="3" s="1"/>
  <c r="C188" i="3" s="1"/>
  <c r="D335" i="3"/>
  <c r="D181" i="3" s="1"/>
  <c r="D131" i="3" s="1"/>
  <c r="K186" i="3"/>
  <c r="L186" i="3" s="1"/>
  <c r="C186" i="3" s="1"/>
  <c r="D217" i="3"/>
  <c r="C338" i="3"/>
  <c r="E335" i="3"/>
  <c r="E181" i="3" s="1"/>
  <c r="D135" i="3"/>
  <c r="D136" i="3" s="1"/>
  <c r="D375" i="3"/>
  <c r="D100" i="3"/>
  <c r="D101" i="3" s="1"/>
  <c r="D342" i="3"/>
  <c r="E360" i="3"/>
  <c r="E355" i="3" s="1"/>
  <c r="E328" i="3"/>
  <c r="D328" i="3"/>
  <c r="D360" i="3"/>
  <c r="D355" i="3" s="1"/>
  <c r="D376" i="3" s="1"/>
  <c r="F348" i="3"/>
  <c r="F349" i="3"/>
  <c r="J195" i="3"/>
  <c r="F94" i="3"/>
  <c r="E320" i="3"/>
  <c r="E322" i="3" s="1"/>
  <c r="E97" i="3"/>
  <c r="F110" i="3"/>
  <c r="E104" i="3"/>
  <c r="F104" i="3" s="1"/>
  <c r="G98" i="3"/>
  <c r="C77" i="3"/>
  <c r="D237" i="3" s="1"/>
  <c r="D244" i="3" s="1"/>
  <c r="C88" i="3"/>
  <c r="C367" i="3" s="1"/>
  <c r="C369" i="3" s="1"/>
  <c r="D222" i="3" l="1"/>
  <c r="D225" i="3"/>
  <c r="D227" i="3" s="1"/>
  <c r="H224" i="3"/>
  <c r="E131" i="3"/>
  <c r="K187" i="3"/>
  <c r="L187" i="3" s="1"/>
  <c r="C187" i="3" s="1"/>
  <c r="C189" i="3" s="1"/>
  <c r="C191" i="3" s="1"/>
  <c r="E135" i="3"/>
  <c r="E136" i="3" s="1"/>
  <c r="E375" i="3"/>
  <c r="E376" i="3"/>
  <c r="D106" i="3"/>
  <c r="D107" i="3" s="1"/>
  <c r="D357" i="3"/>
  <c r="E357" i="3"/>
  <c r="F357" i="3"/>
  <c r="G357" i="3"/>
  <c r="H357" i="3"/>
  <c r="D329" i="3"/>
  <c r="D163" i="3" s="1"/>
  <c r="D334" i="3"/>
  <c r="E100" i="3"/>
  <c r="E101" i="3" s="1"/>
  <c r="E342" i="3"/>
  <c r="G348" i="3"/>
  <c r="F97" i="3"/>
  <c r="F341" i="3"/>
  <c r="D162" i="3"/>
  <c r="E162" i="3"/>
  <c r="G349" i="3"/>
  <c r="C89" i="3"/>
  <c r="C81" i="3" s="1"/>
  <c r="C69" i="3" s="1"/>
  <c r="K169" i="3"/>
  <c r="C199" i="3" s="1"/>
  <c r="G94" i="3"/>
  <c r="F320" i="3"/>
  <c r="F322" i="3" s="1"/>
  <c r="E103" i="3"/>
  <c r="G110" i="3"/>
  <c r="G104" i="3"/>
  <c r="F103" i="3"/>
  <c r="H98" i="3"/>
  <c r="D330" i="3" l="1"/>
  <c r="L189" i="3"/>
  <c r="L191" i="3" s="1"/>
  <c r="H240" i="3"/>
  <c r="H214" i="3" s="1"/>
  <c r="D240" i="3"/>
  <c r="E240" i="3"/>
  <c r="E214" i="3" s="1"/>
  <c r="F240" i="3"/>
  <c r="F214" i="3" s="1"/>
  <c r="G240" i="3"/>
  <c r="G214" i="3" s="1"/>
  <c r="D129" i="3"/>
  <c r="E128" i="3"/>
  <c r="D128" i="3"/>
  <c r="E106" i="3"/>
  <c r="E107" i="3" s="1"/>
  <c r="F135" i="3"/>
  <c r="F136" i="3" s="1"/>
  <c r="F375" i="3"/>
  <c r="F360" i="3"/>
  <c r="F355" i="3" s="1"/>
  <c r="F328" i="3"/>
  <c r="F335" i="3"/>
  <c r="F181" i="3" s="1"/>
  <c r="F131" i="3" s="1"/>
  <c r="F100" i="3"/>
  <c r="F101" i="3" s="1"/>
  <c r="F342" i="3"/>
  <c r="H348" i="3"/>
  <c r="E334" i="3"/>
  <c r="E329" i="3"/>
  <c r="D180" i="3"/>
  <c r="D336" i="3"/>
  <c r="G97" i="3"/>
  <c r="G341" i="3"/>
  <c r="H349" i="3"/>
  <c r="L169" i="3"/>
  <c r="C169" i="3" s="1"/>
  <c r="D169" i="3" s="1"/>
  <c r="E169" i="3" s="1"/>
  <c r="F169" i="3" s="1"/>
  <c r="G169" i="3" s="1"/>
  <c r="H169" i="3" s="1"/>
  <c r="H94" i="3"/>
  <c r="G320" i="3"/>
  <c r="G322" i="3" s="1"/>
  <c r="C80" i="3"/>
  <c r="C279" i="3" s="1"/>
  <c r="C79" i="3"/>
  <c r="H110" i="3"/>
  <c r="H104" i="3"/>
  <c r="G103" i="3"/>
  <c r="C278" i="3" l="1"/>
  <c r="C280" i="3" s="1"/>
  <c r="C302" i="3"/>
  <c r="D214" i="3"/>
  <c r="F145" i="3"/>
  <c r="G145" i="3"/>
  <c r="H145" i="3"/>
  <c r="D145" i="3"/>
  <c r="E145" i="3"/>
  <c r="C117" i="3"/>
  <c r="D338" i="3"/>
  <c r="D339" i="3" s="1"/>
  <c r="D182" i="3"/>
  <c r="D130" i="3"/>
  <c r="F376" i="3"/>
  <c r="F106" i="3"/>
  <c r="F107" i="3" s="1"/>
  <c r="G135" i="3"/>
  <c r="G136" i="3" s="1"/>
  <c r="G375" i="3"/>
  <c r="E180" i="3"/>
  <c r="E336" i="3"/>
  <c r="F329" i="3"/>
  <c r="F163" i="3" s="1"/>
  <c r="F334" i="3"/>
  <c r="G360" i="3"/>
  <c r="G355" i="3" s="1"/>
  <c r="G328" i="3"/>
  <c r="G162" i="3" s="1"/>
  <c r="G335" i="3"/>
  <c r="G181" i="3" s="1"/>
  <c r="G131" i="3" s="1"/>
  <c r="G100" i="3"/>
  <c r="G101" i="3" s="1"/>
  <c r="G342" i="3"/>
  <c r="H320" i="3"/>
  <c r="H322" i="3" s="1"/>
  <c r="H341" i="3"/>
  <c r="F162" i="3"/>
  <c r="E163" i="3"/>
  <c r="E330" i="3"/>
  <c r="K192" i="3"/>
  <c r="C200" i="3" s="1"/>
  <c r="C201" i="3" s="1"/>
  <c r="H103" i="3"/>
  <c r="H97" i="3"/>
  <c r="C282" i="3" l="1"/>
  <c r="C288" i="3" s="1"/>
  <c r="C118" i="3"/>
  <c r="C119" i="3" s="1"/>
  <c r="E182" i="3"/>
  <c r="E130" i="3"/>
  <c r="G128" i="3"/>
  <c r="F128" i="3"/>
  <c r="F129" i="3"/>
  <c r="E129" i="3"/>
  <c r="F330" i="3"/>
  <c r="G376" i="3"/>
  <c r="G106" i="3"/>
  <c r="H135" i="3"/>
  <c r="H136" i="3" s="1"/>
  <c r="H375" i="3"/>
  <c r="F336" i="3"/>
  <c r="F180" i="3"/>
  <c r="G334" i="3"/>
  <c r="G329" i="3"/>
  <c r="G163" i="3" s="1"/>
  <c r="E338" i="3"/>
  <c r="E339" i="3" s="1"/>
  <c r="H360" i="3"/>
  <c r="H355" i="3" s="1"/>
  <c r="H376" i="3" s="1"/>
  <c r="H328" i="3"/>
  <c r="H162" i="3" s="1"/>
  <c r="H128" i="3" s="1"/>
  <c r="H335" i="3"/>
  <c r="H181" i="3" s="1"/>
  <c r="H131" i="3" s="1"/>
  <c r="H100" i="3"/>
  <c r="H101" i="3" s="1"/>
  <c r="H342" i="3"/>
  <c r="C202" i="3"/>
  <c r="K170" i="3" s="1"/>
  <c r="L170" i="3" s="1"/>
  <c r="C170" i="3" s="1"/>
  <c r="D170" i="3" s="1"/>
  <c r="E170" i="3" s="1"/>
  <c r="F170" i="3" s="1"/>
  <c r="G170" i="3" s="1"/>
  <c r="H170" i="3" s="1"/>
  <c r="C203" i="3"/>
  <c r="C204" i="3" s="1"/>
  <c r="L192" i="3"/>
  <c r="C287" i="3" l="1"/>
  <c r="C286" i="3"/>
  <c r="F338" i="3"/>
  <c r="F339" i="3" s="1"/>
  <c r="F182" i="3"/>
  <c r="F130" i="3"/>
  <c r="G129" i="3"/>
  <c r="H106" i="3"/>
  <c r="G107" i="3"/>
  <c r="K168" i="3"/>
  <c r="L168" i="3" s="1"/>
  <c r="L171" i="3" s="1"/>
  <c r="L173" i="3" s="1"/>
  <c r="C363" i="3"/>
  <c r="C365" i="3" s="1"/>
  <c r="H334" i="3"/>
  <c r="H329" i="3"/>
  <c r="H163" i="3" s="1"/>
  <c r="H129" i="3" s="1"/>
  <c r="G336" i="3"/>
  <c r="G180" i="3"/>
  <c r="G330" i="3"/>
  <c r="L194" i="3"/>
  <c r="C192" i="3"/>
  <c r="C194" i="3" s="1"/>
  <c r="C290" i="3" l="1"/>
  <c r="H107" i="3"/>
  <c r="C268" i="3"/>
  <c r="C270" i="3" s="1"/>
  <c r="G182" i="3"/>
  <c r="G130" i="3"/>
  <c r="D356" i="3"/>
  <c r="F356" i="3"/>
  <c r="E356" i="3"/>
  <c r="G356" i="3"/>
  <c r="H356" i="3"/>
  <c r="G338" i="3"/>
  <c r="C168" i="3"/>
  <c r="H336" i="3"/>
  <c r="H180" i="3"/>
  <c r="H330" i="3"/>
  <c r="L195" i="3"/>
  <c r="H182" i="3" l="1"/>
  <c r="H130" i="3"/>
  <c r="C171" i="3"/>
  <c r="C173" i="3" s="1"/>
  <c r="C195" i="3" s="1"/>
  <c r="D374" i="3"/>
  <c r="H358" i="3"/>
  <c r="H109" i="3" s="1"/>
  <c r="H377" i="3"/>
  <c r="G377" i="3"/>
  <c r="G358" i="3"/>
  <c r="G109" i="3" s="1"/>
  <c r="E377" i="3"/>
  <c r="E358" i="3"/>
  <c r="E109" i="3" s="1"/>
  <c r="F377" i="3"/>
  <c r="F358" i="3"/>
  <c r="F109" i="3" s="1"/>
  <c r="D358" i="3"/>
  <c r="D109" i="3" s="1"/>
  <c r="D377" i="3"/>
  <c r="G339" i="3"/>
  <c r="H338" i="3"/>
  <c r="H339" i="3" s="1"/>
  <c r="D378" i="3" l="1"/>
  <c r="D168" i="3" s="1"/>
  <c r="D171" i="3" s="1"/>
  <c r="E126" i="3"/>
  <c r="E112" i="3"/>
  <c r="G126" i="3"/>
  <c r="G112" i="3"/>
  <c r="D126" i="3"/>
  <c r="D112" i="3"/>
  <c r="F126" i="3"/>
  <c r="F112" i="3"/>
  <c r="H126" i="3"/>
  <c r="H112" i="3"/>
  <c r="E374" i="3" l="1"/>
  <c r="E378" i="3" s="1"/>
  <c r="E168" i="3" s="1"/>
  <c r="E171" i="3" s="1"/>
  <c r="F113" i="3"/>
  <c r="D113" i="3"/>
  <c r="G113" i="3"/>
  <c r="H113" i="3"/>
  <c r="E113" i="3"/>
  <c r="F374" i="3" l="1"/>
  <c r="F378" i="3" s="1"/>
  <c r="F168" i="3" s="1"/>
  <c r="F171" i="3" s="1"/>
  <c r="G374" i="3" l="1"/>
  <c r="G378" i="3" s="1"/>
  <c r="H374" i="3" s="1"/>
  <c r="H378" i="3" s="1"/>
  <c r="H168" i="3" s="1"/>
  <c r="H171" i="3" s="1"/>
  <c r="G168" i="3" l="1"/>
  <c r="G171" i="3" s="1"/>
  <c r="D254" i="3" l="1"/>
  <c r="D261" i="3" s="1"/>
  <c r="D251" i="3" l="1"/>
  <c r="D252" i="3" s="1"/>
  <c r="D188" i="3" s="1"/>
  <c r="D262" i="3"/>
  <c r="D127" i="3" s="1"/>
  <c r="E248" i="3" l="1"/>
  <c r="E256" i="3" s="1"/>
  <c r="D263" i="3"/>
  <c r="D115" i="3" s="1"/>
  <c r="D117" i="3" s="1"/>
  <c r="D118" i="3" s="1"/>
  <c r="D119" i="3" l="1"/>
  <c r="D192" i="3" l="1"/>
  <c r="D125" i="3"/>
  <c r="D132" i="3" s="1"/>
  <c r="D138" i="3" l="1"/>
  <c r="D211" i="3" l="1"/>
  <c r="D215" i="3" s="1"/>
  <c r="D233" i="3" s="1"/>
  <c r="D218" i="3" l="1"/>
  <c r="D219" i="3"/>
  <c r="D220" i="3" l="1"/>
  <c r="E217" i="3" s="1"/>
  <c r="D142" i="3"/>
  <c r="D234" i="3"/>
  <c r="D235" i="3" s="1"/>
  <c r="D239" i="3" s="1"/>
  <c r="D241" i="3" s="1"/>
  <c r="D187" i="3" s="1"/>
  <c r="E222" i="3" l="1"/>
  <c r="E225" i="3"/>
  <c r="E227" i="3" s="1"/>
  <c r="D186" i="3"/>
  <c r="D189" i="3" s="1"/>
  <c r="D191" i="3" s="1"/>
  <c r="D194" i="3" s="1"/>
  <c r="D143" i="3"/>
  <c r="D146" i="3" s="1"/>
  <c r="D149" i="3" s="1"/>
  <c r="D152" i="3" s="1"/>
  <c r="E237" i="3"/>
  <c r="E244" i="3" s="1"/>
  <c r="D161" i="3" l="1"/>
  <c r="E151" i="3"/>
  <c r="E212" i="3" l="1"/>
  <c r="D164" i="3"/>
  <c r="D173" i="3" s="1"/>
  <c r="D195" i="3" s="1"/>
  <c r="D259" i="3" l="1"/>
  <c r="D260" i="3" s="1"/>
  <c r="E262" i="3" l="1"/>
  <c r="E127" i="3" s="1"/>
  <c r="E251" i="3"/>
  <c r="E252" i="3" l="1"/>
  <c r="E254" i="3" s="1"/>
  <c r="E261" i="3" s="1"/>
  <c r="E263" i="3" s="1"/>
  <c r="E115" i="3" s="1"/>
  <c r="E117" i="3" s="1"/>
  <c r="F248" i="3" l="1"/>
  <c r="F256" i="3" s="1"/>
  <c r="E188" i="3"/>
  <c r="E118" i="3"/>
  <c r="E119" i="3" s="1"/>
  <c r="E192" i="3" l="1"/>
  <c r="E125" i="3"/>
  <c r="E132" i="3" s="1"/>
  <c r="E138" i="3" s="1"/>
  <c r="F262" i="3"/>
  <c r="F127" i="3" s="1"/>
  <c r="F251" i="3"/>
  <c r="F252" i="3" l="1"/>
  <c r="F254" i="3" s="1"/>
  <c r="E211" i="3"/>
  <c r="E215" i="3" s="1"/>
  <c r="G248" i="3" l="1"/>
  <c r="G256" i="3" s="1"/>
  <c r="F188" i="3"/>
  <c r="E219" i="3"/>
  <c r="E218" i="3"/>
  <c r="E233" i="3"/>
  <c r="E220" i="3" l="1"/>
  <c r="E234" i="3"/>
  <c r="E235" i="3" s="1"/>
  <c r="E239" i="3" s="1"/>
  <c r="E142" i="3"/>
  <c r="G262" i="3"/>
  <c r="G127" i="3" s="1"/>
  <c r="G251" i="3"/>
  <c r="G252" i="3" l="1"/>
  <c r="E186" i="3"/>
  <c r="F217" i="3"/>
  <c r="E241" i="3"/>
  <c r="E259" i="3" s="1"/>
  <c r="E260" i="3" s="1"/>
  <c r="E143" i="3"/>
  <c r="E146" i="3" s="1"/>
  <c r="E149" i="3" s="1"/>
  <c r="E152" i="3" s="1"/>
  <c r="H248" i="3" l="1"/>
  <c r="H256" i="3" s="1"/>
  <c r="G188" i="3"/>
  <c r="G254" i="3"/>
  <c r="E161" i="3"/>
  <c r="F151" i="3"/>
  <c r="F225" i="3"/>
  <c r="F227" i="3" s="1"/>
  <c r="F222" i="3"/>
  <c r="F237" i="3"/>
  <c r="E187" i="3"/>
  <c r="E189" i="3" s="1"/>
  <c r="E191" i="3" s="1"/>
  <c r="E194" i="3" s="1"/>
  <c r="F244" i="3" l="1"/>
  <c r="F261" i="3" s="1"/>
  <c r="F263" i="3" s="1"/>
  <c r="F115" i="3" s="1"/>
  <c r="F117" i="3" s="1"/>
  <c r="H251" i="3"/>
  <c r="H252" i="3" s="1"/>
  <c r="H188" i="3" s="1"/>
  <c r="H262" i="3"/>
  <c r="H127" i="3" s="1"/>
  <c r="E164" i="3"/>
  <c r="E173" i="3" s="1"/>
  <c r="E195" i="3" s="1"/>
  <c r="F212" i="3"/>
  <c r="H254" i="3" l="1"/>
  <c r="F118" i="3"/>
  <c r="F119" i="3" s="1"/>
  <c r="F125" i="3" l="1"/>
  <c r="F132" i="3" s="1"/>
  <c r="F138" i="3" s="1"/>
  <c r="F211" i="3" s="1"/>
  <c r="F215" i="3" s="1"/>
  <c r="F192" i="3"/>
  <c r="F233" i="3" l="1"/>
  <c r="F218" i="3"/>
  <c r="F219" i="3"/>
  <c r="F142" i="3" l="1"/>
  <c r="F234" i="3"/>
  <c r="F235" i="3" s="1"/>
  <c r="F239" i="3" s="1"/>
  <c r="F220" i="3"/>
  <c r="F186" i="3" l="1"/>
  <c r="G217" i="3"/>
  <c r="F143" i="3"/>
  <c r="F146" i="3" s="1"/>
  <c r="F149" i="3" s="1"/>
  <c r="F152" i="3" s="1"/>
  <c r="F241" i="3"/>
  <c r="F259" i="3" s="1"/>
  <c r="F260" i="3" s="1"/>
  <c r="F187" i="3" l="1"/>
  <c r="F189" i="3" s="1"/>
  <c r="F191" i="3" s="1"/>
  <c r="F194" i="3" s="1"/>
  <c r="G237" i="3"/>
  <c r="G225" i="3"/>
  <c r="G227" i="3" s="1"/>
  <c r="G222" i="3"/>
  <c r="G151" i="3"/>
  <c r="F161" i="3"/>
  <c r="G212" i="3" l="1"/>
  <c r="F164" i="3"/>
  <c r="F173" i="3" s="1"/>
  <c r="F195" i="3" s="1"/>
  <c r="G244" i="3"/>
  <c r="G261" i="3" s="1"/>
  <c r="G263" i="3" s="1"/>
  <c r="G115" i="3" s="1"/>
  <c r="G117" i="3" s="1"/>
  <c r="G118" i="3" s="1"/>
  <c r="G119" i="3" s="1"/>
  <c r="G125" i="3" l="1"/>
  <c r="G132" i="3" s="1"/>
  <c r="G138" i="3" s="1"/>
  <c r="G211" i="3" s="1"/>
  <c r="G215" i="3" s="1"/>
  <c r="G192" i="3"/>
  <c r="G233" i="3" l="1"/>
  <c r="G218" i="3"/>
  <c r="G219" i="3"/>
  <c r="G142" i="3" l="1"/>
  <c r="G234" i="3"/>
  <c r="G235" i="3" s="1"/>
  <c r="G239" i="3" s="1"/>
  <c r="G220" i="3"/>
  <c r="G186" i="3" l="1"/>
  <c r="H217" i="3"/>
  <c r="G143" i="3"/>
  <c r="G146" i="3" s="1"/>
  <c r="G149" i="3" s="1"/>
  <c r="G152" i="3" s="1"/>
  <c r="G241" i="3"/>
  <c r="G161" i="3" l="1"/>
  <c r="H151" i="3"/>
  <c r="H237" i="3"/>
  <c r="G187" i="3"/>
  <c r="G189" i="3" s="1"/>
  <c r="G191" i="3" s="1"/>
  <c r="G194" i="3" s="1"/>
  <c r="H225" i="3"/>
  <c r="H227" i="3" s="1"/>
  <c r="H222" i="3"/>
  <c r="G259" i="3"/>
  <c r="G260" i="3" s="1"/>
  <c r="H244" i="3" l="1"/>
  <c r="H261" i="3" s="1"/>
  <c r="H263" i="3" s="1"/>
  <c r="H115" i="3" s="1"/>
  <c r="H117" i="3" s="1"/>
  <c r="H118" i="3" s="1"/>
  <c r="H119" i="3" s="1"/>
  <c r="H212" i="3"/>
  <c r="G164" i="3"/>
  <c r="G173" i="3" s="1"/>
  <c r="G195" i="3" s="1"/>
  <c r="H125" i="3" l="1"/>
  <c r="H132" i="3" s="1"/>
  <c r="H138" i="3" s="1"/>
  <c r="H211" i="3" s="1"/>
  <c r="H215" i="3" s="1"/>
  <c r="H192" i="3"/>
  <c r="H218" i="3" l="1"/>
  <c r="H233" i="3"/>
  <c r="H219" i="3"/>
  <c r="H234" i="3" l="1"/>
  <c r="H235" i="3" s="1"/>
  <c r="H239" i="3" s="1"/>
  <c r="H142" i="3"/>
  <c r="H220" i="3"/>
  <c r="H143" i="3" l="1"/>
  <c r="H146" i="3" s="1"/>
  <c r="H149" i="3" s="1"/>
  <c r="H152" i="3" s="1"/>
  <c r="H161" i="3" s="1"/>
  <c r="H241" i="3"/>
  <c r="H187" i="3" s="1"/>
  <c r="H186" i="3"/>
  <c r="H164" i="3" l="1"/>
  <c r="H173" i="3" s="1"/>
  <c r="C272" i="3"/>
  <c r="H259" i="3"/>
  <c r="C271" i="3" s="1"/>
  <c r="H189" i="3"/>
  <c r="H191" i="3" s="1"/>
  <c r="H194" i="3" s="1"/>
  <c r="C274" i="3" l="1"/>
  <c r="C293" i="3" s="1"/>
  <c r="H302" i="3" s="1"/>
  <c r="H195" i="3"/>
  <c r="F4" i="3" s="1"/>
  <c r="H260" i="3"/>
  <c r="C295" i="3" l="1"/>
  <c r="C294" i="3"/>
  <c r="J302" i="3"/>
  <c r="F3" i="3" s="1"/>
  <c r="I302" i="3"/>
  <c r="C318" i="3" s="1"/>
  <c r="C316" i="3" l="1"/>
  <c r="F2" i="3"/>
  <c r="C306" i="3"/>
  <c r="C296" i="3"/>
  <c r="C146" i="3"/>
</calcChain>
</file>

<file path=xl/sharedStrings.xml><?xml version="1.0" encoding="utf-8"?>
<sst xmlns="http://schemas.openxmlformats.org/spreadsheetml/2006/main" count="358" uniqueCount="268">
  <si>
    <t>-</t>
  </si>
  <si>
    <t>LBO Case Study</t>
  </si>
  <si>
    <r>
      <rPr>
        <b/>
        <sz val="9"/>
        <color theme="1"/>
        <rFont val="Times New Roman"/>
        <family val="1"/>
        <charset val="162"/>
      </rPr>
      <t>Make Transaction Assumptions</t>
    </r>
    <r>
      <rPr>
        <sz val="9"/>
        <color theme="1"/>
        <rFont val="Times New Roman"/>
        <family val="1"/>
        <charset val="162"/>
      </rPr>
      <t>: Entry/Exit Multiple , Financing Structure Types of Debt , 4-6x Debt / EBITDA</t>
    </r>
  </si>
  <si>
    <r>
      <t xml:space="preserve">Create Sources and Uses Table: </t>
    </r>
    <r>
      <rPr>
        <sz val="9"/>
        <color theme="1"/>
        <rFont val="Times New Roman"/>
        <family val="1"/>
        <charset val="162"/>
      </rPr>
      <t>Calculates Initial Required Equity ( Difference Between Sources of Debt and Uses)</t>
    </r>
  </si>
  <si>
    <r>
      <t xml:space="preserve">Project 3 Financial Statements Without Effects of Debt: </t>
    </r>
    <r>
      <rPr>
        <sz val="9"/>
        <color theme="1"/>
        <rFont val="Times New Roman"/>
        <family val="1"/>
        <charset val="162"/>
      </rPr>
      <t>Make Sure to Adjust Balance Sheet for Transaction</t>
    </r>
  </si>
  <si>
    <r>
      <t xml:space="preserve">Build Debt Schedule: </t>
    </r>
    <r>
      <rPr>
        <sz val="9"/>
        <color theme="1"/>
        <rFont val="Times New Roman"/>
        <family val="1"/>
        <charset val="162"/>
      </rPr>
      <t>Use "Cash Available for For Financing Activities" aka "Free Cash Flow" to Determine How Much to Borrow or Repay = "Cash Flow From Operations + Cash Flow From Investing "</t>
    </r>
  </si>
  <si>
    <t>!!! Most Complicated Part</t>
  </si>
  <si>
    <r>
      <t xml:space="preserve">Determine Internal Rate of Return (IRR): </t>
    </r>
    <r>
      <rPr>
        <sz val="9"/>
        <color theme="1"/>
        <rFont val="Times New Roman"/>
        <family val="1"/>
        <charset val="162"/>
      </rPr>
      <t xml:space="preserve">Increases Bottom Line to Bolster Free Cash Flows </t>
    </r>
  </si>
  <si>
    <r>
      <rPr>
        <b/>
        <sz val="9"/>
        <color theme="1"/>
        <rFont val="Times New Roman"/>
        <family val="1"/>
        <charset val="162"/>
      </rPr>
      <t xml:space="preserve">Perform Sensivity Analysis: </t>
    </r>
    <r>
      <rPr>
        <sz val="9"/>
        <color theme="1"/>
        <rFont val="Times New Roman"/>
        <family val="1"/>
        <charset val="162"/>
      </rPr>
      <t>Finding IRR Under Multiple Scnearios</t>
    </r>
  </si>
  <si>
    <t>GENERAL</t>
  </si>
  <si>
    <t>INCOME STATEMENT ASSUMPTIONS</t>
  </si>
  <si>
    <t>Transaction Date: 12/31/12</t>
  </si>
  <si>
    <t>LTM Revenue : $1,000M</t>
  </si>
  <si>
    <t>Entry LTM EBITDA Multiple 9.0x</t>
  </si>
  <si>
    <t>Revenue Growth 10%</t>
  </si>
  <si>
    <t>Exit LTM EBITDA Multiple 9.0x</t>
  </si>
  <si>
    <t>LTM Cost of Goods Sold $600m</t>
  </si>
  <si>
    <t>Refinance Existing Debt</t>
  </si>
  <si>
    <t>Gross Margin Flatlined</t>
  </si>
  <si>
    <t>Minimum Cash $25m</t>
  </si>
  <si>
    <t>LTM EBITDA $300m</t>
  </si>
  <si>
    <t>M&amp;A Fee $20m</t>
  </si>
  <si>
    <t>EBITDA Margin flat lined</t>
  </si>
  <si>
    <t>Management Revolver 10.0%</t>
  </si>
  <si>
    <t>LTM D&amp;A $20m</t>
  </si>
  <si>
    <t>Management Promote 5.0%</t>
  </si>
  <si>
    <t>D&amp;A as %of Revenue flat lined</t>
  </si>
  <si>
    <t>Tax Rate 40.0%</t>
  </si>
  <si>
    <t>FINANCING</t>
  </si>
  <si>
    <t>BEGINNING BALANCE SHEET ASSUMPTIONS</t>
  </si>
  <si>
    <t>Revolver 0.5x LTM EBITDA</t>
  </si>
  <si>
    <t>Cash $50m</t>
  </si>
  <si>
    <t>Revolver Interest 4.0%</t>
  </si>
  <si>
    <t>AR $200m</t>
  </si>
  <si>
    <t>Revolver Commitment $300m</t>
  </si>
  <si>
    <t>Inventory $100m</t>
  </si>
  <si>
    <t>Revolver Commitment Fee 0.5% undrawn amount</t>
  </si>
  <si>
    <t>PP&amp;E $1,000m</t>
  </si>
  <si>
    <t>Term Loan 4.0x LTM EBITDA</t>
  </si>
  <si>
    <t>Goodwill $100m</t>
  </si>
  <si>
    <t>Term Loan Interest 7.0%</t>
  </si>
  <si>
    <t>AP $100m</t>
  </si>
  <si>
    <t>Term Loan Mandotary Amortization 1.0%</t>
  </si>
  <si>
    <t>Accrued Liabilities $50m</t>
  </si>
  <si>
    <t xml:space="preserve">Mezzanine Loan 2.0x LTM EBITDA </t>
  </si>
  <si>
    <t>Existing Debt $500m</t>
  </si>
  <si>
    <t>Mezzanine Interest 10% cash 5% PIK</t>
  </si>
  <si>
    <t>Shareholders Equity $800m</t>
  </si>
  <si>
    <t>Cash Sweep on Revolver and Terminal Loan</t>
  </si>
  <si>
    <t>OID on Term and Mezzanine Loan 2.5%/10 year-life</t>
  </si>
  <si>
    <t>Cash Interest 1.0%</t>
  </si>
  <si>
    <t>Average Balance</t>
  </si>
  <si>
    <t>PURCHASE ACCOUNTING</t>
  </si>
  <si>
    <t>CASH FLOW STATEMENT ASSUMPTIONS</t>
  </si>
  <si>
    <t>Excess Allocated to PP&amp;E 15%</t>
  </si>
  <si>
    <t>Capital Expenditure as %of Revenue 3.0%</t>
  </si>
  <si>
    <t>Life of Incremental D&amp;A 15</t>
  </si>
  <si>
    <t>WORKING CAPITAL</t>
  </si>
  <si>
    <t xml:space="preserve">Days Sales Outstanding flat lined </t>
  </si>
  <si>
    <t>Inventory Days flat lined</t>
  </si>
  <si>
    <t>Days Payable Outstanding flat lined</t>
  </si>
  <si>
    <t>Accrued Liabilities as %of sales flat lined</t>
  </si>
  <si>
    <t>2 HOUR CASE STUDY</t>
  </si>
  <si>
    <t>Assumptions</t>
  </si>
  <si>
    <t>Entry Multiple</t>
  </si>
  <si>
    <t>Exit Multiple</t>
  </si>
  <si>
    <t>Minimum Cash</t>
  </si>
  <si>
    <t>M&amp;A Fee</t>
  </si>
  <si>
    <t>Management Rollover</t>
  </si>
  <si>
    <t>Management Options</t>
  </si>
  <si>
    <t>Tax Rate</t>
  </si>
  <si>
    <t>General</t>
  </si>
  <si>
    <t xml:space="preserve">Financing </t>
  </si>
  <si>
    <t>LTM EBITDA</t>
  </si>
  <si>
    <t>Enterprise Value</t>
  </si>
  <si>
    <t>US$ Millions</t>
  </si>
  <si>
    <t>Revolver</t>
  </si>
  <si>
    <t>Revolver Interest</t>
  </si>
  <si>
    <t>Revolver Commitment</t>
  </si>
  <si>
    <t>Revolver Commitment Fee</t>
  </si>
  <si>
    <t xml:space="preserve"> Revolver is like a line of credit</t>
  </si>
  <si>
    <t>Term Loan</t>
  </si>
  <si>
    <t>Term Loan Interest</t>
  </si>
  <si>
    <t>Term Loan Mandotary Amortization</t>
  </si>
  <si>
    <t>Revolver- Multiple of EBITDA</t>
  </si>
  <si>
    <t>Revolver -$</t>
  </si>
  <si>
    <t>Term Loan-Multiple of EBITDA</t>
  </si>
  <si>
    <t>Mezzanine</t>
  </si>
  <si>
    <t>Mezzanine-Multiple of EBITDA</t>
  </si>
  <si>
    <t>Mezzanine-$</t>
  </si>
  <si>
    <t>Mezzanine-Cash Interest</t>
  </si>
  <si>
    <t>Mezzanine-PIK Interest</t>
  </si>
  <si>
    <t>OID-Term Loan</t>
  </si>
  <si>
    <t>OID-Mezzanine Loan</t>
  </si>
  <si>
    <t>Cash Interest</t>
  </si>
  <si>
    <t>Interest as % of Average Balance</t>
  </si>
  <si>
    <t>Yes</t>
  </si>
  <si>
    <t>No</t>
  </si>
  <si>
    <t>Purchase Accounting</t>
  </si>
  <si>
    <t>Excess Allocated PP&amp;E</t>
  </si>
  <si>
    <t>Model Assumptions</t>
  </si>
  <si>
    <t>Revenue Growth</t>
  </si>
  <si>
    <t>Capex</t>
  </si>
  <si>
    <t>Capex - % of Revenue</t>
  </si>
  <si>
    <t>Sources and Uses Table</t>
  </si>
  <si>
    <t xml:space="preserve">Sources </t>
  </si>
  <si>
    <t>Uses</t>
  </si>
  <si>
    <t>Purchase Price</t>
  </si>
  <si>
    <t>Existing Debt</t>
  </si>
  <si>
    <t>Financing Fees</t>
  </si>
  <si>
    <t>Financing Fee - Term Loan and Mezzanine</t>
  </si>
  <si>
    <t>Total Uses</t>
  </si>
  <si>
    <t>Total Sources</t>
  </si>
  <si>
    <t>Sponsor Equity</t>
  </si>
  <si>
    <t>Amount of Equity Required</t>
  </si>
  <si>
    <t>Income Statement</t>
  </si>
  <si>
    <t>Revenue</t>
  </si>
  <si>
    <t>Revenue Growth - %</t>
  </si>
  <si>
    <t>Cost of Goods Sold</t>
  </si>
  <si>
    <t>Cost of Goods Sold - %</t>
  </si>
  <si>
    <t>Gross Profit</t>
  </si>
  <si>
    <t>Gross Margin - %</t>
  </si>
  <si>
    <t>SG&amp;A</t>
  </si>
  <si>
    <t>SG&amp;A - % of Revenue</t>
  </si>
  <si>
    <t>EBITDA</t>
  </si>
  <si>
    <t>EBITDA Margin - %</t>
  </si>
  <si>
    <t>D&amp;A</t>
  </si>
  <si>
    <t>D&amp;A - % of Revenue</t>
  </si>
  <si>
    <t>EBIT</t>
  </si>
  <si>
    <t xml:space="preserve">EBIT Margin - % </t>
  </si>
  <si>
    <t>Interest Expense</t>
  </si>
  <si>
    <t>EBT</t>
  </si>
  <si>
    <t>Tax Expense</t>
  </si>
  <si>
    <t>Net Income</t>
  </si>
  <si>
    <t>Cash Flow Statement</t>
  </si>
  <si>
    <t>Cash Flow from Operations</t>
  </si>
  <si>
    <t>Cash Flow from Investing</t>
  </si>
  <si>
    <t>Cash Flow from Financing</t>
  </si>
  <si>
    <t>Cash Flow from Operating Activities</t>
  </si>
  <si>
    <t>Cash Flow from Investing Activities</t>
  </si>
  <si>
    <t>Cash Flow from Financing Activities</t>
  </si>
  <si>
    <t>PIK Interest</t>
  </si>
  <si>
    <t>Changes in Accounts Receivable</t>
  </si>
  <si>
    <t>Changes in Inventory</t>
  </si>
  <si>
    <t>Accounts Payable</t>
  </si>
  <si>
    <t>Changes in Accounts Payable</t>
  </si>
  <si>
    <t>Changes in Accrued Liabilities</t>
  </si>
  <si>
    <t>Capex Schedule</t>
  </si>
  <si>
    <t>Capex - as % of Sales</t>
  </si>
  <si>
    <t>Free Cash Flow</t>
  </si>
  <si>
    <t>Borrowing / (Repayment) - Revolver</t>
  </si>
  <si>
    <t>Borrowing / (Repayment) - Term Loan</t>
  </si>
  <si>
    <t>Borrowing / (Repayment) - Mezzanine</t>
  </si>
  <si>
    <t>Mandatory Amortization - Term Loan</t>
  </si>
  <si>
    <t>Balance Sheet</t>
  </si>
  <si>
    <t>Asset</t>
  </si>
  <si>
    <t>Current Assets</t>
  </si>
  <si>
    <t>Cash</t>
  </si>
  <si>
    <t>Accounts Receviable</t>
  </si>
  <si>
    <t>Inventory</t>
  </si>
  <si>
    <t>Total Current Assets</t>
  </si>
  <si>
    <t>Non Current Assets</t>
  </si>
  <si>
    <t>PP&amp;E</t>
  </si>
  <si>
    <t>Goodwill</t>
  </si>
  <si>
    <t>Total Non Current Assets</t>
  </si>
  <si>
    <t>Total Assets</t>
  </si>
  <si>
    <t>Liabilities + Shareholder's Equity</t>
  </si>
  <si>
    <t>Liabilities</t>
  </si>
  <si>
    <t>Current Liabilities</t>
  </si>
  <si>
    <t>Accrued Liabilities</t>
  </si>
  <si>
    <t>Total Current Liabilities</t>
  </si>
  <si>
    <t>Non - Current Liabilities</t>
  </si>
  <si>
    <t>Total Non - Current Liabilities</t>
  </si>
  <si>
    <t>Total Liabilities</t>
  </si>
  <si>
    <t>Total Liabilities + Shareholders Equity</t>
  </si>
  <si>
    <t>Check</t>
  </si>
  <si>
    <t>Pre - Transaction</t>
  </si>
  <si>
    <t>Adjustments</t>
  </si>
  <si>
    <t>Post Transaction</t>
  </si>
  <si>
    <t>2012A</t>
  </si>
  <si>
    <t>Shareholders Equity</t>
  </si>
  <si>
    <t>Take Out Old Debt , Put In New Debt</t>
  </si>
  <si>
    <t>Take Out Old Shareholder's Equity Put In New S/E</t>
  </si>
  <si>
    <t>Financing Fee</t>
  </si>
  <si>
    <t>Capitalize Financing Fees</t>
  </si>
  <si>
    <t>Adjust the Cash Balance</t>
  </si>
  <si>
    <t>Allocate 85% of the Excess to Goodwill , 15% to PP&amp;E</t>
  </si>
  <si>
    <t>Allocation of Excess Purchase Price</t>
  </si>
  <si>
    <t>Adjustment to Assets</t>
  </si>
  <si>
    <t>Adjustments to Liabilities +S/E</t>
  </si>
  <si>
    <t>Excess Purchase Price</t>
  </si>
  <si>
    <t>Goodwill - 85%</t>
  </si>
  <si>
    <t>PP&amp;E - 15%</t>
  </si>
  <si>
    <t>Excess Allocated Goodwill</t>
  </si>
  <si>
    <t>Net Working Capital</t>
  </si>
  <si>
    <t>Operating Current Assets</t>
  </si>
  <si>
    <t>Accounts Recevaible</t>
  </si>
  <si>
    <t>Total Operating Current Assets</t>
  </si>
  <si>
    <t>Current Operating Liabilities</t>
  </si>
  <si>
    <t>Total Current Operating Liabilities</t>
  </si>
  <si>
    <t>Changes in Net Working Capital</t>
  </si>
  <si>
    <t>Days</t>
  </si>
  <si>
    <t>Day Sales Outstanding</t>
  </si>
  <si>
    <t>Days Inventory Held</t>
  </si>
  <si>
    <t>Days Payable Outstanding</t>
  </si>
  <si>
    <t>Accrued Liabilities - % of Revenue</t>
  </si>
  <si>
    <t>D&amp;A Schedule</t>
  </si>
  <si>
    <t>D&amp;A - Base PP&amp;E</t>
  </si>
  <si>
    <t>D&amp;A - Incremental PP&amp;E</t>
  </si>
  <si>
    <t>Amortization of Financing Fees</t>
  </si>
  <si>
    <t>Depreciation&amp;Amortization</t>
  </si>
  <si>
    <t>Useful Life</t>
  </si>
  <si>
    <t>Life of Incremental D&amp;A</t>
  </si>
  <si>
    <t>Incremental D&amp;A</t>
  </si>
  <si>
    <t>D&amp;A - Incremental P&amp;E</t>
  </si>
  <si>
    <t xml:space="preserve"> Financing Fee - Useful Life </t>
  </si>
  <si>
    <t>PP&amp;E Schedule</t>
  </si>
  <si>
    <t>Opening Balance</t>
  </si>
  <si>
    <t>Add Capex</t>
  </si>
  <si>
    <t>Less : Base - D&amp;A</t>
  </si>
  <si>
    <t>Less : Incremental - D&amp;A</t>
  </si>
  <si>
    <t>Ending Balance</t>
  </si>
  <si>
    <t xml:space="preserve"> </t>
  </si>
  <si>
    <t>Defferred Tax Liability</t>
  </si>
  <si>
    <t>Debt Schedule</t>
  </si>
  <si>
    <t>Cash Available For Revolver Repayment</t>
  </si>
  <si>
    <t>Opening Cash</t>
  </si>
  <si>
    <t>Mandotary Amortization</t>
  </si>
  <si>
    <t>Repayments</t>
  </si>
  <si>
    <t>Borrowings</t>
  </si>
  <si>
    <t>Cash Available For Term Loan</t>
  </si>
  <si>
    <t>Borrowing / (Repayments )</t>
  </si>
  <si>
    <t>Mandatory Amortization</t>
  </si>
  <si>
    <t>Cash Interest Expense</t>
  </si>
  <si>
    <t>PIK Interest Rate</t>
  </si>
  <si>
    <t>PIK Accretion</t>
  </si>
  <si>
    <t>PIK Interest Expense</t>
  </si>
  <si>
    <t>Cash Interest Rate</t>
  </si>
  <si>
    <t>Revolver - Unused</t>
  </si>
  <si>
    <t xml:space="preserve">Revolver Commitment </t>
  </si>
  <si>
    <t>Revolver Commitment Fee-$</t>
  </si>
  <si>
    <t>Total Debt</t>
  </si>
  <si>
    <t>Debt/EBITDA</t>
  </si>
  <si>
    <t>Total Cash Interest Expense</t>
  </si>
  <si>
    <t>Total PIK Interest Expense</t>
  </si>
  <si>
    <t>Total Debt Metrics</t>
  </si>
  <si>
    <t>Total Interest Expense</t>
  </si>
  <si>
    <t>Change In Cash</t>
  </si>
  <si>
    <t>Beginning Cash</t>
  </si>
  <si>
    <t>Ending Cash</t>
  </si>
  <si>
    <t>2017E EBITDA</t>
  </si>
  <si>
    <t>Exit Waterfall</t>
  </si>
  <si>
    <t>Equity Value</t>
  </si>
  <si>
    <t>Add : Cash from Option Exercise</t>
  </si>
  <si>
    <t>Less : Debt</t>
  </si>
  <si>
    <t>Add : Cash Balance Sheet</t>
  </si>
  <si>
    <t>Shareholdings</t>
  </si>
  <si>
    <t>Total Shareholdings</t>
  </si>
  <si>
    <t>% Ownership</t>
  </si>
  <si>
    <t>Proceeds</t>
  </si>
  <si>
    <t>Cash Flow to Sponsor</t>
  </si>
  <si>
    <t>IRR</t>
  </si>
  <si>
    <t>Year</t>
  </si>
  <si>
    <t>MoC</t>
  </si>
  <si>
    <t>CHECK</t>
  </si>
  <si>
    <t>MOC</t>
  </si>
  <si>
    <t>x</t>
  </si>
  <si>
    <t>Mezzanine Multiple of EBITDA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</si>
</sst>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67" formatCode="General&quot;A&quot;"/>
    <numFmt numFmtId="168" formatCode="General&quot;E&quot;"/>
    <numFmt numFmtId="173" formatCode="#,##0.0_);\(#,##0.0\);\-_);@_)"/>
    <numFmt numFmtId="174" formatCode="#,##0.0\x_);\(#,##0.0\);\-_);@_)"/>
    <numFmt numFmtId="176" formatCode="#,##0.0%_);\(#,##0.0%\);\-_);@_)"/>
  </numFmts>
  <fonts count="13" x14ac:knownFonts="1">
    <font>
      <sz val="9"/>
      <color theme="1"/>
      <name val="Times New Roman"/>
      <family val="2"/>
      <charset val="162"/>
    </font>
    <font>
      <sz val="9"/>
      <color theme="1"/>
      <name val="Times New Roman"/>
      <family val="2"/>
      <charset val="162"/>
    </font>
    <font>
      <b/>
      <sz val="12"/>
      <color theme="1"/>
      <name val="Times New Roman"/>
      <family val="1"/>
      <charset val="162"/>
    </font>
    <font>
      <sz val="9"/>
      <color theme="1"/>
      <name val="Times New Roman"/>
      <family val="1"/>
      <charset val="162"/>
    </font>
    <font>
      <b/>
      <sz val="9"/>
      <color theme="1"/>
      <name val="Times New Roman"/>
      <family val="1"/>
      <charset val="162"/>
    </font>
    <font>
      <i/>
      <sz val="9"/>
      <color theme="1"/>
      <name val="Times New Roman"/>
      <family val="1"/>
      <charset val="162"/>
    </font>
    <font>
      <b/>
      <u/>
      <sz val="9"/>
      <color theme="1"/>
      <name val="Times New Roman"/>
      <family val="1"/>
      <charset val="162"/>
    </font>
    <font>
      <sz val="9"/>
      <name val="Times New Roman"/>
      <family val="1"/>
      <charset val="162"/>
    </font>
    <font>
      <b/>
      <sz val="9"/>
      <name val="Times New Roman"/>
      <family val="1"/>
      <charset val="162"/>
    </font>
    <font>
      <b/>
      <i/>
      <sz val="9"/>
      <color theme="1"/>
      <name val="Times New Roman"/>
      <family val="1"/>
      <charset val="162"/>
    </font>
    <font>
      <b/>
      <u/>
      <sz val="9"/>
      <name val="Times New Roman"/>
      <family val="1"/>
      <charset val="162"/>
    </font>
    <font>
      <sz val="9"/>
      <color theme="2" tint="-9.9978637043366805E-2"/>
      <name val="Times New Roman"/>
      <family val="1"/>
      <charset val="162"/>
    </font>
    <font>
      <i/>
      <sz val="9"/>
      <color theme="0"/>
      <name val="Times New Roman"/>
      <family val="1"/>
      <charset val="16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quotePrefix="1" applyBorder="1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3" fillId="0" borderId="0" xfId="0" applyFont="1"/>
    <xf numFmtId="0" fontId="4" fillId="0" borderId="0" xfId="0" applyFont="1"/>
    <xf numFmtId="0" fontId="1" fillId="0" borderId="0" xfId="0" applyFont="1"/>
    <xf numFmtId="167" fontId="0" fillId="0" borderId="0" xfId="0" applyNumberFormat="1"/>
    <xf numFmtId="168" fontId="0" fillId="0" borderId="0" xfId="0" applyNumberFormat="1"/>
    <xf numFmtId="0" fontId="0" fillId="0" borderId="0" xfId="0" applyBorder="1"/>
    <xf numFmtId="41" fontId="0" fillId="0" borderId="0" xfId="0" applyNumberFormat="1"/>
    <xf numFmtId="173" fontId="0" fillId="0" borderId="3" xfId="0" applyNumberFormat="1" applyBorder="1"/>
    <xf numFmtId="173" fontId="0" fillId="0" borderId="0" xfId="0" applyNumberFormat="1" applyAlignment="1">
      <alignment horizontal="right" vertical="center"/>
    </xf>
    <xf numFmtId="173" fontId="0" fillId="0" borderId="0" xfId="0" applyNumberFormat="1"/>
    <xf numFmtId="173" fontId="0" fillId="0" borderId="0" xfId="0" applyNumberFormat="1" applyAlignment="1">
      <alignment horizontal="right"/>
    </xf>
    <xf numFmtId="174" fontId="0" fillId="0" borderId="0" xfId="0" applyNumberFormat="1" applyAlignment="1">
      <alignment horizontal="right" vertical="center"/>
    </xf>
    <xf numFmtId="174" fontId="0" fillId="0" borderId="0" xfId="0" applyNumberFormat="1" applyAlignment="1">
      <alignment horizontal="right"/>
    </xf>
    <xf numFmtId="176" fontId="0" fillId="0" borderId="0" xfId="0" applyNumberFormat="1"/>
    <xf numFmtId="173" fontId="0" fillId="0" borderId="0" xfId="0" applyNumberFormat="1" applyBorder="1"/>
    <xf numFmtId="173" fontId="7" fillId="0" borderId="0" xfId="0" applyNumberFormat="1" applyFont="1"/>
    <xf numFmtId="174" fontId="7" fillId="2" borderId="0" xfId="0" applyNumberFormat="1" applyFont="1" applyFill="1" applyAlignment="1">
      <alignment horizontal="right" vertical="center"/>
    </xf>
    <xf numFmtId="173" fontId="7" fillId="2" borderId="0" xfId="0" applyNumberFormat="1" applyFont="1" applyFill="1"/>
    <xf numFmtId="173" fontId="0" fillId="0" borderId="4" xfId="0" applyNumberFormat="1" applyBorder="1"/>
    <xf numFmtId="0" fontId="0" fillId="0" borderId="5" xfId="0" applyBorder="1"/>
    <xf numFmtId="0" fontId="0" fillId="0" borderId="6" xfId="0" applyBorder="1"/>
    <xf numFmtId="173" fontId="0" fillId="0" borderId="7" xfId="0" applyNumberFormat="1" applyBorder="1"/>
    <xf numFmtId="173" fontId="0" fillId="2" borderId="0" xfId="0" applyNumberFormat="1" applyFill="1"/>
    <xf numFmtId="0" fontId="4" fillId="0" borderId="0" xfId="0" applyFont="1" applyBorder="1"/>
    <xf numFmtId="0" fontId="5" fillId="0" borderId="0" xfId="0" applyFont="1" applyBorder="1"/>
    <xf numFmtId="0" fontId="8" fillId="2" borderId="0" xfId="0" applyFont="1" applyFill="1" applyBorder="1"/>
    <xf numFmtId="0" fontId="6" fillId="0" borderId="0" xfId="0" applyFont="1" applyBorder="1"/>
    <xf numFmtId="0" fontId="6" fillId="2" borderId="0" xfId="0" applyFont="1" applyFill="1" applyBorder="1"/>
    <xf numFmtId="0" fontId="0" fillId="0" borderId="8" xfId="0" applyBorder="1"/>
    <xf numFmtId="0" fontId="0" fillId="0" borderId="0" xfId="0" applyFill="1" applyBorder="1"/>
    <xf numFmtId="0" fontId="4" fillId="0" borderId="3" xfId="0" applyFont="1" applyBorder="1"/>
    <xf numFmtId="173" fontId="4" fillId="0" borderId="3" xfId="0" applyNumberFormat="1" applyFont="1" applyBorder="1"/>
    <xf numFmtId="0" fontId="5" fillId="0" borderId="0" xfId="0" applyFont="1" applyFill="1" applyBorder="1"/>
    <xf numFmtId="176" fontId="5" fillId="0" borderId="0" xfId="0" applyNumberFormat="1" applyFont="1"/>
    <xf numFmtId="0" fontId="3" fillId="0" borderId="0" xfId="0" applyFont="1" applyFill="1" applyBorder="1"/>
    <xf numFmtId="0" fontId="0" fillId="0" borderId="3" xfId="0" applyFill="1" applyBorder="1"/>
    <xf numFmtId="0" fontId="4" fillId="0" borderId="0" xfId="0" applyFont="1" applyFill="1" applyBorder="1"/>
    <xf numFmtId="0" fontId="4" fillId="0" borderId="3" xfId="0" applyFont="1" applyFill="1" applyBorder="1"/>
    <xf numFmtId="173" fontId="4" fillId="0" borderId="0" xfId="0" applyNumberFormat="1" applyFont="1"/>
    <xf numFmtId="0" fontId="6" fillId="0" borderId="0" xfId="0" applyFont="1" applyFill="1" applyBorder="1"/>
    <xf numFmtId="0" fontId="3" fillId="0" borderId="0" xfId="0" applyFont="1" applyBorder="1"/>
    <xf numFmtId="0" fontId="0" fillId="0" borderId="0" xfId="0" applyNumberFormat="1" applyBorder="1" applyAlignment="1">
      <alignment horizontal="centerContinuous"/>
    </xf>
    <xf numFmtId="173" fontId="0" fillId="0" borderId="0" xfId="0" applyNumberFormat="1" applyBorder="1" applyAlignment="1">
      <alignment horizontal="centerContinuous"/>
    </xf>
    <xf numFmtId="173" fontId="4" fillId="0" borderId="0" xfId="0" applyNumberFormat="1" applyFont="1" applyAlignment="1">
      <alignment horizontal="right" vertical="center"/>
    </xf>
    <xf numFmtId="173" fontId="4" fillId="0" borderId="0" xfId="0" applyNumberFormat="1" applyFont="1" applyAlignment="1">
      <alignment horizontal="right"/>
    </xf>
    <xf numFmtId="173" fontId="3" fillId="0" borderId="0" xfId="0" applyNumberFormat="1" applyFont="1" applyBorder="1"/>
    <xf numFmtId="173" fontId="0" fillId="0" borderId="0" xfId="0" applyNumberFormat="1" applyFont="1"/>
    <xf numFmtId="173" fontId="0" fillId="0" borderId="0" xfId="0" applyNumberFormat="1" applyAlignment="1">
      <alignment horizontal="center"/>
    </xf>
    <xf numFmtId="176" fontId="9" fillId="0" borderId="0" xfId="0" applyNumberFormat="1" applyFont="1"/>
    <xf numFmtId="0" fontId="10" fillId="0" borderId="0" xfId="0" applyFont="1" applyFill="1" applyBorder="1"/>
    <xf numFmtId="174" fontId="0" fillId="0" borderId="0" xfId="0" applyNumberFormat="1" applyAlignment="1">
      <alignment horizontal="center" vertical="center"/>
    </xf>
    <xf numFmtId="176" fontId="0" fillId="0" borderId="2" xfId="0" applyNumberFormat="1" applyFill="1" applyBorder="1"/>
    <xf numFmtId="174" fontId="0" fillId="0" borderId="7" xfId="0" applyNumberFormat="1" applyFill="1" applyBorder="1" applyAlignment="1">
      <alignment horizontal="right" vertical="center"/>
    </xf>
    <xf numFmtId="0" fontId="0" fillId="0" borderId="5" xfId="0" applyFill="1" applyBorder="1"/>
    <xf numFmtId="0" fontId="11" fillId="0" borderId="0" xfId="0" applyFont="1"/>
    <xf numFmtId="0" fontId="11" fillId="0" borderId="0" xfId="0" applyFont="1" applyBorder="1"/>
    <xf numFmtId="0" fontId="11" fillId="0" borderId="3" xfId="0" applyFont="1" applyBorder="1"/>
    <xf numFmtId="0" fontId="11" fillId="2" borderId="0" xfId="0" applyFont="1" applyFill="1"/>
    <xf numFmtId="174" fontId="0" fillId="0" borderId="3" xfId="0" applyNumberFormat="1" applyBorder="1" applyAlignment="1">
      <alignment horizontal="center" vertical="center"/>
    </xf>
    <xf numFmtId="176" fontId="12" fillId="3" borderId="0" xfId="0" applyNumberFormat="1" applyFont="1" applyFill="1"/>
    <xf numFmtId="176" fontId="5" fillId="0" borderId="10" xfId="0" applyNumberFormat="1" applyFont="1" applyBorder="1"/>
    <xf numFmtId="176" fontId="5" fillId="0" borderId="0" xfId="0" applyNumberFormat="1" applyFont="1" applyBorder="1"/>
    <xf numFmtId="176" fontId="5" fillId="0" borderId="9" xfId="0" applyNumberFormat="1" applyFont="1" applyBorder="1"/>
    <xf numFmtId="176" fontId="5" fillId="0" borderId="3" xfId="0" applyNumberFormat="1" applyFont="1" applyBorder="1"/>
    <xf numFmtId="176" fontId="12" fillId="0" borderId="0" xfId="0" applyNumberFormat="1" applyFont="1" applyFill="1" applyBorder="1"/>
    <xf numFmtId="176" fontId="12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26CA1-F748-4261-84A8-C006C22FB41C}">
  <dimension ref="A2:R9"/>
  <sheetViews>
    <sheetView showGridLines="0" workbookViewId="0">
      <selection activeCell="C15" sqref="C15"/>
    </sheetView>
  </sheetViews>
  <sheetFormatPr defaultRowHeight="12" x14ac:dyDescent="0.2"/>
  <cols>
    <col min="1" max="1" width="3.33203125" style="5" customWidth="1"/>
  </cols>
  <sheetData>
    <row r="2" spans="1:18" ht="15.75" x14ac:dyDescent="0.25">
      <c r="A2" s="1" t="s">
        <v>0</v>
      </c>
      <c r="B2" s="2" t="s">
        <v>1</v>
      </c>
    </row>
    <row r="3" spans="1:18" s="4" customFormat="1" x14ac:dyDescent="0.2">
      <c r="A3" s="3"/>
    </row>
    <row r="4" spans="1:18" x14ac:dyDescent="0.2">
      <c r="A4" s="5" t="s">
        <v>0</v>
      </c>
      <c r="B4" s="6" t="s">
        <v>2</v>
      </c>
    </row>
    <row r="5" spans="1:18" x14ac:dyDescent="0.2">
      <c r="B5" s="7" t="s">
        <v>3</v>
      </c>
    </row>
    <row r="6" spans="1:18" x14ac:dyDescent="0.2">
      <c r="A6" s="1"/>
      <c r="B6" s="7" t="s">
        <v>4</v>
      </c>
    </row>
    <row r="7" spans="1:18" x14ac:dyDescent="0.2">
      <c r="B7" s="7" t="s">
        <v>5</v>
      </c>
      <c r="R7" t="s">
        <v>6</v>
      </c>
    </row>
    <row r="8" spans="1:18" x14ac:dyDescent="0.2">
      <c r="B8" s="7" t="s">
        <v>7</v>
      </c>
    </row>
    <row r="9" spans="1:18" x14ac:dyDescent="0.2">
      <c r="B9" s="6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DED01-179D-4196-93CF-6117E4F300D1}">
  <dimension ref="B2:M42"/>
  <sheetViews>
    <sheetView showGridLines="0" workbookViewId="0">
      <selection activeCell="B1" sqref="B1"/>
    </sheetView>
  </sheetViews>
  <sheetFormatPr defaultRowHeight="12" x14ac:dyDescent="0.2"/>
  <cols>
    <col min="1" max="1" width="4.1640625" customWidth="1"/>
    <col min="6" max="6" width="9.33203125" style="5"/>
    <col min="7" max="7" width="4.5" customWidth="1"/>
    <col min="13" max="13" width="9.33203125" style="5"/>
  </cols>
  <sheetData>
    <row r="2" spans="2:13" x14ac:dyDescent="0.2">
      <c r="B2" t="s">
        <v>9</v>
      </c>
      <c r="H2" t="s">
        <v>10</v>
      </c>
    </row>
    <row r="3" spans="2:13" s="4" customFormat="1" x14ac:dyDescent="0.2">
      <c r="F3" s="3"/>
      <c r="M3" s="3"/>
    </row>
    <row r="4" spans="2:13" x14ac:dyDescent="0.2">
      <c r="B4" s="8" t="s">
        <v>11</v>
      </c>
      <c r="H4" s="8" t="s">
        <v>12</v>
      </c>
    </row>
    <row r="5" spans="2:13" x14ac:dyDescent="0.2">
      <c r="B5" s="8" t="s">
        <v>13</v>
      </c>
      <c r="H5" s="8" t="s">
        <v>14</v>
      </c>
    </row>
    <row r="6" spans="2:13" x14ac:dyDescent="0.2">
      <c r="B6" s="8" t="s">
        <v>15</v>
      </c>
      <c r="H6" s="8" t="s">
        <v>16</v>
      </c>
    </row>
    <row r="7" spans="2:13" x14ac:dyDescent="0.2">
      <c r="B7" s="8" t="s">
        <v>17</v>
      </c>
      <c r="H7" s="8" t="s">
        <v>18</v>
      </c>
    </row>
    <row r="8" spans="2:13" x14ac:dyDescent="0.2">
      <c r="B8" s="8" t="s">
        <v>19</v>
      </c>
      <c r="H8" s="8" t="s">
        <v>20</v>
      </c>
    </row>
    <row r="9" spans="2:13" x14ac:dyDescent="0.2">
      <c r="B9" s="8" t="s">
        <v>21</v>
      </c>
      <c r="H9" s="8" t="s">
        <v>22</v>
      </c>
    </row>
    <row r="10" spans="2:13" x14ac:dyDescent="0.2">
      <c r="B10" s="8" t="s">
        <v>23</v>
      </c>
      <c r="H10" s="8" t="s">
        <v>24</v>
      </c>
    </row>
    <row r="11" spans="2:13" x14ac:dyDescent="0.2">
      <c r="B11" s="8" t="s">
        <v>25</v>
      </c>
      <c r="H11" s="8" t="s">
        <v>26</v>
      </c>
    </row>
    <row r="12" spans="2:13" x14ac:dyDescent="0.2">
      <c r="B12" s="8" t="s">
        <v>27</v>
      </c>
    </row>
    <row r="14" spans="2:13" x14ac:dyDescent="0.2">
      <c r="B14" t="s">
        <v>28</v>
      </c>
      <c r="H14" t="s">
        <v>29</v>
      </c>
    </row>
    <row r="15" spans="2:13" s="4" customFormat="1" x14ac:dyDescent="0.2">
      <c r="F15" s="3"/>
      <c r="M15" s="3"/>
    </row>
    <row r="16" spans="2:13" x14ac:dyDescent="0.2">
      <c r="B16" s="8" t="s">
        <v>30</v>
      </c>
      <c r="H16" s="8" t="s">
        <v>31</v>
      </c>
    </row>
    <row r="17" spans="2:13" x14ac:dyDescent="0.2">
      <c r="B17" s="8" t="s">
        <v>32</v>
      </c>
      <c r="H17" s="8" t="s">
        <v>33</v>
      </c>
    </row>
    <row r="18" spans="2:13" x14ac:dyDescent="0.2">
      <c r="B18" s="8" t="s">
        <v>34</v>
      </c>
      <c r="H18" s="8" t="s">
        <v>35</v>
      </c>
    </row>
    <row r="19" spans="2:13" x14ac:dyDescent="0.2">
      <c r="B19" s="8" t="s">
        <v>36</v>
      </c>
      <c r="H19" s="8" t="s">
        <v>37</v>
      </c>
    </row>
    <row r="20" spans="2:13" x14ac:dyDescent="0.2">
      <c r="B20" s="8" t="s">
        <v>38</v>
      </c>
      <c r="H20" s="8" t="s">
        <v>39</v>
      </c>
    </row>
    <row r="21" spans="2:13" x14ac:dyDescent="0.2">
      <c r="B21" s="8" t="s">
        <v>40</v>
      </c>
      <c r="H21" s="8" t="s">
        <v>41</v>
      </c>
    </row>
    <row r="22" spans="2:13" x14ac:dyDescent="0.2">
      <c r="B22" s="8" t="s">
        <v>42</v>
      </c>
      <c r="H22" s="8" t="s">
        <v>43</v>
      </c>
    </row>
    <row r="23" spans="2:13" x14ac:dyDescent="0.2">
      <c r="B23" s="8" t="s">
        <v>44</v>
      </c>
      <c r="H23" s="8" t="s">
        <v>45</v>
      </c>
    </row>
    <row r="24" spans="2:13" x14ac:dyDescent="0.2">
      <c r="B24" s="8" t="s">
        <v>46</v>
      </c>
      <c r="H24" s="8" t="s">
        <v>47</v>
      </c>
    </row>
    <row r="25" spans="2:13" x14ac:dyDescent="0.2">
      <c r="B25" s="8" t="s">
        <v>48</v>
      </c>
    </row>
    <row r="26" spans="2:13" x14ac:dyDescent="0.2">
      <c r="B26" s="8" t="s">
        <v>49</v>
      </c>
    </row>
    <row r="27" spans="2:13" x14ac:dyDescent="0.2">
      <c r="B27" s="8" t="s">
        <v>50</v>
      </c>
    </row>
    <row r="28" spans="2:13" x14ac:dyDescent="0.2">
      <c r="B28" s="8" t="s">
        <v>51</v>
      </c>
    </row>
    <row r="29" spans="2:13" x14ac:dyDescent="0.2">
      <c r="B29" s="8"/>
    </row>
    <row r="31" spans="2:13" x14ac:dyDescent="0.2">
      <c r="B31" t="s">
        <v>52</v>
      </c>
      <c r="H31" t="s">
        <v>53</v>
      </c>
    </row>
    <row r="32" spans="2:13" s="4" customFormat="1" x14ac:dyDescent="0.2">
      <c r="F32" s="3"/>
      <c r="M32" s="3"/>
    </row>
    <row r="33" spans="2:13" x14ac:dyDescent="0.2">
      <c r="B33" s="8" t="s">
        <v>54</v>
      </c>
      <c r="H33" s="8" t="s">
        <v>55</v>
      </c>
    </row>
    <row r="34" spans="2:13" x14ac:dyDescent="0.2">
      <c r="B34" s="8" t="s">
        <v>56</v>
      </c>
    </row>
    <row r="37" spans="2:13" x14ac:dyDescent="0.2">
      <c r="B37" t="s">
        <v>57</v>
      </c>
    </row>
    <row r="38" spans="2:13" s="4" customFormat="1" x14ac:dyDescent="0.2">
      <c r="F38" s="3"/>
      <c r="M38" s="3"/>
    </row>
    <row r="39" spans="2:13" x14ac:dyDescent="0.2">
      <c r="B39" s="8" t="s">
        <v>58</v>
      </c>
    </row>
    <row r="40" spans="2:13" x14ac:dyDescent="0.2">
      <c r="B40" s="8" t="s">
        <v>59</v>
      </c>
    </row>
    <row r="41" spans="2:13" x14ac:dyDescent="0.2">
      <c r="B41" s="8" t="s">
        <v>60</v>
      </c>
    </row>
    <row r="42" spans="2:13" x14ac:dyDescent="0.2">
      <c r="B42" s="8" t="s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FCEE8-8D97-418F-B5F2-7B06A2130DC8}">
  <dimension ref="A1:AA378"/>
  <sheetViews>
    <sheetView showGridLines="0" tabSelected="1" topLeftCell="A296" workbookViewId="0">
      <selection activeCell="C304" sqref="C304"/>
    </sheetView>
  </sheetViews>
  <sheetFormatPr defaultRowHeight="12" x14ac:dyDescent="0.2"/>
  <cols>
    <col min="1" max="1" width="4" style="60" customWidth="1"/>
    <col min="2" max="2" width="36.5" style="11" bestFit="1" customWidth="1"/>
    <col min="3" max="3" width="12.33203125" style="15" bestFit="1" customWidth="1"/>
    <col min="4" max="5" width="9.33203125" style="15"/>
    <col min="6" max="6" width="8.5" style="15" bestFit="1" customWidth="1"/>
    <col min="7" max="8" width="10.33203125" style="15" bestFit="1" customWidth="1"/>
    <col min="9" max="9" width="9.33203125" style="15"/>
    <col min="10" max="10" width="15.83203125" style="15" bestFit="1" customWidth="1"/>
    <col min="11" max="11" width="12.1640625" style="15" bestFit="1" customWidth="1"/>
    <col min="12" max="12" width="15.6640625" style="15" bestFit="1" customWidth="1"/>
    <col min="13" max="16384" width="9.33203125" style="15"/>
  </cols>
  <sheetData>
    <row r="1" spans="1:8" customFormat="1" ht="9.75" customHeight="1" x14ac:dyDescent="0.2">
      <c r="A1" s="60"/>
      <c r="B1" s="11"/>
    </row>
    <row r="2" spans="1:8" customFormat="1" x14ac:dyDescent="0.2">
      <c r="A2" s="60"/>
      <c r="B2" s="29" t="s">
        <v>62</v>
      </c>
      <c r="E2" s="59" t="s">
        <v>261</v>
      </c>
      <c r="F2" s="57">
        <f>$I$302</f>
        <v>0.27514252340070167</v>
      </c>
    </row>
    <row r="3" spans="1:8" customFormat="1" x14ac:dyDescent="0.2">
      <c r="A3" s="60"/>
      <c r="B3" s="30" t="s">
        <v>75</v>
      </c>
      <c r="E3" s="59" t="s">
        <v>265</v>
      </c>
      <c r="F3" s="58">
        <f>$J$302</f>
        <v>3.371270839932051</v>
      </c>
    </row>
    <row r="4" spans="1:8" s="11" customFormat="1" x14ac:dyDescent="0.2">
      <c r="A4" s="61"/>
      <c r="E4" s="25" t="s">
        <v>264</v>
      </c>
      <c r="F4" s="27">
        <f>$H$195</f>
        <v>0</v>
      </c>
    </row>
    <row r="5" spans="1:8" customFormat="1" x14ac:dyDescent="0.2">
      <c r="A5" s="60"/>
      <c r="B5" s="11"/>
    </row>
    <row r="6" spans="1:8" customFormat="1" x14ac:dyDescent="0.2">
      <c r="A6" s="60"/>
      <c r="B6" s="11"/>
    </row>
    <row r="7" spans="1:8" s="12" customFormat="1" x14ac:dyDescent="0.2">
      <c r="A7" s="60"/>
      <c r="B7" s="34"/>
      <c r="C7" s="9">
        <v>2012</v>
      </c>
      <c r="D7" s="10">
        <f>C7+1</f>
        <v>2013</v>
      </c>
      <c r="E7" s="10">
        <f t="shared" ref="E7:H7" si="0">D7+1</f>
        <v>2014</v>
      </c>
      <c r="F7" s="10">
        <f t="shared" si="0"/>
        <v>2015</v>
      </c>
      <c r="G7" s="10">
        <f t="shared" si="0"/>
        <v>2016</v>
      </c>
      <c r="H7" s="10">
        <f t="shared" si="0"/>
        <v>2017</v>
      </c>
    </row>
    <row r="8" spans="1:8" s="13" customFormat="1" x14ac:dyDescent="0.2">
      <c r="A8" s="62"/>
      <c r="B8" s="11"/>
    </row>
    <row r="9" spans="1:8" s="23" customFormat="1" x14ac:dyDescent="0.2">
      <c r="A9" s="63" t="s">
        <v>266</v>
      </c>
      <c r="B9" s="31" t="s">
        <v>63</v>
      </c>
      <c r="C9" s="22"/>
    </row>
    <row r="10" spans="1:8" x14ac:dyDescent="0.2">
      <c r="B10" s="29"/>
      <c r="C10" s="17"/>
    </row>
    <row r="11" spans="1:8" x14ac:dyDescent="0.2">
      <c r="B11" s="32" t="s">
        <v>71</v>
      </c>
      <c r="C11" s="17"/>
    </row>
    <row r="12" spans="1:8" x14ac:dyDescent="0.2">
      <c r="B12" s="29"/>
      <c r="C12" s="17"/>
    </row>
    <row r="13" spans="1:8" x14ac:dyDescent="0.2">
      <c r="B13" s="11" t="s">
        <v>64</v>
      </c>
      <c r="C13" s="17">
        <v>9</v>
      </c>
    </row>
    <row r="14" spans="1:8" x14ac:dyDescent="0.2">
      <c r="B14" s="11" t="s">
        <v>65</v>
      </c>
      <c r="C14" s="18">
        <v>9</v>
      </c>
    </row>
    <row r="15" spans="1:8" x14ac:dyDescent="0.2">
      <c r="C15" s="18"/>
    </row>
    <row r="16" spans="1:8" x14ac:dyDescent="0.2">
      <c r="B16" s="11" t="s">
        <v>73</v>
      </c>
      <c r="C16" s="15">
        <f>300</f>
        <v>300</v>
      </c>
    </row>
    <row r="17" spans="2:3" x14ac:dyDescent="0.2">
      <c r="B17" s="11" t="s">
        <v>74</v>
      </c>
      <c r="C17" s="15">
        <f>C16*C13</f>
        <v>2700</v>
      </c>
    </row>
    <row r="18" spans="2:3" x14ac:dyDescent="0.2">
      <c r="B18" s="34" t="s">
        <v>108</v>
      </c>
      <c r="C18" s="15">
        <v>500</v>
      </c>
    </row>
    <row r="19" spans="2:3" x14ac:dyDescent="0.2">
      <c r="B19" s="11" t="s">
        <v>107</v>
      </c>
      <c r="C19" s="13">
        <f>C17-C18</f>
        <v>2200</v>
      </c>
    </row>
    <row r="22" spans="2:3" x14ac:dyDescent="0.2">
      <c r="B22" s="11" t="s">
        <v>66</v>
      </c>
      <c r="C22" s="15">
        <v>25</v>
      </c>
    </row>
    <row r="23" spans="2:3" x14ac:dyDescent="0.2">
      <c r="B23" s="11" t="s">
        <v>67</v>
      </c>
      <c r="C23" s="15">
        <v>20</v>
      </c>
    </row>
    <row r="24" spans="2:3" x14ac:dyDescent="0.2">
      <c r="B24" s="35" t="s">
        <v>113</v>
      </c>
      <c r="C24" s="19">
        <v>0.9</v>
      </c>
    </row>
    <row r="25" spans="2:3" x14ac:dyDescent="0.2">
      <c r="B25" s="11" t="s">
        <v>68</v>
      </c>
      <c r="C25" s="19">
        <v>0.1</v>
      </c>
    </row>
    <row r="26" spans="2:3" x14ac:dyDescent="0.2">
      <c r="B26" s="11" t="s">
        <v>69</v>
      </c>
      <c r="C26" s="19">
        <v>0.05</v>
      </c>
    </row>
    <row r="27" spans="2:3" x14ac:dyDescent="0.2">
      <c r="B27" s="11" t="s">
        <v>70</v>
      </c>
      <c r="C27" s="19">
        <v>0.4</v>
      </c>
    </row>
    <row r="29" spans="2:3" x14ac:dyDescent="0.2">
      <c r="B29" s="32" t="s">
        <v>72</v>
      </c>
    </row>
    <row r="31" spans="2:3" x14ac:dyDescent="0.2">
      <c r="B31" s="11" t="s">
        <v>84</v>
      </c>
      <c r="C31" s="15">
        <v>0.5</v>
      </c>
    </row>
    <row r="32" spans="2:3" x14ac:dyDescent="0.2">
      <c r="B32" s="11" t="s">
        <v>85</v>
      </c>
      <c r="C32" s="15">
        <f>C31*C16</f>
        <v>150</v>
      </c>
    </row>
    <row r="33" spans="2:3" x14ac:dyDescent="0.2">
      <c r="B33" s="11" t="s">
        <v>77</v>
      </c>
      <c r="C33" s="19">
        <v>0.04</v>
      </c>
    </row>
    <row r="34" spans="2:3" x14ac:dyDescent="0.2">
      <c r="B34" s="11" t="s">
        <v>78</v>
      </c>
      <c r="C34" s="15">
        <v>300</v>
      </c>
    </row>
    <row r="35" spans="2:3" x14ac:dyDescent="0.2">
      <c r="B35" s="11" t="s">
        <v>79</v>
      </c>
      <c r="C35" s="19">
        <v>5.0000000000000001E-3</v>
      </c>
    </row>
    <row r="38" spans="2:3" x14ac:dyDescent="0.2">
      <c r="B38" s="11" t="s">
        <v>86</v>
      </c>
      <c r="C38" s="15">
        <v>4</v>
      </c>
    </row>
    <row r="39" spans="2:3" x14ac:dyDescent="0.2">
      <c r="B39" s="11" t="s">
        <v>81</v>
      </c>
      <c r="C39" s="15">
        <f>C38*C16</f>
        <v>1200</v>
      </c>
    </row>
    <row r="40" spans="2:3" x14ac:dyDescent="0.2">
      <c r="B40" s="11" t="s">
        <v>82</v>
      </c>
      <c r="C40" s="19">
        <v>7.0000000000000007E-2</v>
      </c>
    </row>
    <row r="41" spans="2:3" x14ac:dyDescent="0.2">
      <c r="B41" s="11" t="s">
        <v>83</v>
      </c>
      <c r="C41" s="19">
        <v>0.01</v>
      </c>
    </row>
    <row r="43" spans="2:3" x14ac:dyDescent="0.2">
      <c r="B43" s="11" t="s">
        <v>88</v>
      </c>
      <c r="C43" s="18">
        <v>2</v>
      </c>
    </row>
    <row r="44" spans="2:3" x14ac:dyDescent="0.2">
      <c r="B44" s="11" t="s">
        <v>89</v>
      </c>
      <c r="C44" s="15">
        <f>C43*C16</f>
        <v>600</v>
      </c>
    </row>
    <row r="45" spans="2:3" x14ac:dyDescent="0.2">
      <c r="B45" s="11" t="s">
        <v>90</v>
      </c>
      <c r="C45" s="19">
        <v>0.1</v>
      </c>
    </row>
    <row r="46" spans="2:3" x14ac:dyDescent="0.2">
      <c r="B46" s="11" t="s">
        <v>91</v>
      </c>
      <c r="C46" s="19">
        <v>0.05</v>
      </c>
    </row>
    <row r="48" spans="2:3" x14ac:dyDescent="0.2">
      <c r="B48" s="11" t="s">
        <v>92</v>
      </c>
      <c r="C48" s="19">
        <v>2.5000000000000001E-2</v>
      </c>
    </row>
    <row r="49" spans="2:23" x14ac:dyDescent="0.2">
      <c r="B49" s="11" t="s">
        <v>93</v>
      </c>
      <c r="C49" s="19">
        <v>2.5000000000000001E-2</v>
      </c>
    </row>
    <row r="50" spans="2:23" x14ac:dyDescent="0.2">
      <c r="C50" s="19"/>
    </row>
    <row r="51" spans="2:23" x14ac:dyDescent="0.2">
      <c r="B51" s="11" t="s">
        <v>110</v>
      </c>
      <c r="C51" s="19">
        <v>2.5000000000000001E-2</v>
      </c>
    </row>
    <row r="52" spans="2:23" x14ac:dyDescent="0.2">
      <c r="B52" s="35" t="s">
        <v>215</v>
      </c>
      <c r="C52" s="15">
        <v>10</v>
      </c>
    </row>
    <row r="54" spans="2:23" x14ac:dyDescent="0.2">
      <c r="B54" s="11" t="s">
        <v>94</v>
      </c>
      <c r="C54" s="19">
        <v>0.01</v>
      </c>
    </row>
    <row r="56" spans="2:23" x14ac:dyDescent="0.2">
      <c r="B56" s="26" t="s">
        <v>95</v>
      </c>
      <c r="C56" s="27" t="s">
        <v>97</v>
      </c>
      <c r="V56" s="15" t="s">
        <v>96</v>
      </c>
      <c r="W56" s="15" t="s">
        <v>97</v>
      </c>
    </row>
    <row r="58" spans="2:23" x14ac:dyDescent="0.2">
      <c r="B58" s="32" t="s">
        <v>98</v>
      </c>
    </row>
    <row r="59" spans="2:23" x14ac:dyDescent="0.2">
      <c r="B59" s="32"/>
    </row>
    <row r="60" spans="2:23" x14ac:dyDescent="0.2">
      <c r="B60" s="11" t="s">
        <v>193</v>
      </c>
      <c r="C60" s="19">
        <v>0.85</v>
      </c>
    </row>
    <row r="61" spans="2:23" x14ac:dyDescent="0.2">
      <c r="B61" s="11" t="s">
        <v>99</v>
      </c>
      <c r="C61" s="19">
        <v>0.15</v>
      </c>
    </row>
    <row r="62" spans="2:23" x14ac:dyDescent="0.2">
      <c r="B62" s="11" t="s">
        <v>212</v>
      </c>
      <c r="C62" s="15">
        <v>15</v>
      </c>
    </row>
    <row r="64" spans="2:23" x14ac:dyDescent="0.2">
      <c r="B64" s="32" t="s">
        <v>100</v>
      </c>
    </row>
    <row r="66" spans="1:3" x14ac:dyDescent="0.2">
      <c r="B66" s="11" t="s">
        <v>101</v>
      </c>
      <c r="C66" s="19">
        <v>0.1</v>
      </c>
    </row>
    <row r="67" spans="1:3" x14ac:dyDescent="0.2">
      <c r="B67" s="11" t="s">
        <v>103</v>
      </c>
      <c r="C67" s="19">
        <v>0.03</v>
      </c>
    </row>
    <row r="68" spans="1:3" x14ac:dyDescent="0.2">
      <c r="C68" s="19"/>
    </row>
    <row r="69" spans="1:3" x14ac:dyDescent="0.2">
      <c r="B69" s="35" t="s">
        <v>114</v>
      </c>
      <c r="C69" s="15">
        <f>C81-SUM(C76:C78)</f>
        <v>815</v>
      </c>
    </row>
    <row r="70" spans="1:3" x14ac:dyDescent="0.2">
      <c r="C70" s="19"/>
    </row>
    <row r="72" spans="1:3" s="28" customFormat="1" x14ac:dyDescent="0.2">
      <c r="A72" s="63" t="s">
        <v>266</v>
      </c>
      <c r="B72" s="33" t="s">
        <v>104</v>
      </c>
    </row>
    <row r="74" spans="1:3" x14ac:dyDescent="0.2">
      <c r="B74" s="29" t="s">
        <v>105</v>
      </c>
    </row>
    <row r="76" spans="1:3" x14ac:dyDescent="0.2">
      <c r="B76" s="11" t="s">
        <v>76</v>
      </c>
      <c r="C76" s="15">
        <f>$C$32</f>
        <v>150</v>
      </c>
    </row>
    <row r="77" spans="1:3" x14ac:dyDescent="0.2">
      <c r="B77" s="35" t="s">
        <v>81</v>
      </c>
      <c r="C77" s="15">
        <f>$C$39</f>
        <v>1200</v>
      </c>
    </row>
    <row r="78" spans="1:3" x14ac:dyDescent="0.2">
      <c r="B78" s="35" t="s">
        <v>87</v>
      </c>
      <c r="C78" s="15">
        <f>$C$44</f>
        <v>600</v>
      </c>
    </row>
    <row r="79" spans="1:3" x14ac:dyDescent="0.2">
      <c r="B79" s="35" t="s">
        <v>113</v>
      </c>
      <c r="C79" s="15">
        <f>$C$69*$C$24</f>
        <v>733.5</v>
      </c>
    </row>
    <row r="80" spans="1:3" x14ac:dyDescent="0.2">
      <c r="B80" s="35" t="s">
        <v>68</v>
      </c>
      <c r="C80" s="15">
        <f>$C$69*$C$25</f>
        <v>81.5</v>
      </c>
    </row>
    <row r="81" spans="1:8" x14ac:dyDescent="0.2">
      <c r="B81" s="36" t="s">
        <v>112</v>
      </c>
      <c r="C81" s="37">
        <f>$C$89</f>
        <v>2765</v>
      </c>
    </row>
    <row r="83" spans="1:8" x14ac:dyDescent="0.2">
      <c r="B83" s="29" t="s">
        <v>106</v>
      </c>
    </row>
    <row r="85" spans="1:8" x14ac:dyDescent="0.2">
      <c r="B85" s="11" t="s">
        <v>107</v>
      </c>
      <c r="C85" s="15">
        <f>$C$19</f>
        <v>2200</v>
      </c>
    </row>
    <row r="86" spans="1:8" x14ac:dyDescent="0.2">
      <c r="B86" s="11" t="s">
        <v>17</v>
      </c>
      <c r="C86" s="15">
        <f>$C$18</f>
        <v>500</v>
      </c>
    </row>
    <row r="87" spans="1:8" x14ac:dyDescent="0.2">
      <c r="B87" s="11" t="s">
        <v>67</v>
      </c>
      <c r="C87" s="15">
        <f>$C$23</f>
        <v>20</v>
      </c>
    </row>
    <row r="88" spans="1:8" x14ac:dyDescent="0.2">
      <c r="B88" s="11" t="s">
        <v>109</v>
      </c>
      <c r="C88" s="15">
        <f>C51*(C39+$C$44)</f>
        <v>45</v>
      </c>
    </row>
    <row r="89" spans="1:8" x14ac:dyDescent="0.2">
      <c r="B89" s="36" t="s">
        <v>111</v>
      </c>
      <c r="C89" s="37">
        <f>SUM(C85:$C$88)</f>
        <v>2765</v>
      </c>
    </row>
    <row r="92" spans="1:8" s="28" customFormat="1" x14ac:dyDescent="0.2">
      <c r="A92" s="63" t="s">
        <v>266</v>
      </c>
      <c r="B92" s="33" t="s">
        <v>115</v>
      </c>
    </row>
    <row r="94" spans="1:8" x14ac:dyDescent="0.2">
      <c r="B94" s="11" t="s">
        <v>116</v>
      </c>
      <c r="C94" s="15">
        <v>1000</v>
      </c>
      <c r="D94" s="15">
        <f>C94*(1+D95)</f>
        <v>1100</v>
      </c>
      <c r="E94" s="15">
        <f t="shared" ref="E94:H94" si="1">D94*(1+E95)</f>
        <v>1210</v>
      </c>
      <c r="F94" s="15">
        <f t="shared" si="1"/>
        <v>1331</v>
      </c>
      <c r="G94" s="15">
        <f t="shared" si="1"/>
        <v>1464.1000000000001</v>
      </c>
      <c r="H94" s="15">
        <f t="shared" si="1"/>
        <v>1610.5100000000002</v>
      </c>
    </row>
    <row r="95" spans="1:8" x14ac:dyDescent="0.2">
      <c r="B95" s="30" t="s">
        <v>117</v>
      </c>
      <c r="D95" s="39">
        <v>0.1</v>
      </c>
      <c r="E95" s="39">
        <f>D95</f>
        <v>0.1</v>
      </c>
      <c r="F95" s="39">
        <f t="shared" ref="F95:H95" si="2">E95</f>
        <v>0.1</v>
      </c>
      <c r="G95" s="39">
        <f t="shared" si="2"/>
        <v>0.1</v>
      </c>
      <c r="H95" s="39">
        <f t="shared" si="2"/>
        <v>0.1</v>
      </c>
    </row>
    <row r="97" spans="2:8" x14ac:dyDescent="0.2">
      <c r="B97" s="35" t="s">
        <v>118</v>
      </c>
      <c r="C97" s="15">
        <v>-600</v>
      </c>
      <c r="D97" s="15">
        <f>D94*D98</f>
        <v>-660</v>
      </c>
      <c r="E97" s="15">
        <f t="shared" ref="E97:H97" si="3">E94*E98</f>
        <v>-726</v>
      </c>
      <c r="F97" s="15">
        <f t="shared" si="3"/>
        <v>-798.6</v>
      </c>
      <c r="G97" s="15">
        <f t="shared" si="3"/>
        <v>-878.46</v>
      </c>
      <c r="H97" s="15">
        <f t="shared" si="3"/>
        <v>-966.30600000000004</v>
      </c>
    </row>
    <row r="98" spans="2:8" x14ac:dyDescent="0.2">
      <c r="B98" s="38" t="s">
        <v>119</v>
      </c>
      <c r="C98" s="39">
        <f>$C$97/$C$94</f>
        <v>-0.6</v>
      </c>
      <c r="D98" s="39">
        <f>C98</f>
        <v>-0.6</v>
      </c>
      <c r="E98" s="39">
        <f t="shared" ref="E98:H98" si="4">D98</f>
        <v>-0.6</v>
      </c>
      <c r="F98" s="39">
        <f t="shared" si="4"/>
        <v>-0.6</v>
      </c>
      <c r="G98" s="39">
        <f t="shared" si="4"/>
        <v>-0.6</v>
      </c>
      <c r="H98" s="39">
        <f t="shared" si="4"/>
        <v>-0.6</v>
      </c>
    </row>
    <row r="100" spans="2:8" x14ac:dyDescent="0.2">
      <c r="B100" s="35" t="s">
        <v>120</v>
      </c>
      <c r="C100" s="15">
        <f>C94+C97</f>
        <v>400</v>
      </c>
      <c r="D100" s="15">
        <f t="shared" ref="D100:H100" si="5">D94+D97</f>
        <v>440</v>
      </c>
      <c r="E100" s="15">
        <f t="shared" si="5"/>
        <v>484</v>
      </c>
      <c r="F100" s="15">
        <f t="shared" si="5"/>
        <v>532.4</v>
      </c>
      <c r="G100" s="15">
        <f t="shared" si="5"/>
        <v>585.6400000000001</v>
      </c>
      <c r="H100" s="15">
        <f t="shared" si="5"/>
        <v>644.20400000000018</v>
      </c>
    </row>
    <row r="101" spans="2:8" x14ac:dyDescent="0.2">
      <c r="B101" s="38" t="s">
        <v>121</v>
      </c>
      <c r="C101" s="39">
        <f>C100/C94</f>
        <v>0.4</v>
      </c>
      <c r="D101" s="39">
        <f t="shared" ref="D101:H101" si="6">D100/D94</f>
        <v>0.4</v>
      </c>
      <c r="E101" s="39">
        <f t="shared" si="6"/>
        <v>0.4</v>
      </c>
      <c r="F101" s="39">
        <f t="shared" si="6"/>
        <v>0.39999999999999997</v>
      </c>
      <c r="G101" s="39">
        <f t="shared" si="6"/>
        <v>0.4</v>
      </c>
      <c r="H101" s="39">
        <f t="shared" si="6"/>
        <v>0.40000000000000008</v>
      </c>
    </row>
    <row r="103" spans="2:8" x14ac:dyDescent="0.2">
      <c r="B103" s="35" t="s">
        <v>122</v>
      </c>
      <c r="C103" s="15">
        <f>C106-C100</f>
        <v>-100</v>
      </c>
      <c r="D103" s="15">
        <f>D104*D94</f>
        <v>-110</v>
      </c>
      <c r="E103" s="15">
        <f t="shared" ref="E103:H103" si="7">E104*E94</f>
        <v>-121</v>
      </c>
      <c r="F103" s="15">
        <f t="shared" si="7"/>
        <v>-133.1</v>
      </c>
      <c r="G103" s="15">
        <f t="shared" si="7"/>
        <v>-146.41000000000003</v>
      </c>
      <c r="H103" s="15">
        <f t="shared" si="7"/>
        <v>-161.05100000000004</v>
      </c>
    </row>
    <row r="104" spans="2:8" x14ac:dyDescent="0.2">
      <c r="B104" s="38" t="s">
        <v>123</v>
      </c>
      <c r="C104" s="39">
        <f>C103/C94</f>
        <v>-0.1</v>
      </c>
      <c r="D104" s="39">
        <f>C104</f>
        <v>-0.1</v>
      </c>
      <c r="E104" s="39">
        <f t="shared" ref="E104:H104" si="8">D104</f>
        <v>-0.1</v>
      </c>
      <c r="F104" s="39">
        <f t="shared" si="8"/>
        <v>-0.1</v>
      </c>
      <c r="G104" s="39">
        <f t="shared" si="8"/>
        <v>-0.1</v>
      </c>
      <c r="H104" s="39">
        <f t="shared" si="8"/>
        <v>-0.1</v>
      </c>
    </row>
    <row r="106" spans="2:8" x14ac:dyDescent="0.2">
      <c r="B106" s="42" t="s">
        <v>124</v>
      </c>
      <c r="C106" s="44">
        <v>300</v>
      </c>
      <c r="D106" s="44">
        <f>D100+D103</f>
        <v>330</v>
      </c>
      <c r="E106" s="44">
        <f t="shared" ref="E106:H106" si="9">E100+E103</f>
        <v>363</v>
      </c>
      <c r="F106" s="44">
        <f t="shared" si="9"/>
        <v>399.29999999999995</v>
      </c>
      <c r="G106" s="44">
        <f t="shared" si="9"/>
        <v>439.23000000000008</v>
      </c>
      <c r="H106" s="44">
        <f t="shared" si="9"/>
        <v>483.15300000000013</v>
      </c>
    </row>
    <row r="107" spans="2:8" x14ac:dyDescent="0.2">
      <c r="B107" s="38" t="s">
        <v>125</v>
      </c>
      <c r="C107" s="39">
        <f>C106/C94</f>
        <v>0.3</v>
      </c>
      <c r="D107" s="39">
        <f t="shared" ref="D107:H107" si="10">D106/D94</f>
        <v>0.3</v>
      </c>
      <c r="E107" s="39">
        <f t="shared" si="10"/>
        <v>0.3</v>
      </c>
      <c r="F107" s="39">
        <f t="shared" si="10"/>
        <v>0.3</v>
      </c>
      <c r="G107" s="39">
        <f t="shared" si="10"/>
        <v>0.30000000000000004</v>
      </c>
      <c r="H107" s="39">
        <f t="shared" si="10"/>
        <v>0.30000000000000004</v>
      </c>
    </row>
    <row r="109" spans="2:8" x14ac:dyDescent="0.2">
      <c r="B109" s="35" t="s">
        <v>126</v>
      </c>
      <c r="C109" s="15">
        <v>-20</v>
      </c>
      <c r="D109" s="15">
        <f>D358</f>
        <v>-40.950000000000003</v>
      </c>
      <c r="E109" s="15">
        <f t="shared" ref="E109:H109" si="11">E358</f>
        <v>-43.15</v>
      </c>
      <c r="F109" s="15">
        <f t="shared" si="11"/>
        <v>-45.57</v>
      </c>
      <c r="G109" s="15">
        <f t="shared" si="11"/>
        <v>-48.231999999999999</v>
      </c>
      <c r="H109" s="15">
        <f t="shared" si="11"/>
        <v>-51.160200000000003</v>
      </c>
    </row>
    <row r="110" spans="2:8" x14ac:dyDescent="0.2">
      <c r="B110" s="38" t="s">
        <v>127</v>
      </c>
      <c r="C110" s="39">
        <f>C109/C94</f>
        <v>-0.02</v>
      </c>
      <c r="D110" s="39">
        <f>C110</f>
        <v>-0.02</v>
      </c>
      <c r="E110" s="39">
        <f t="shared" ref="E110:H110" si="12">D110</f>
        <v>-0.02</v>
      </c>
      <c r="F110" s="39">
        <f t="shared" si="12"/>
        <v>-0.02</v>
      </c>
      <c r="G110" s="39">
        <f t="shared" si="12"/>
        <v>-0.02</v>
      </c>
      <c r="H110" s="39">
        <f t="shared" si="12"/>
        <v>-0.02</v>
      </c>
    </row>
    <row r="112" spans="2:8" x14ac:dyDescent="0.2">
      <c r="B112" s="35" t="s">
        <v>128</v>
      </c>
      <c r="C112" s="15">
        <f>C106+C109</f>
        <v>280</v>
      </c>
      <c r="D112" s="15">
        <f t="shared" ref="D112:H112" si="13">D106+D109</f>
        <v>289.05</v>
      </c>
      <c r="E112" s="15">
        <f t="shared" si="13"/>
        <v>319.85000000000002</v>
      </c>
      <c r="F112" s="15">
        <f t="shared" si="13"/>
        <v>353.72999999999996</v>
      </c>
      <c r="G112" s="15">
        <f t="shared" si="13"/>
        <v>390.99800000000005</v>
      </c>
      <c r="H112" s="15">
        <f t="shared" si="13"/>
        <v>431.9928000000001</v>
      </c>
    </row>
    <row r="113" spans="1:8" x14ac:dyDescent="0.2">
      <c r="B113" s="38" t="s">
        <v>129</v>
      </c>
      <c r="C113" s="39">
        <f>C112/C94</f>
        <v>0.28000000000000003</v>
      </c>
      <c r="D113" s="39">
        <f t="shared" ref="D113:H113" si="14">D112/D94</f>
        <v>0.26277272727272727</v>
      </c>
      <c r="E113" s="39">
        <f t="shared" si="14"/>
        <v>0.26433884297520666</v>
      </c>
      <c r="F113" s="39">
        <f t="shared" si="14"/>
        <v>0.26576258452291507</v>
      </c>
      <c r="G113" s="39">
        <f t="shared" si="14"/>
        <v>0.26705689502083191</v>
      </c>
      <c r="H113" s="39">
        <f t="shared" si="14"/>
        <v>0.26823354092802904</v>
      </c>
    </row>
    <row r="115" spans="1:8" x14ac:dyDescent="0.2">
      <c r="B115" s="35" t="s">
        <v>130</v>
      </c>
      <c r="C115" s="15">
        <v>0</v>
      </c>
      <c r="D115" s="15">
        <f>D263</f>
        <v>-180.75</v>
      </c>
      <c r="E115" s="15">
        <f>E263</f>
        <v>-184.90245000000002</v>
      </c>
      <c r="F115" s="15">
        <f>F263</f>
        <v>-185.18010290000001</v>
      </c>
      <c r="G115" s="15">
        <f>G263</f>
        <v>-181.78808222179998</v>
      </c>
      <c r="H115" s="15">
        <f>H263</f>
        <v>-177.04912942511561</v>
      </c>
    </row>
    <row r="117" spans="1:8" x14ac:dyDescent="0.2">
      <c r="B117" s="35" t="s">
        <v>131</v>
      </c>
      <c r="C117" s="15">
        <f>C112+C115</f>
        <v>280</v>
      </c>
      <c r="D117" s="15">
        <f t="shared" ref="D117:H117" si="15">D112+D115</f>
        <v>108.30000000000001</v>
      </c>
      <c r="E117" s="15">
        <f t="shared" si="15"/>
        <v>134.94755000000001</v>
      </c>
      <c r="F117" s="15">
        <f t="shared" si="15"/>
        <v>168.54989709999995</v>
      </c>
      <c r="G117" s="15">
        <f t="shared" si="15"/>
        <v>209.20991777820007</v>
      </c>
      <c r="H117" s="15">
        <f t="shared" si="15"/>
        <v>254.94367057488449</v>
      </c>
    </row>
    <row r="118" spans="1:8" x14ac:dyDescent="0.2">
      <c r="B118" s="35" t="s">
        <v>132</v>
      </c>
      <c r="C118" s="15">
        <f>-C117*$C$27</f>
        <v>-112</v>
      </c>
      <c r="D118" s="15">
        <f t="shared" ref="D118:H118" si="16">-D117*$C$27</f>
        <v>-43.320000000000007</v>
      </c>
      <c r="E118" s="15">
        <f t="shared" si="16"/>
        <v>-53.979020000000006</v>
      </c>
      <c r="F118" s="15">
        <f t="shared" si="16"/>
        <v>-67.419958839999978</v>
      </c>
      <c r="G118" s="15">
        <f t="shared" si="16"/>
        <v>-83.683967111280026</v>
      </c>
      <c r="H118" s="15">
        <f t="shared" si="16"/>
        <v>-101.9774682299538</v>
      </c>
    </row>
    <row r="119" spans="1:8" x14ac:dyDescent="0.2">
      <c r="B119" s="43" t="s">
        <v>133</v>
      </c>
      <c r="C119" s="37">
        <f>SUM(C117:C118)</f>
        <v>168</v>
      </c>
      <c r="D119" s="37">
        <f t="shared" ref="D119:H119" si="17">SUM(D117:D118)</f>
        <v>64.98</v>
      </c>
      <c r="E119" s="37">
        <f t="shared" si="17"/>
        <v>80.968530000000001</v>
      </c>
      <c r="F119" s="37">
        <f t="shared" si="17"/>
        <v>101.12993825999997</v>
      </c>
      <c r="G119" s="37">
        <f t="shared" si="17"/>
        <v>125.52595066692004</v>
      </c>
      <c r="H119" s="37">
        <f t="shared" si="17"/>
        <v>152.96620234493071</v>
      </c>
    </row>
    <row r="122" spans="1:8" s="28" customFormat="1" x14ac:dyDescent="0.2">
      <c r="A122" s="63" t="s">
        <v>266</v>
      </c>
      <c r="B122" s="33" t="s">
        <v>134</v>
      </c>
    </row>
    <row r="124" spans="1:8" x14ac:dyDescent="0.2">
      <c r="B124" s="29" t="s">
        <v>138</v>
      </c>
    </row>
    <row r="125" spans="1:8" x14ac:dyDescent="0.2">
      <c r="B125" s="11" t="s">
        <v>133</v>
      </c>
      <c r="D125" s="15">
        <f t="shared" ref="D125:H125" si="18">D119</f>
        <v>64.98</v>
      </c>
      <c r="E125" s="15">
        <f t="shared" si="18"/>
        <v>80.968530000000001</v>
      </c>
      <c r="F125" s="15">
        <f t="shared" si="18"/>
        <v>101.12993825999997</v>
      </c>
      <c r="G125" s="15">
        <f t="shared" si="18"/>
        <v>125.52595066692004</v>
      </c>
      <c r="H125" s="15">
        <f t="shared" si="18"/>
        <v>152.96620234493071</v>
      </c>
    </row>
    <row r="126" spans="1:8" x14ac:dyDescent="0.2">
      <c r="B126" s="35" t="s">
        <v>126</v>
      </c>
      <c r="D126" s="15">
        <f t="shared" ref="D126:H126" si="19">-D109</f>
        <v>40.950000000000003</v>
      </c>
      <c r="E126" s="15">
        <f t="shared" si="19"/>
        <v>43.15</v>
      </c>
      <c r="F126" s="15">
        <f t="shared" si="19"/>
        <v>45.57</v>
      </c>
      <c r="G126" s="15">
        <f t="shared" si="19"/>
        <v>48.231999999999999</v>
      </c>
      <c r="H126" s="15">
        <f t="shared" si="19"/>
        <v>51.160200000000003</v>
      </c>
    </row>
    <row r="127" spans="1:8" x14ac:dyDescent="0.2">
      <c r="B127" s="35" t="s">
        <v>141</v>
      </c>
      <c r="D127" s="15">
        <f>-D262</f>
        <v>30</v>
      </c>
      <c r="E127" s="15">
        <f>-E262</f>
        <v>31.5</v>
      </c>
      <c r="F127" s="15">
        <f>-F262</f>
        <v>33.075000000000003</v>
      </c>
      <c r="G127" s="15">
        <f>-G262</f>
        <v>34.728750000000005</v>
      </c>
      <c r="H127" s="15">
        <f>-H262</f>
        <v>36.465187500000006</v>
      </c>
    </row>
    <row r="128" spans="1:8" x14ac:dyDescent="0.2">
      <c r="B128" s="35" t="s">
        <v>142</v>
      </c>
      <c r="D128" s="15">
        <f>C162-D162</f>
        <v>-20</v>
      </c>
      <c r="E128" s="15">
        <f t="shared" ref="E128:H128" si="20">D162-E162</f>
        <v>-22</v>
      </c>
      <c r="F128" s="15">
        <f t="shared" si="20"/>
        <v>-24.199999999999989</v>
      </c>
      <c r="G128" s="15">
        <f t="shared" si="20"/>
        <v>-26.620000000000005</v>
      </c>
      <c r="H128" s="15">
        <f t="shared" si="20"/>
        <v>-29.282000000000039</v>
      </c>
    </row>
    <row r="129" spans="2:12" x14ac:dyDescent="0.2">
      <c r="B129" s="35" t="s">
        <v>143</v>
      </c>
      <c r="D129" s="15">
        <f>C163-D163</f>
        <v>-10</v>
      </c>
      <c r="E129" s="15">
        <f t="shared" ref="E129:H129" si="21">D163-E163</f>
        <v>-11</v>
      </c>
      <c r="F129" s="15">
        <f t="shared" si="21"/>
        <v>-12.099999999999994</v>
      </c>
      <c r="G129" s="15">
        <f t="shared" si="21"/>
        <v>-13.310000000000002</v>
      </c>
      <c r="H129" s="15">
        <f t="shared" si="21"/>
        <v>-14.640999999999991</v>
      </c>
    </row>
    <row r="130" spans="2:12" x14ac:dyDescent="0.2">
      <c r="B130" s="35" t="s">
        <v>145</v>
      </c>
      <c r="D130" s="15">
        <f>D180-C180</f>
        <v>10</v>
      </c>
      <c r="E130" s="15">
        <f t="shared" ref="E130:H130" si="22">E180-D180</f>
        <v>11</v>
      </c>
      <c r="F130" s="15">
        <f t="shared" si="22"/>
        <v>12.099999999999994</v>
      </c>
      <c r="G130" s="15">
        <f t="shared" si="22"/>
        <v>13.310000000000002</v>
      </c>
      <c r="H130" s="15">
        <f t="shared" si="22"/>
        <v>14.640999999999991</v>
      </c>
    </row>
    <row r="131" spans="2:12" x14ac:dyDescent="0.2">
      <c r="B131" s="35" t="s">
        <v>146</v>
      </c>
      <c r="D131" s="15">
        <f>D181-C181</f>
        <v>5</v>
      </c>
      <c r="E131" s="15">
        <f t="shared" ref="E131:H131" si="23">E181-D181</f>
        <v>5.5</v>
      </c>
      <c r="F131" s="15">
        <f t="shared" si="23"/>
        <v>6.0499999999999972</v>
      </c>
      <c r="G131" s="15">
        <f t="shared" si="23"/>
        <v>6.6550000000000153</v>
      </c>
      <c r="H131" s="15">
        <f t="shared" si="23"/>
        <v>7.3205000000000098</v>
      </c>
    </row>
    <row r="132" spans="2:12" x14ac:dyDescent="0.2">
      <c r="B132" s="43" t="s">
        <v>135</v>
      </c>
      <c r="C132" s="44"/>
      <c r="D132" s="44">
        <f t="shared" ref="D132:H132" si="24">SUM(D125:D131)</f>
        <v>120.93</v>
      </c>
      <c r="E132" s="44">
        <f t="shared" si="24"/>
        <v>139.11852999999999</v>
      </c>
      <c r="F132" s="44">
        <f t="shared" si="24"/>
        <v>161.62493826000002</v>
      </c>
      <c r="G132" s="44">
        <f t="shared" si="24"/>
        <v>188.52170066692008</v>
      </c>
      <c r="H132" s="44">
        <f t="shared" si="24"/>
        <v>218.63008984493069</v>
      </c>
    </row>
    <row r="133" spans="2:12" x14ac:dyDescent="0.2">
      <c r="B133" s="35"/>
    </row>
    <row r="134" spans="2:12" x14ac:dyDescent="0.2">
      <c r="B134" s="29" t="s">
        <v>139</v>
      </c>
    </row>
    <row r="135" spans="2:12" x14ac:dyDescent="0.2">
      <c r="B135" s="40" t="s">
        <v>102</v>
      </c>
      <c r="D135" s="15">
        <f t="shared" ref="D135:H135" si="25">-D322</f>
        <v>-33</v>
      </c>
      <c r="E135" s="15">
        <f t="shared" si="25"/>
        <v>-36.299999999999997</v>
      </c>
      <c r="F135" s="15">
        <f t="shared" si="25"/>
        <v>-39.93</v>
      </c>
      <c r="G135" s="15">
        <f t="shared" si="25"/>
        <v>-43.923000000000002</v>
      </c>
      <c r="H135" s="15">
        <f t="shared" si="25"/>
        <v>-48.315300000000008</v>
      </c>
    </row>
    <row r="136" spans="2:12" x14ac:dyDescent="0.2">
      <c r="B136" s="43" t="s">
        <v>136</v>
      </c>
      <c r="C136" s="44"/>
      <c r="D136" s="44">
        <f t="shared" ref="D136:H136" si="26">SUM(D135)</f>
        <v>-33</v>
      </c>
      <c r="E136" s="44">
        <f t="shared" si="26"/>
        <v>-36.299999999999997</v>
      </c>
      <c r="F136" s="44">
        <f t="shared" si="26"/>
        <v>-39.93</v>
      </c>
      <c r="G136" s="44">
        <f t="shared" si="26"/>
        <v>-43.923000000000002</v>
      </c>
      <c r="H136" s="44">
        <f t="shared" si="26"/>
        <v>-48.315300000000008</v>
      </c>
    </row>
    <row r="138" spans="2:12" x14ac:dyDescent="0.2">
      <c r="B138" s="42" t="s">
        <v>149</v>
      </c>
      <c r="C138" s="44"/>
      <c r="D138" s="44">
        <f>D132+D136</f>
        <v>87.93</v>
      </c>
      <c r="E138" s="44">
        <f>E132+E136</f>
        <v>102.81853</v>
      </c>
      <c r="F138" s="44">
        <f t="shared" ref="F138:H138" si="27">F132+F136</f>
        <v>121.69493826000001</v>
      </c>
      <c r="G138" s="44">
        <f t="shared" si="27"/>
        <v>144.59870066692008</v>
      </c>
      <c r="H138" s="44">
        <f t="shared" si="27"/>
        <v>170.31478984493069</v>
      </c>
    </row>
    <row r="141" spans="2:12" x14ac:dyDescent="0.2">
      <c r="B141" s="29" t="s">
        <v>140</v>
      </c>
    </row>
    <row r="142" spans="2:12" x14ac:dyDescent="0.2">
      <c r="B142" s="11" t="s">
        <v>150</v>
      </c>
      <c r="D142" s="15">
        <f>SUM(D218:D219)</f>
        <v>-75.930000000000007</v>
      </c>
      <c r="E142" s="15">
        <f>SUM(E218:E219)</f>
        <v>-74.069999999999993</v>
      </c>
      <c r="F142" s="15">
        <f>SUM(F218:F219)</f>
        <v>0</v>
      </c>
      <c r="G142" s="15">
        <f>SUM(G218:G219)</f>
        <v>0</v>
      </c>
      <c r="H142" s="15">
        <f>SUM(H218:H219)</f>
        <v>0</v>
      </c>
    </row>
    <row r="143" spans="2:12" x14ac:dyDescent="0.2">
      <c r="B143" s="11" t="s">
        <v>151</v>
      </c>
      <c r="D143" s="15">
        <f>SUM(D238:D239)</f>
        <v>0</v>
      </c>
      <c r="E143" s="15">
        <f>SUM(E238:E239)</f>
        <v>-16.748530000000002</v>
      </c>
      <c r="F143" s="15">
        <f>SUM(F238:F239)</f>
        <v>-109.69493826000001</v>
      </c>
      <c r="G143" s="15">
        <f>SUM(G238:G239)</f>
        <v>-132.59870066692008</v>
      </c>
      <c r="H143" s="15">
        <f>SUM(H238:H239)</f>
        <v>-158.31478984493069</v>
      </c>
    </row>
    <row r="144" spans="2:12" x14ac:dyDescent="0.2">
      <c r="B144" s="11" t="s">
        <v>152</v>
      </c>
      <c r="D144" s="15">
        <f>SUM(D249:D250)</f>
        <v>0</v>
      </c>
      <c r="E144" s="15">
        <f>SUM(E249:E250)</f>
        <v>0</v>
      </c>
      <c r="F144" s="15">
        <f>SUM(F249:F250)</f>
        <v>0</v>
      </c>
      <c r="G144" s="15">
        <f>SUM(G249:G250)</f>
        <v>0</v>
      </c>
      <c r="H144" s="15">
        <f>SUM(H249:H250)</f>
        <v>0</v>
      </c>
      <c r="J144" s="20"/>
      <c r="K144" s="20"/>
      <c r="L144" s="20"/>
    </row>
    <row r="145" spans="1:27" x14ac:dyDescent="0.2">
      <c r="B145" s="35" t="s">
        <v>153</v>
      </c>
      <c r="D145" s="15">
        <f>$D$240</f>
        <v>-12</v>
      </c>
      <c r="E145" s="15">
        <f>$D$240</f>
        <v>-12</v>
      </c>
      <c r="F145" s="15">
        <f>$D$240</f>
        <v>-12</v>
      </c>
      <c r="G145" s="15">
        <f>$D$240</f>
        <v>-12</v>
      </c>
      <c r="H145" s="15">
        <f>$D$240</f>
        <v>-12</v>
      </c>
    </row>
    <row r="146" spans="1:27" x14ac:dyDescent="0.2">
      <c r="B146" s="36" t="s">
        <v>137</v>
      </c>
      <c r="C146" s="15">
        <f ca="1">SUM(C142:C146)</f>
        <v>0</v>
      </c>
      <c r="D146" s="44">
        <f>SUM(D142:D145)</f>
        <v>-87.93</v>
      </c>
      <c r="E146" s="44">
        <f t="shared" ref="E146:H146" si="28">SUM(E142:E145)</f>
        <v>-102.81853</v>
      </c>
      <c r="F146" s="44">
        <f t="shared" si="28"/>
        <v>-121.69493826000001</v>
      </c>
      <c r="G146" s="44">
        <f t="shared" si="28"/>
        <v>-144.59870066692008</v>
      </c>
      <c r="H146" s="44">
        <f t="shared" si="28"/>
        <v>-170.31478984493069</v>
      </c>
    </row>
    <row r="149" spans="1:27" x14ac:dyDescent="0.2">
      <c r="B149" s="42" t="s">
        <v>247</v>
      </c>
      <c r="D149" s="44">
        <f>SUM(,D138,D146)</f>
        <v>0</v>
      </c>
      <c r="E149" s="44">
        <f t="shared" ref="E149:H149" si="29">SUM(,E138,E146)</f>
        <v>0</v>
      </c>
      <c r="F149" s="44">
        <f t="shared" si="29"/>
        <v>0</v>
      </c>
      <c r="G149" s="44">
        <f t="shared" si="29"/>
        <v>0</v>
      </c>
      <c r="H149" s="44">
        <f t="shared" si="29"/>
        <v>0</v>
      </c>
    </row>
    <row r="150" spans="1:27" x14ac:dyDescent="0.2">
      <c r="B150" s="42"/>
      <c r="D150" s="44"/>
      <c r="E150" s="44"/>
      <c r="F150" s="44"/>
      <c r="G150" s="44"/>
      <c r="H150" s="44"/>
    </row>
    <row r="151" spans="1:27" x14ac:dyDescent="0.2">
      <c r="B151" s="42" t="s">
        <v>248</v>
      </c>
      <c r="D151" s="44">
        <f>C161</f>
        <v>25</v>
      </c>
      <c r="E151" s="44">
        <f>D152</f>
        <v>25</v>
      </c>
      <c r="F151" s="44">
        <f t="shared" ref="F151:H151" si="30">E152</f>
        <v>25</v>
      </c>
      <c r="G151" s="44">
        <f t="shared" si="30"/>
        <v>25</v>
      </c>
      <c r="H151" s="44">
        <f t="shared" si="30"/>
        <v>25</v>
      </c>
    </row>
    <row r="152" spans="1:27" x14ac:dyDescent="0.2">
      <c r="B152" s="42" t="s">
        <v>249</v>
      </c>
      <c r="D152" s="44">
        <f>SUM(D151,D149)</f>
        <v>25</v>
      </c>
      <c r="E152" s="44">
        <f t="shared" ref="E152:H152" si="31">SUM(E151,E149)</f>
        <v>25</v>
      </c>
      <c r="F152" s="44">
        <f t="shared" si="31"/>
        <v>25</v>
      </c>
      <c r="G152" s="44">
        <f t="shared" si="31"/>
        <v>25</v>
      </c>
      <c r="H152" s="44">
        <f t="shared" si="31"/>
        <v>25</v>
      </c>
    </row>
    <row r="153" spans="1:27" x14ac:dyDescent="0.2">
      <c r="B153" s="42"/>
      <c r="D153" s="44"/>
      <c r="E153" s="44"/>
      <c r="F153" s="44"/>
      <c r="G153" s="44"/>
      <c r="H153" s="44"/>
    </row>
    <row r="155" spans="1:27" s="28" customFormat="1" x14ac:dyDescent="0.2">
      <c r="A155" s="63" t="s">
        <v>266</v>
      </c>
      <c r="B155" s="33" t="s">
        <v>154</v>
      </c>
    </row>
    <row r="157" spans="1:27" x14ac:dyDescent="0.2">
      <c r="N157" s="44" t="s">
        <v>177</v>
      </c>
    </row>
    <row r="158" spans="1:27" x14ac:dyDescent="0.2">
      <c r="B158" s="32" t="s">
        <v>155</v>
      </c>
      <c r="N158" s="15" t="s">
        <v>181</v>
      </c>
      <c r="T158" s="20"/>
      <c r="U158" s="20"/>
      <c r="V158" s="20"/>
      <c r="W158" s="20"/>
      <c r="X158" s="20"/>
      <c r="Y158" s="20"/>
      <c r="Z158" s="20"/>
      <c r="AA158" s="20"/>
    </row>
    <row r="159" spans="1:27" x14ac:dyDescent="0.2">
      <c r="J159" s="47" t="s">
        <v>179</v>
      </c>
      <c r="K159" s="48"/>
      <c r="L159" s="48"/>
      <c r="N159" s="15" t="s">
        <v>182</v>
      </c>
      <c r="T159" s="20"/>
      <c r="U159" s="20"/>
      <c r="V159" s="20"/>
      <c r="W159" s="20"/>
      <c r="X159" s="20"/>
      <c r="Y159" s="20"/>
      <c r="Z159" s="20"/>
      <c r="AA159" s="20"/>
    </row>
    <row r="160" spans="1:27" x14ac:dyDescent="0.2">
      <c r="B160" s="29" t="s">
        <v>156</v>
      </c>
      <c r="J160" s="24" t="s">
        <v>176</v>
      </c>
      <c r="K160" s="24" t="s">
        <v>177</v>
      </c>
      <c r="L160" s="24" t="s">
        <v>178</v>
      </c>
      <c r="N160" s="15" t="s">
        <v>184</v>
      </c>
    </row>
    <row r="161" spans="2:21" x14ac:dyDescent="0.2">
      <c r="B161" s="11" t="s">
        <v>157</v>
      </c>
      <c r="C161" s="15">
        <f>L161</f>
        <v>25</v>
      </c>
      <c r="D161" s="15">
        <f>D152</f>
        <v>25</v>
      </c>
      <c r="E161" s="15">
        <f t="shared" ref="E161:H161" si="32">E152</f>
        <v>25</v>
      </c>
      <c r="F161" s="15">
        <f t="shared" si="32"/>
        <v>25</v>
      </c>
      <c r="G161" s="15">
        <f t="shared" si="32"/>
        <v>25</v>
      </c>
      <c r="H161" s="15">
        <f t="shared" si="32"/>
        <v>25</v>
      </c>
      <c r="J161" s="13">
        <v>50</v>
      </c>
      <c r="K161" s="13">
        <f>C22-J161</f>
        <v>-25</v>
      </c>
      <c r="L161" s="13">
        <f>SUM(J161:K161)</f>
        <v>25</v>
      </c>
      <c r="N161" s="15" t="s">
        <v>185</v>
      </c>
    </row>
    <row r="162" spans="2:21" x14ac:dyDescent="0.2">
      <c r="B162" s="11" t="s">
        <v>158</v>
      </c>
      <c r="C162" s="15">
        <f>L162</f>
        <v>200</v>
      </c>
      <c r="D162" s="15">
        <f>D328</f>
        <v>220</v>
      </c>
      <c r="E162" s="15">
        <f t="shared" ref="E162:F162" si="33">E328</f>
        <v>242</v>
      </c>
      <c r="F162" s="15">
        <f t="shared" si="33"/>
        <v>266.2</v>
      </c>
      <c r="G162" s="15">
        <f>G328</f>
        <v>292.82</v>
      </c>
      <c r="H162" s="15">
        <f>H328</f>
        <v>322.10200000000003</v>
      </c>
      <c r="J162" s="15">
        <v>200</v>
      </c>
      <c r="K162" s="16" t="s">
        <v>0</v>
      </c>
      <c r="L162" s="15">
        <f>SUM(J162:K162)</f>
        <v>200</v>
      </c>
      <c r="N162" s="15" t="s">
        <v>186</v>
      </c>
    </row>
    <row r="163" spans="2:21" x14ac:dyDescent="0.2">
      <c r="B163" s="35" t="s">
        <v>159</v>
      </c>
      <c r="C163" s="15">
        <f>L163</f>
        <v>100</v>
      </c>
      <c r="D163" s="15">
        <f>D329</f>
        <v>110</v>
      </c>
      <c r="E163" s="15">
        <f t="shared" ref="E163:H163" si="34">E329</f>
        <v>121</v>
      </c>
      <c r="F163" s="15">
        <f t="shared" si="34"/>
        <v>133.1</v>
      </c>
      <c r="G163" s="15">
        <f t="shared" si="34"/>
        <v>146.41</v>
      </c>
      <c r="H163" s="15">
        <f t="shared" si="34"/>
        <v>161.05099999999999</v>
      </c>
      <c r="J163" s="15">
        <v>100</v>
      </c>
      <c r="K163" s="16" t="s">
        <v>0</v>
      </c>
      <c r="L163" s="15">
        <f>SUM(J163:K163)</f>
        <v>100</v>
      </c>
    </row>
    <row r="164" spans="2:21" x14ac:dyDescent="0.2">
      <c r="B164" s="36" t="s">
        <v>160</v>
      </c>
      <c r="C164" s="44">
        <f>SUM(C161:C163)</f>
        <v>325</v>
      </c>
      <c r="D164" s="44">
        <f t="shared" ref="D164:H164" si="35">SUM(D161:D163)</f>
        <v>355</v>
      </c>
      <c r="E164" s="44">
        <f t="shared" si="35"/>
        <v>388</v>
      </c>
      <c r="F164" s="44">
        <f t="shared" si="35"/>
        <v>424.29999999999995</v>
      </c>
      <c r="G164" s="44">
        <f t="shared" si="35"/>
        <v>464.23</v>
      </c>
      <c r="H164" s="44">
        <f t="shared" si="35"/>
        <v>508.15300000000002</v>
      </c>
      <c r="I164" s="44"/>
      <c r="J164" s="44">
        <f>SUM(J161:J163)</f>
        <v>350</v>
      </c>
      <c r="K164" s="50" t="s">
        <v>0</v>
      </c>
      <c r="L164" s="44">
        <f>SUM(L161:L163)</f>
        <v>325</v>
      </c>
    </row>
    <row r="166" spans="2:21" x14ac:dyDescent="0.2">
      <c r="T166" s="20"/>
      <c r="U166" s="20"/>
    </row>
    <row r="167" spans="2:21" x14ac:dyDescent="0.2">
      <c r="B167" s="42" t="s">
        <v>161</v>
      </c>
      <c r="T167" s="20"/>
      <c r="U167" s="20"/>
    </row>
    <row r="168" spans="2:21" x14ac:dyDescent="0.2">
      <c r="B168" s="35" t="s">
        <v>162</v>
      </c>
      <c r="C168" s="15">
        <f>L168</f>
        <v>1216.75</v>
      </c>
      <c r="D168" s="15">
        <f>D378</f>
        <v>1213.3</v>
      </c>
      <c r="E168" s="15">
        <f t="shared" ref="E168:H168" si="36">E378</f>
        <v>1210.9499999999998</v>
      </c>
      <c r="F168" s="15">
        <f t="shared" si="36"/>
        <v>1209.81</v>
      </c>
      <c r="G168" s="15">
        <f t="shared" si="36"/>
        <v>1210.001</v>
      </c>
      <c r="H168" s="15">
        <f t="shared" si="36"/>
        <v>1211.6560999999999</v>
      </c>
      <c r="J168" s="15">
        <v>1000</v>
      </c>
      <c r="K168" s="15">
        <f>C203</f>
        <v>216.75</v>
      </c>
      <c r="L168" s="15">
        <f>SUM(J168:K168)</f>
        <v>1216.75</v>
      </c>
    </row>
    <row r="169" spans="2:21" x14ac:dyDescent="0.2">
      <c r="B169" s="35" t="s">
        <v>183</v>
      </c>
      <c r="C169" s="15">
        <f>L169</f>
        <v>45</v>
      </c>
      <c r="D169" s="15">
        <f>C169-$C$369</f>
        <v>40.5</v>
      </c>
      <c r="E169" s="15">
        <f>D169-$C$369</f>
        <v>36</v>
      </c>
      <c r="F169" s="15">
        <f>E169-$C$369</f>
        <v>31.5</v>
      </c>
      <c r="G169" s="15">
        <f>F169-$C$369</f>
        <v>27</v>
      </c>
      <c r="H169" s="15">
        <f>G169-$C$369</f>
        <v>22.5</v>
      </c>
      <c r="J169" s="16" t="s">
        <v>0</v>
      </c>
      <c r="K169" s="15">
        <f>C88</f>
        <v>45</v>
      </c>
      <c r="L169" s="15">
        <f>SUM(J169:K169)</f>
        <v>45</v>
      </c>
    </row>
    <row r="170" spans="2:21" x14ac:dyDescent="0.2">
      <c r="B170" s="35" t="s">
        <v>163</v>
      </c>
      <c r="C170" s="15">
        <f>L170</f>
        <v>1328.25</v>
      </c>
      <c r="D170" s="15">
        <f>C170</f>
        <v>1328.25</v>
      </c>
      <c r="E170" s="15">
        <f t="shared" ref="E170:H170" si="37">D170</f>
        <v>1328.25</v>
      </c>
      <c r="F170" s="15">
        <f t="shared" si="37"/>
        <v>1328.25</v>
      </c>
      <c r="G170" s="15">
        <f t="shared" si="37"/>
        <v>1328.25</v>
      </c>
      <c r="H170" s="15">
        <f t="shared" si="37"/>
        <v>1328.25</v>
      </c>
      <c r="J170" s="15">
        <v>100</v>
      </c>
      <c r="K170" s="15">
        <f>C202</f>
        <v>1228.25</v>
      </c>
      <c r="L170" s="15">
        <f>SUM(J170:K170)</f>
        <v>1328.25</v>
      </c>
    </row>
    <row r="171" spans="2:21" x14ac:dyDescent="0.2">
      <c r="B171" s="36" t="s">
        <v>164</v>
      </c>
      <c r="C171" s="44">
        <f>SUM(C168:C170)</f>
        <v>2590</v>
      </c>
      <c r="D171" s="44">
        <f t="shared" ref="D171:H171" si="38">SUM(D168:D170)</f>
        <v>2582.0500000000002</v>
      </c>
      <c r="E171" s="44">
        <f t="shared" si="38"/>
        <v>2575.1999999999998</v>
      </c>
      <c r="F171" s="44">
        <f t="shared" si="38"/>
        <v>2569.56</v>
      </c>
      <c r="G171" s="44">
        <f t="shared" si="38"/>
        <v>2565.2510000000002</v>
      </c>
      <c r="H171" s="44">
        <f t="shared" si="38"/>
        <v>2562.4061000000002</v>
      </c>
      <c r="J171" s="44">
        <f>SUM(J168:J170)</f>
        <v>1100</v>
      </c>
      <c r="K171" s="44"/>
      <c r="L171" s="44">
        <f>SUM(L168:L170)</f>
        <v>2590</v>
      </c>
    </row>
    <row r="173" spans="2:21" x14ac:dyDescent="0.2">
      <c r="B173" s="42" t="s">
        <v>165</v>
      </c>
      <c r="C173" s="44">
        <f>C164+C171</f>
        <v>2915</v>
      </c>
      <c r="D173" s="15">
        <f t="shared" ref="D173:H173" si="39">D171+D164</f>
        <v>2937.05</v>
      </c>
      <c r="E173" s="15">
        <f t="shared" si="39"/>
        <v>2963.2</v>
      </c>
      <c r="F173" s="15">
        <f t="shared" si="39"/>
        <v>2993.8599999999997</v>
      </c>
      <c r="G173" s="15">
        <f t="shared" si="39"/>
        <v>3029.4810000000002</v>
      </c>
      <c r="H173" s="15">
        <f t="shared" si="39"/>
        <v>3070.5591000000004</v>
      </c>
      <c r="J173" s="44">
        <f>J171+J164</f>
        <v>1450</v>
      </c>
      <c r="K173" s="44"/>
      <c r="L173" s="44">
        <f>L171+L164</f>
        <v>2915</v>
      </c>
    </row>
    <row r="175" spans="2:21" x14ac:dyDescent="0.2">
      <c r="B175" s="45" t="s">
        <v>166</v>
      </c>
    </row>
    <row r="177" spans="2:12" x14ac:dyDescent="0.2">
      <c r="B177" s="32" t="s">
        <v>167</v>
      </c>
    </row>
    <row r="179" spans="2:12" x14ac:dyDescent="0.2">
      <c r="B179" s="29" t="s">
        <v>168</v>
      </c>
    </row>
    <row r="180" spans="2:12" x14ac:dyDescent="0.2">
      <c r="B180" s="46" t="s">
        <v>144</v>
      </c>
      <c r="C180" s="15">
        <f>L180</f>
        <v>100</v>
      </c>
      <c r="D180" s="15">
        <f>D334</f>
        <v>110</v>
      </c>
      <c r="E180" s="15">
        <f t="shared" ref="E180:H180" si="40">E334</f>
        <v>121</v>
      </c>
      <c r="F180" s="15">
        <f t="shared" si="40"/>
        <v>133.1</v>
      </c>
      <c r="G180" s="15">
        <f t="shared" si="40"/>
        <v>146.41</v>
      </c>
      <c r="H180" s="15">
        <f t="shared" si="40"/>
        <v>161.05099999999999</v>
      </c>
      <c r="J180" s="15">
        <v>100</v>
      </c>
      <c r="K180" s="14" t="s">
        <v>0</v>
      </c>
      <c r="L180" s="15">
        <f>SUM(J180:K180)</f>
        <v>100</v>
      </c>
    </row>
    <row r="181" spans="2:12" x14ac:dyDescent="0.2">
      <c r="B181" s="46" t="s">
        <v>169</v>
      </c>
      <c r="C181" s="15">
        <f>L181</f>
        <v>50</v>
      </c>
      <c r="D181" s="15">
        <f>D335</f>
        <v>55</v>
      </c>
      <c r="E181" s="15">
        <f t="shared" ref="E181:H181" si="41">E335</f>
        <v>60.5</v>
      </c>
      <c r="F181" s="15">
        <f t="shared" si="41"/>
        <v>66.55</v>
      </c>
      <c r="G181" s="15">
        <f t="shared" si="41"/>
        <v>73.205000000000013</v>
      </c>
      <c r="H181" s="15">
        <f t="shared" si="41"/>
        <v>80.525500000000022</v>
      </c>
      <c r="J181" s="15">
        <v>50</v>
      </c>
      <c r="K181" s="14" t="s">
        <v>0</v>
      </c>
      <c r="L181" s="15">
        <f>SUM(J181:K181)</f>
        <v>50</v>
      </c>
    </row>
    <row r="182" spans="2:12" x14ac:dyDescent="0.2">
      <c r="B182" s="36" t="s">
        <v>170</v>
      </c>
      <c r="C182" s="44">
        <f>SUM(C180:C181)</f>
        <v>150</v>
      </c>
      <c r="D182" s="44">
        <f t="shared" ref="D182:H182" si="42">SUM(D180:D181)</f>
        <v>165</v>
      </c>
      <c r="E182" s="44">
        <f t="shared" si="42"/>
        <v>181.5</v>
      </c>
      <c r="F182" s="44">
        <f t="shared" si="42"/>
        <v>199.64999999999998</v>
      </c>
      <c r="G182" s="44">
        <f t="shared" si="42"/>
        <v>219.61500000000001</v>
      </c>
      <c r="H182" s="44">
        <f t="shared" si="42"/>
        <v>241.57650000000001</v>
      </c>
      <c r="I182" s="44"/>
      <c r="J182" s="44">
        <f>SUM(J180:J181)</f>
        <v>150</v>
      </c>
      <c r="K182" s="49" t="s">
        <v>0</v>
      </c>
      <c r="L182" s="44">
        <f>SUM(L180:L181)</f>
        <v>150</v>
      </c>
    </row>
    <row r="183" spans="2:12" x14ac:dyDescent="0.2">
      <c r="B183" s="29"/>
    </row>
    <row r="184" spans="2:12" x14ac:dyDescent="0.2">
      <c r="B184" s="29" t="s">
        <v>171</v>
      </c>
    </row>
    <row r="185" spans="2:12" x14ac:dyDescent="0.2">
      <c r="B185" s="46" t="s">
        <v>108</v>
      </c>
      <c r="C185" s="15">
        <f>L185</f>
        <v>0</v>
      </c>
      <c r="D185" s="15">
        <f>C185</f>
        <v>0</v>
      </c>
      <c r="E185" s="15">
        <f t="shared" ref="E185:H185" si="43">D185</f>
        <v>0</v>
      </c>
      <c r="F185" s="15">
        <f t="shared" si="43"/>
        <v>0</v>
      </c>
      <c r="G185" s="15">
        <f t="shared" si="43"/>
        <v>0</v>
      </c>
      <c r="H185" s="15">
        <f t="shared" si="43"/>
        <v>0</v>
      </c>
      <c r="J185" s="15">
        <v>500</v>
      </c>
      <c r="K185" s="15">
        <v>-500</v>
      </c>
      <c r="L185" s="15">
        <f>SUM(J185:K185)</f>
        <v>0</v>
      </c>
    </row>
    <row r="186" spans="2:12" x14ac:dyDescent="0.2">
      <c r="B186" s="40" t="s">
        <v>76</v>
      </c>
      <c r="C186" s="15">
        <f>L186</f>
        <v>150</v>
      </c>
      <c r="D186" s="15">
        <f>D220</f>
        <v>74.069999999999993</v>
      </c>
      <c r="E186" s="15">
        <f>E220</f>
        <v>0</v>
      </c>
      <c r="F186" s="15">
        <f>F220</f>
        <v>0</v>
      </c>
      <c r="G186" s="15">
        <f>G220</f>
        <v>0</v>
      </c>
      <c r="H186" s="15">
        <f>H220</f>
        <v>0</v>
      </c>
      <c r="J186" s="15">
        <v>0</v>
      </c>
      <c r="K186" s="15">
        <f>C76</f>
        <v>150</v>
      </c>
      <c r="L186" s="15">
        <f>SUM(J186:K186)</f>
        <v>150</v>
      </c>
    </row>
    <row r="187" spans="2:12" x14ac:dyDescent="0.2">
      <c r="B187" s="40" t="s">
        <v>81</v>
      </c>
      <c r="C187" s="15">
        <f>L187</f>
        <v>1200</v>
      </c>
      <c r="D187" s="15">
        <f>D241</f>
        <v>1188</v>
      </c>
      <c r="E187" s="15">
        <f>E241</f>
        <v>1159.2514699999999</v>
      </c>
      <c r="F187" s="15">
        <f>F241</f>
        <v>1037.5565317399999</v>
      </c>
      <c r="G187" s="15">
        <f>G241</f>
        <v>892.95783107307977</v>
      </c>
      <c r="H187" s="15">
        <f>H241</f>
        <v>722.64304122814906</v>
      </c>
      <c r="J187" s="15">
        <v>0</v>
      </c>
      <c r="K187" s="15">
        <f>C77</f>
        <v>1200</v>
      </c>
      <c r="L187" s="15">
        <f>SUM(J187:K187)</f>
        <v>1200</v>
      </c>
    </row>
    <row r="188" spans="2:12" x14ac:dyDescent="0.2">
      <c r="B188" s="40" t="s">
        <v>87</v>
      </c>
      <c r="C188" s="15">
        <f>L188</f>
        <v>600</v>
      </c>
      <c r="D188" s="15">
        <f>D252</f>
        <v>630</v>
      </c>
      <c r="E188" s="15">
        <f>E252</f>
        <v>661.5</v>
      </c>
      <c r="F188" s="15">
        <f>F252</f>
        <v>694.57500000000005</v>
      </c>
      <c r="G188" s="15">
        <f>G252</f>
        <v>729.30375000000004</v>
      </c>
      <c r="H188" s="15">
        <f>H252</f>
        <v>765.76893749999999</v>
      </c>
      <c r="J188" s="15">
        <v>0</v>
      </c>
      <c r="K188" s="15">
        <f>C78</f>
        <v>600</v>
      </c>
      <c r="L188" s="15">
        <f>SUM(J188:K188)</f>
        <v>600</v>
      </c>
    </row>
    <row r="189" spans="2:12" x14ac:dyDescent="0.2">
      <c r="B189" s="43" t="s">
        <v>172</v>
      </c>
      <c r="C189" s="44">
        <f>SUM(C185:C188)</f>
        <v>1950</v>
      </c>
      <c r="D189" s="44">
        <f t="shared" ref="D189:H189" si="44">SUM(D185:D188)</f>
        <v>1892.07</v>
      </c>
      <c r="E189" s="44">
        <f t="shared" si="44"/>
        <v>1820.7514699999999</v>
      </c>
      <c r="F189" s="44">
        <f t="shared" si="44"/>
        <v>1732.1315317399999</v>
      </c>
      <c r="G189" s="44">
        <f t="shared" si="44"/>
        <v>1622.2615810730799</v>
      </c>
      <c r="H189" s="44">
        <f t="shared" si="44"/>
        <v>1488.4119787281491</v>
      </c>
      <c r="I189" s="44"/>
      <c r="J189" s="44">
        <f>SUM(J185:J188)</f>
        <v>500</v>
      </c>
      <c r="K189" s="44"/>
      <c r="L189" s="44">
        <f>SUM(L185:L188)</f>
        <v>1950</v>
      </c>
    </row>
    <row r="190" spans="2:12" x14ac:dyDescent="0.2">
      <c r="B190" s="42"/>
    </row>
    <row r="191" spans="2:12" x14ac:dyDescent="0.2">
      <c r="B191" s="42" t="s">
        <v>173</v>
      </c>
      <c r="C191" s="44">
        <f>C189+C182</f>
        <v>2100</v>
      </c>
      <c r="D191" s="44">
        <f t="shared" ref="D191:H191" si="45">D189+D182</f>
        <v>2057.0699999999997</v>
      </c>
      <c r="E191" s="44">
        <f t="shared" si="45"/>
        <v>2002.2514699999999</v>
      </c>
      <c r="F191" s="44">
        <f t="shared" si="45"/>
        <v>1931.78153174</v>
      </c>
      <c r="G191" s="44">
        <f t="shared" si="45"/>
        <v>1841.8765810730799</v>
      </c>
      <c r="H191" s="44">
        <f t="shared" si="45"/>
        <v>1729.9884787281489</v>
      </c>
      <c r="I191" s="44"/>
      <c r="J191" s="44">
        <f>J189+J182</f>
        <v>650</v>
      </c>
      <c r="K191" s="44"/>
      <c r="L191" s="44">
        <f>L189+L182</f>
        <v>2100</v>
      </c>
    </row>
    <row r="192" spans="2:12" x14ac:dyDescent="0.2">
      <c r="B192" s="42" t="s">
        <v>180</v>
      </c>
      <c r="C192" s="44">
        <f>L192</f>
        <v>815</v>
      </c>
      <c r="D192" s="44">
        <f>C192+D119</f>
        <v>879.98</v>
      </c>
      <c r="E192" s="44">
        <f t="shared" ref="E192:H192" si="46">D192+E119</f>
        <v>960.94853000000001</v>
      </c>
      <c r="F192" s="44">
        <f t="shared" si="46"/>
        <v>1062.0784682599999</v>
      </c>
      <c r="G192" s="44">
        <f t="shared" si="46"/>
        <v>1187.6044189269201</v>
      </c>
      <c r="H192" s="44">
        <f t="shared" si="46"/>
        <v>1340.5706212718508</v>
      </c>
      <c r="J192" s="15">
        <v>800</v>
      </c>
      <c r="K192" s="15">
        <f>-J192+C79+C80</f>
        <v>15</v>
      </c>
      <c r="L192" s="15">
        <f>SUM(J192:K192)</f>
        <v>815</v>
      </c>
    </row>
    <row r="193" spans="1:12" x14ac:dyDescent="0.2">
      <c r="B193" s="42"/>
    </row>
    <row r="194" spans="1:12" x14ac:dyDescent="0.2">
      <c r="B194" s="42" t="s">
        <v>174</v>
      </c>
      <c r="C194" s="44">
        <f>C192+C191</f>
        <v>2915</v>
      </c>
      <c r="D194" s="44">
        <f t="shared" ref="D194:H194" si="47">D192+D191</f>
        <v>2937.0499999999997</v>
      </c>
      <c r="E194" s="44">
        <f t="shared" si="47"/>
        <v>2963.2</v>
      </c>
      <c r="F194" s="44">
        <f t="shared" si="47"/>
        <v>2993.8599999999997</v>
      </c>
      <c r="G194" s="44">
        <f t="shared" si="47"/>
        <v>3029.4809999999998</v>
      </c>
      <c r="H194" s="44">
        <f t="shared" si="47"/>
        <v>3070.5590999999995</v>
      </c>
      <c r="I194" s="44"/>
      <c r="J194" s="44">
        <f>SUM(J191:J192)</f>
        <v>1450</v>
      </c>
      <c r="K194" s="44"/>
      <c r="L194" s="44">
        <f>SUM(L191:L192)</f>
        <v>2915</v>
      </c>
    </row>
    <row r="195" spans="1:12" x14ac:dyDescent="0.2">
      <c r="B195" s="40" t="s">
        <v>175</v>
      </c>
      <c r="C195" s="15">
        <f>C194-C173</f>
        <v>0</v>
      </c>
      <c r="D195" s="15">
        <f>D194-D173</f>
        <v>0</v>
      </c>
      <c r="E195" s="15">
        <f t="shared" ref="E195:H195" si="48">E194-E173</f>
        <v>0</v>
      </c>
      <c r="F195" s="15">
        <f t="shared" si="48"/>
        <v>0</v>
      </c>
      <c r="G195" s="15">
        <f t="shared" si="48"/>
        <v>0</v>
      </c>
      <c r="H195" s="15">
        <f t="shared" si="48"/>
        <v>0</v>
      </c>
      <c r="J195" s="15">
        <f>J173-J194</f>
        <v>0</v>
      </c>
      <c r="L195" s="15">
        <f>L173-L194</f>
        <v>0</v>
      </c>
    </row>
    <row r="196" spans="1:12" x14ac:dyDescent="0.2">
      <c r="B196" s="40"/>
    </row>
    <row r="197" spans="1:12" s="28" customFormat="1" x14ac:dyDescent="0.2">
      <c r="A197" s="63" t="s">
        <v>266</v>
      </c>
      <c r="B197" s="33" t="s">
        <v>187</v>
      </c>
    </row>
    <row r="199" spans="1:12" x14ac:dyDescent="0.2">
      <c r="B199" s="40" t="s">
        <v>188</v>
      </c>
      <c r="C199" s="15">
        <f>K161+K169</f>
        <v>20</v>
      </c>
    </row>
    <row r="200" spans="1:12" x14ac:dyDescent="0.2">
      <c r="B200" s="40" t="s">
        <v>189</v>
      </c>
      <c r="C200" s="15">
        <f>SUM(K185:K188)+K192</f>
        <v>1465</v>
      </c>
    </row>
    <row r="201" spans="1:12" x14ac:dyDescent="0.2">
      <c r="B201" s="43" t="s">
        <v>190</v>
      </c>
      <c r="C201" s="37">
        <f>C200-C199</f>
        <v>1445</v>
      </c>
    </row>
    <row r="202" spans="1:12" x14ac:dyDescent="0.2">
      <c r="B202" s="40" t="s">
        <v>191</v>
      </c>
      <c r="C202" s="51">
        <f>C201*C60</f>
        <v>1228.25</v>
      </c>
    </row>
    <row r="203" spans="1:12" x14ac:dyDescent="0.2">
      <c r="B203" s="40" t="s">
        <v>192</v>
      </c>
      <c r="C203" s="51">
        <f>C201*C61</f>
        <v>216.75</v>
      </c>
    </row>
    <row r="204" spans="1:12" x14ac:dyDescent="0.2">
      <c r="B204" s="40" t="s">
        <v>223</v>
      </c>
      <c r="C204" s="51">
        <f>C203*C27</f>
        <v>86.7</v>
      </c>
    </row>
    <row r="205" spans="1:12" x14ac:dyDescent="0.2">
      <c r="B205" s="40"/>
      <c r="C205" s="51"/>
    </row>
    <row r="206" spans="1:12" s="28" customFormat="1" x14ac:dyDescent="0.2">
      <c r="A206" s="63" t="s">
        <v>266</v>
      </c>
      <c r="B206" s="33" t="s">
        <v>224</v>
      </c>
    </row>
    <row r="207" spans="1:12" x14ac:dyDescent="0.2">
      <c r="H207" s="15" t="s">
        <v>222</v>
      </c>
    </row>
    <row r="208" spans="1:12" x14ac:dyDescent="0.2">
      <c r="B208" s="32" t="s">
        <v>76</v>
      </c>
    </row>
    <row r="210" spans="2:8" x14ac:dyDescent="0.2">
      <c r="B210" s="29" t="s">
        <v>225</v>
      </c>
    </row>
    <row r="211" spans="2:8" x14ac:dyDescent="0.2">
      <c r="B211" s="11" t="s">
        <v>149</v>
      </c>
      <c r="D211" s="15">
        <f>D138</f>
        <v>87.93</v>
      </c>
      <c r="E211" s="15">
        <f>E138</f>
        <v>102.81853</v>
      </c>
      <c r="F211" s="15">
        <f>F138</f>
        <v>121.69493826000001</v>
      </c>
      <c r="G211" s="15">
        <f>G138</f>
        <v>144.59870066692008</v>
      </c>
      <c r="H211" s="15">
        <f>H138</f>
        <v>170.31478984493069</v>
      </c>
    </row>
    <row r="212" spans="2:8" x14ac:dyDescent="0.2">
      <c r="B212" s="35" t="s">
        <v>226</v>
      </c>
      <c r="D212" s="15">
        <f>C$161</f>
        <v>25</v>
      </c>
      <c r="E212" s="15">
        <f t="shared" ref="E212:H212" si="49">D$161</f>
        <v>25</v>
      </c>
      <c r="F212" s="15">
        <f t="shared" si="49"/>
        <v>25</v>
      </c>
      <c r="G212" s="15">
        <f t="shared" si="49"/>
        <v>25</v>
      </c>
      <c r="H212" s="15">
        <f t="shared" si="49"/>
        <v>25</v>
      </c>
    </row>
    <row r="213" spans="2:8" x14ac:dyDescent="0.2">
      <c r="B213" s="35" t="s">
        <v>66</v>
      </c>
      <c r="D213" s="52">
        <f>-C22</f>
        <v>-25</v>
      </c>
      <c r="E213" s="52">
        <f>D213</f>
        <v>-25</v>
      </c>
      <c r="F213" s="52">
        <f t="shared" ref="F213:H213" si="50">E213</f>
        <v>-25</v>
      </c>
      <c r="G213" s="52">
        <f t="shared" si="50"/>
        <v>-25</v>
      </c>
      <c r="H213" s="52">
        <f t="shared" si="50"/>
        <v>-25</v>
      </c>
    </row>
    <row r="214" spans="2:8" x14ac:dyDescent="0.2">
      <c r="B214" s="35" t="s">
        <v>227</v>
      </c>
      <c r="D214" s="15">
        <f>D240</f>
        <v>-12</v>
      </c>
      <c r="E214" s="15">
        <f t="shared" ref="E214:H214" si="51">E240</f>
        <v>-12</v>
      </c>
      <c r="F214" s="15">
        <f t="shared" si="51"/>
        <v>-12</v>
      </c>
      <c r="G214" s="15">
        <f t="shared" si="51"/>
        <v>-12</v>
      </c>
      <c r="H214" s="15">
        <f t="shared" si="51"/>
        <v>-12</v>
      </c>
    </row>
    <row r="215" spans="2:8" x14ac:dyDescent="0.2">
      <c r="B215" s="29" t="s">
        <v>225</v>
      </c>
      <c r="D215" s="15">
        <f>SUM(D211:D214)</f>
        <v>75.930000000000007</v>
      </c>
      <c r="E215" s="15">
        <f t="shared" ref="E215:H215" si="52">SUM(E211:E214)</f>
        <v>90.818529999999996</v>
      </c>
      <c r="F215" s="15">
        <f t="shared" si="52"/>
        <v>109.69493826000001</v>
      </c>
      <c r="G215" s="15">
        <f t="shared" si="52"/>
        <v>132.59870066692008</v>
      </c>
      <c r="H215" s="15">
        <f t="shared" si="52"/>
        <v>158.31478984493069</v>
      </c>
    </row>
    <row r="216" spans="2:8" x14ac:dyDescent="0.2">
      <c r="B216" s="29"/>
    </row>
    <row r="217" spans="2:8" x14ac:dyDescent="0.2">
      <c r="B217" s="35" t="s">
        <v>217</v>
      </c>
      <c r="D217" s="15">
        <f>C76</f>
        <v>150</v>
      </c>
      <c r="E217" s="15">
        <f>D220</f>
        <v>74.069999999999993</v>
      </c>
      <c r="F217" s="15">
        <f t="shared" ref="F217:H217" si="53">E220</f>
        <v>0</v>
      </c>
      <c r="G217" s="15">
        <f t="shared" si="53"/>
        <v>0</v>
      </c>
      <c r="H217" s="15">
        <f t="shared" si="53"/>
        <v>0</v>
      </c>
    </row>
    <row r="218" spans="2:8" x14ac:dyDescent="0.2">
      <c r="B218" s="35" t="s">
        <v>229</v>
      </c>
      <c r="D218" s="15">
        <f>-MIN(D215,0)</f>
        <v>0</v>
      </c>
      <c r="E218" s="15">
        <f>-MIN(E215,0)</f>
        <v>0</v>
      </c>
      <c r="F218" s="15">
        <f>-MIN(F215,0)</f>
        <v>0</v>
      </c>
      <c r="G218" s="15">
        <f>-MIN(G215,0)</f>
        <v>0</v>
      </c>
      <c r="H218" s="15">
        <f>-MIN(H215,0)</f>
        <v>0</v>
      </c>
    </row>
    <row r="219" spans="2:8" x14ac:dyDescent="0.2">
      <c r="B219" s="35" t="s">
        <v>228</v>
      </c>
      <c r="D219" s="15">
        <f>-MAX(MIN(D217,D215),0)</f>
        <v>-75.930000000000007</v>
      </c>
      <c r="E219" s="15">
        <f>-MAX(MIN(E217,E215),0)</f>
        <v>-74.069999999999993</v>
      </c>
      <c r="F219" s="15">
        <f>-MAX(MIN(F217,F215),0)</f>
        <v>0</v>
      </c>
      <c r="G219" s="15">
        <f>-MAX(MIN(G217,G215),0)</f>
        <v>0</v>
      </c>
      <c r="H219" s="15">
        <f>-MAX(MIN(H217,H215),0)</f>
        <v>0</v>
      </c>
    </row>
    <row r="220" spans="2:8" x14ac:dyDescent="0.2">
      <c r="B220" s="4" t="s">
        <v>221</v>
      </c>
      <c r="D220" s="15">
        <f>SUM(D217:D219)</f>
        <v>74.069999999999993</v>
      </c>
      <c r="E220" s="15">
        <f t="shared" ref="E220:H220" si="54">SUM(E217:E219)</f>
        <v>0</v>
      </c>
      <c r="F220" s="15">
        <f t="shared" si="54"/>
        <v>0</v>
      </c>
      <c r="G220" s="15">
        <f t="shared" si="54"/>
        <v>0</v>
      </c>
      <c r="H220" s="15">
        <f t="shared" si="54"/>
        <v>0</v>
      </c>
    </row>
    <row r="221" spans="2:8" x14ac:dyDescent="0.2">
      <c r="B221" s="46" t="s">
        <v>237</v>
      </c>
      <c r="D221" s="39">
        <f>C33</f>
        <v>0.04</v>
      </c>
      <c r="E221" s="39">
        <f>D221</f>
        <v>0.04</v>
      </c>
      <c r="F221" s="39">
        <f t="shared" ref="F221:H221" si="55">E221</f>
        <v>0.04</v>
      </c>
      <c r="G221" s="39">
        <f t="shared" si="55"/>
        <v>0.04</v>
      </c>
      <c r="H221" s="39">
        <f t="shared" si="55"/>
        <v>0.04</v>
      </c>
    </row>
    <row r="222" spans="2:8" x14ac:dyDescent="0.2">
      <c r="B222" s="46" t="s">
        <v>233</v>
      </c>
      <c r="D222" s="15">
        <f>IF($C$56="No",-D217*D221,AVERAGE(D217,D220)*D221)</f>
        <v>-6</v>
      </c>
      <c r="E222" s="15">
        <f>IF($C$56="No",-E217*E221,AVERAGE(E217,E220)*E221)</f>
        <v>-2.9627999999999997</v>
      </c>
      <c r="F222" s="15">
        <f t="shared" ref="F222:H222" si="56">IF($C$56="No",-F217*F221,AVERAGE(F217,F220)*F221)</f>
        <v>0</v>
      </c>
      <c r="G222" s="15">
        <f t="shared" si="56"/>
        <v>0</v>
      </c>
      <c r="H222" s="15">
        <f t="shared" si="56"/>
        <v>0</v>
      </c>
    </row>
    <row r="223" spans="2:8" x14ac:dyDescent="0.2">
      <c r="B223" s="46"/>
    </row>
    <row r="224" spans="2:8" x14ac:dyDescent="0.2">
      <c r="B224" s="40" t="s">
        <v>239</v>
      </c>
      <c r="D224" s="15">
        <f>$C$34</f>
        <v>300</v>
      </c>
      <c r="E224" s="15">
        <f>D224</f>
        <v>300</v>
      </c>
      <c r="F224" s="15">
        <f t="shared" ref="F224:H224" si="57">E224</f>
        <v>300</v>
      </c>
      <c r="G224" s="15">
        <f t="shared" si="57"/>
        <v>300</v>
      </c>
      <c r="H224" s="15">
        <f t="shared" si="57"/>
        <v>300</v>
      </c>
    </row>
    <row r="225" spans="2:8" x14ac:dyDescent="0.2">
      <c r="B225" s="40" t="s">
        <v>238</v>
      </c>
      <c r="D225" s="15">
        <f>IF($C$56="No",D224-D217,D224-AVERAGE(D217,D220))</f>
        <v>150</v>
      </c>
      <c r="E225" s="15">
        <f t="shared" ref="E225:H225" si="58">IF($C$56="No",E224-E217,E224-AVERAGE(E217,E220))</f>
        <v>225.93</v>
      </c>
      <c r="F225" s="15">
        <f t="shared" si="58"/>
        <v>300</v>
      </c>
      <c r="G225" s="15">
        <f t="shared" si="58"/>
        <v>300</v>
      </c>
      <c r="H225" s="15">
        <f t="shared" si="58"/>
        <v>300</v>
      </c>
    </row>
    <row r="226" spans="2:8" x14ac:dyDescent="0.2">
      <c r="B226" s="40" t="s">
        <v>79</v>
      </c>
      <c r="D226" s="39">
        <f>C35</f>
        <v>5.0000000000000001E-3</v>
      </c>
      <c r="E226" s="39">
        <f>D226</f>
        <v>5.0000000000000001E-3</v>
      </c>
      <c r="F226" s="39">
        <f t="shared" ref="F226:H226" si="59">E226</f>
        <v>5.0000000000000001E-3</v>
      </c>
      <c r="G226" s="39">
        <f t="shared" si="59"/>
        <v>5.0000000000000001E-3</v>
      </c>
      <c r="H226" s="39">
        <f t="shared" si="59"/>
        <v>5.0000000000000001E-3</v>
      </c>
    </row>
    <row r="227" spans="2:8" x14ac:dyDescent="0.2">
      <c r="B227" s="40" t="s">
        <v>240</v>
      </c>
      <c r="D227" s="15">
        <f>-D225*D226</f>
        <v>-0.75</v>
      </c>
      <c r="E227" s="15">
        <f t="shared" ref="E227:H227" si="60">-E225*E226</f>
        <v>-1.12965</v>
      </c>
      <c r="F227" s="15">
        <f t="shared" si="60"/>
        <v>-1.5</v>
      </c>
      <c r="G227" s="15">
        <f t="shared" si="60"/>
        <v>-1.5</v>
      </c>
      <c r="H227" s="15">
        <f t="shared" si="60"/>
        <v>-1.5</v>
      </c>
    </row>
    <row r="228" spans="2:8" x14ac:dyDescent="0.2">
      <c r="B228" s="40"/>
    </row>
    <row r="229" spans="2:8" x14ac:dyDescent="0.2">
      <c r="B229" s="45" t="s">
        <v>81</v>
      </c>
    </row>
    <row r="231" spans="2:8" x14ac:dyDescent="0.2">
      <c r="B231" s="42" t="s">
        <v>230</v>
      </c>
    </row>
    <row r="232" spans="2:8" x14ac:dyDescent="0.2">
      <c r="B232" s="42"/>
    </row>
    <row r="233" spans="2:8" x14ac:dyDescent="0.2">
      <c r="B233" s="46" t="s">
        <v>225</v>
      </c>
      <c r="D233" s="15">
        <f>D215</f>
        <v>75.930000000000007</v>
      </c>
      <c r="E233" s="15">
        <f>E215</f>
        <v>90.818529999999996</v>
      </c>
      <c r="F233" s="15">
        <f>F215</f>
        <v>109.69493826000001</v>
      </c>
      <c r="G233" s="15">
        <f>G215</f>
        <v>132.59870066692008</v>
      </c>
      <c r="H233" s="15">
        <f>H215</f>
        <v>158.31478984493069</v>
      </c>
    </row>
    <row r="234" spans="2:8" x14ac:dyDescent="0.2">
      <c r="B234" s="11" t="s">
        <v>231</v>
      </c>
      <c r="D234" s="15">
        <f>SUM(D218:D219)</f>
        <v>-75.930000000000007</v>
      </c>
      <c r="E234" s="15">
        <f t="shared" ref="E234:H234" si="61">SUM(E218:E219)</f>
        <v>-74.069999999999993</v>
      </c>
      <c r="F234" s="15">
        <f t="shared" si="61"/>
        <v>0</v>
      </c>
      <c r="G234" s="15">
        <f t="shared" si="61"/>
        <v>0</v>
      </c>
      <c r="H234" s="15">
        <f t="shared" si="61"/>
        <v>0</v>
      </c>
    </row>
    <row r="235" spans="2:8" x14ac:dyDescent="0.2">
      <c r="B235" s="42" t="s">
        <v>230</v>
      </c>
      <c r="D235" s="15">
        <f>SUM(D233:D234)</f>
        <v>0</v>
      </c>
      <c r="E235" s="15">
        <f>SUM(E233:E234)</f>
        <v>16.748530000000002</v>
      </c>
      <c r="F235" s="15">
        <f>SUM(F233:F234)</f>
        <v>109.69493826000001</v>
      </c>
      <c r="G235" s="15">
        <f>SUM(G233:G234)</f>
        <v>132.59870066692008</v>
      </c>
      <c r="H235" s="15">
        <f>SUM(H233:H234)</f>
        <v>158.31478984493069</v>
      </c>
    </row>
    <row r="237" spans="2:8" x14ac:dyDescent="0.2">
      <c r="B237" s="35" t="s">
        <v>217</v>
      </c>
      <c r="D237" s="15">
        <f>C77</f>
        <v>1200</v>
      </c>
      <c r="E237" s="15">
        <f>D241</f>
        <v>1188</v>
      </c>
      <c r="F237" s="15">
        <f t="shared" ref="F237:H237" si="62">E241</f>
        <v>1159.2514699999999</v>
      </c>
      <c r="G237" s="15">
        <f t="shared" si="62"/>
        <v>1037.5565317399999</v>
      </c>
      <c r="H237" s="15">
        <f t="shared" si="62"/>
        <v>892.95783107307977</v>
      </c>
    </row>
    <row r="238" spans="2:8" x14ac:dyDescent="0.2">
      <c r="B238" s="35" t="s">
        <v>229</v>
      </c>
      <c r="D238" s="16" t="s">
        <v>0</v>
      </c>
      <c r="E238" s="16" t="str">
        <f>D238</f>
        <v>-</v>
      </c>
      <c r="F238" s="16" t="str">
        <f t="shared" ref="F238:H238" si="63">E238</f>
        <v>-</v>
      </c>
      <c r="G238" s="16" t="str">
        <f t="shared" si="63"/>
        <v>-</v>
      </c>
      <c r="H238" s="16" t="str">
        <f t="shared" si="63"/>
        <v>-</v>
      </c>
    </row>
    <row r="239" spans="2:8" x14ac:dyDescent="0.2">
      <c r="B239" s="35" t="s">
        <v>228</v>
      </c>
      <c r="D239" s="15">
        <f>-MAX(MIN(D237,D235),0)</f>
        <v>0</v>
      </c>
      <c r="E239" s="15">
        <f t="shared" ref="E239:H239" si="64">-MAX(MIN(E237,E235),0)</f>
        <v>-16.748530000000002</v>
      </c>
      <c r="F239" s="15">
        <f t="shared" si="64"/>
        <v>-109.69493826000001</v>
      </c>
      <c r="G239" s="15">
        <f t="shared" si="64"/>
        <v>-132.59870066692008</v>
      </c>
      <c r="H239" s="15">
        <f t="shared" si="64"/>
        <v>-158.31478984493069</v>
      </c>
    </row>
    <row r="240" spans="2:8" x14ac:dyDescent="0.2">
      <c r="B240" s="35" t="s">
        <v>232</v>
      </c>
      <c r="D240" s="15">
        <f>-$D$237*$C$41</f>
        <v>-12</v>
      </c>
      <c r="E240" s="15">
        <f>-$D$237*$C$41</f>
        <v>-12</v>
      </c>
      <c r="F240" s="15">
        <f>-$D$237*$C$41</f>
        <v>-12</v>
      </c>
      <c r="G240" s="15">
        <f>-$D$237*$C$41</f>
        <v>-12</v>
      </c>
      <c r="H240" s="15">
        <f>-$D$237*$C$41</f>
        <v>-12</v>
      </c>
    </row>
    <row r="241" spans="2:8" x14ac:dyDescent="0.2">
      <c r="B241" s="4" t="s">
        <v>221</v>
      </c>
      <c r="D241" s="15">
        <f>SUM(D237:D240)</f>
        <v>1188</v>
      </c>
      <c r="E241" s="15">
        <f t="shared" ref="E241:H241" si="65">SUM(E237:E240)</f>
        <v>1159.2514699999999</v>
      </c>
      <c r="F241" s="15">
        <f t="shared" si="65"/>
        <v>1037.5565317399999</v>
      </c>
      <c r="G241" s="15">
        <f t="shared" si="65"/>
        <v>892.95783107307977</v>
      </c>
      <c r="H241" s="15">
        <f t="shared" si="65"/>
        <v>722.64304122814906</v>
      </c>
    </row>
    <row r="243" spans="2:8" x14ac:dyDescent="0.2">
      <c r="B243" s="35" t="s">
        <v>237</v>
      </c>
      <c r="D243" s="39">
        <f>$C$40</f>
        <v>7.0000000000000007E-2</v>
      </c>
      <c r="E243" s="39">
        <f t="shared" ref="E243:H243" si="66">$C$40</f>
        <v>7.0000000000000007E-2</v>
      </c>
      <c r="F243" s="39">
        <f t="shared" si="66"/>
        <v>7.0000000000000007E-2</v>
      </c>
      <c r="G243" s="39">
        <f t="shared" si="66"/>
        <v>7.0000000000000007E-2</v>
      </c>
      <c r="H243" s="39">
        <f t="shared" si="66"/>
        <v>7.0000000000000007E-2</v>
      </c>
    </row>
    <row r="244" spans="2:8" x14ac:dyDescent="0.2">
      <c r="B244" s="35" t="s">
        <v>233</v>
      </c>
      <c r="D244" s="15">
        <f>IF($C$56="No",-D237*D243,-AVERAGE(D237,D241)*D243)</f>
        <v>-84.000000000000014</v>
      </c>
      <c r="E244" s="15">
        <f t="shared" ref="E244:H244" si="67">IF($C$56="No",-E237*E243,-AVERAGE(E237,E241)*E243)</f>
        <v>-83.160000000000011</v>
      </c>
      <c r="F244" s="15">
        <f t="shared" si="67"/>
        <v>-81.14760290000001</v>
      </c>
      <c r="G244" s="15">
        <f t="shared" si="67"/>
        <v>-72.628957221799993</v>
      </c>
      <c r="H244" s="15">
        <f t="shared" si="67"/>
        <v>-62.507048175115592</v>
      </c>
    </row>
    <row r="246" spans="2:8" x14ac:dyDescent="0.2">
      <c r="B246" s="45" t="s">
        <v>87</v>
      </c>
    </row>
    <row r="248" spans="2:8" x14ac:dyDescent="0.2">
      <c r="B248" s="35" t="s">
        <v>217</v>
      </c>
      <c r="D248" s="15">
        <f>C44</f>
        <v>600</v>
      </c>
      <c r="E248" s="15">
        <f>D252</f>
        <v>630</v>
      </c>
      <c r="F248" s="15">
        <f t="shared" ref="F248:I248" si="68">E252</f>
        <v>661.5</v>
      </c>
      <c r="G248" s="15">
        <f t="shared" si="68"/>
        <v>694.57500000000005</v>
      </c>
      <c r="H248" s="15">
        <f t="shared" si="68"/>
        <v>729.30375000000004</v>
      </c>
    </row>
    <row r="249" spans="2:8" x14ac:dyDescent="0.2">
      <c r="B249" s="35" t="s">
        <v>229</v>
      </c>
      <c r="D249" s="15">
        <v>0</v>
      </c>
      <c r="E249" s="15">
        <v>0</v>
      </c>
      <c r="F249" s="15">
        <v>0</v>
      </c>
      <c r="G249" s="15">
        <v>0</v>
      </c>
      <c r="H249" s="15">
        <v>0</v>
      </c>
    </row>
    <row r="250" spans="2:8" x14ac:dyDescent="0.2">
      <c r="B250" s="35" t="s">
        <v>228</v>
      </c>
      <c r="D250" s="16">
        <v>0</v>
      </c>
      <c r="E250" s="16">
        <v>0</v>
      </c>
      <c r="F250" s="16">
        <v>0</v>
      </c>
      <c r="G250" s="16">
        <v>0</v>
      </c>
      <c r="H250" s="16">
        <v>0</v>
      </c>
    </row>
    <row r="251" spans="2:8" x14ac:dyDescent="0.2">
      <c r="B251" s="35" t="s">
        <v>235</v>
      </c>
      <c r="D251" s="15">
        <f>-D256</f>
        <v>30</v>
      </c>
      <c r="E251" s="15">
        <f t="shared" ref="E251:H251" si="69">-E256</f>
        <v>31.5</v>
      </c>
      <c r="F251" s="15">
        <f t="shared" si="69"/>
        <v>33.075000000000003</v>
      </c>
      <c r="G251" s="15">
        <f t="shared" si="69"/>
        <v>34.728750000000005</v>
      </c>
      <c r="H251" s="15">
        <f t="shared" si="69"/>
        <v>36.465187500000006</v>
      </c>
    </row>
    <row r="252" spans="2:8" x14ac:dyDescent="0.2">
      <c r="B252" s="4" t="s">
        <v>221</v>
      </c>
      <c r="D252" s="15">
        <f>SUM(D248:D251)</f>
        <v>630</v>
      </c>
      <c r="E252" s="15">
        <f>SUM(E248:E251)</f>
        <v>661.5</v>
      </c>
      <c r="F252" s="15">
        <f>SUM(F248:F251)</f>
        <v>694.57500000000005</v>
      </c>
      <c r="G252" s="15">
        <f>SUM(G248:G251)</f>
        <v>729.30375000000004</v>
      </c>
      <c r="H252" s="15">
        <f>SUM(H248:H251)</f>
        <v>765.76893749999999</v>
      </c>
    </row>
    <row r="253" spans="2:8" x14ac:dyDescent="0.2">
      <c r="B253" s="35" t="s">
        <v>237</v>
      </c>
      <c r="D253" s="39">
        <f>C45</f>
        <v>0.1</v>
      </c>
      <c r="E253" s="39">
        <f>D253</f>
        <v>0.1</v>
      </c>
      <c r="F253" s="39">
        <f t="shared" ref="F253:H253" si="70">E253</f>
        <v>0.1</v>
      </c>
      <c r="G253" s="39">
        <f t="shared" si="70"/>
        <v>0.1</v>
      </c>
      <c r="H253" s="39">
        <f t="shared" si="70"/>
        <v>0.1</v>
      </c>
    </row>
    <row r="254" spans="2:8" x14ac:dyDescent="0.2">
      <c r="B254" s="35" t="s">
        <v>233</v>
      </c>
      <c r="D254" s="15">
        <f>IF($C$56="No",-D$248*D253,-AVERAGE(D$248,D$252)*D253)</f>
        <v>-60</v>
      </c>
      <c r="E254" s="15">
        <f>IF(D56="No",-K$244*E253,-AVERAGE(K$244,E$252)*E253)</f>
        <v>-66.150000000000006</v>
      </c>
      <c r="F254" s="15">
        <f>IF(E56="No",-L$244*F253,-AVERAGE(L$244,F$252)*F253)</f>
        <v>-69.45750000000001</v>
      </c>
      <c r="G254" s="15">
        <f>IF(F56="No",-M$244*G253,-AVERAGE(M$244,G$252)*G253)</f>
        <v>-72.930375000000012</v>
      </c>
      <c r="H254" s="15">
        <f>IF(G56="No",-N$244*H253,-AVERAGE(N$244,H$252)*H253)</f>
        <v>-76.576893749999996</v>
      </c>
    </row>
    <row r="255" spans="2:8" x14ac:dyDescent="0.2">
      <c r="B255" s="35" t="s">
        <v>234</v>
      </c>
      <c r="D255" s="39">
        <f>C46</f>
        <v>0.05</v>
      </c>
      <c r="E255" s="39">
        <f>D255</f>
        <v>0.05</v>
      </c>
      <c r="F255" s="39">
        <f t="shared" ref="F255:H255" si="71">E255</f>
        <v>0.05</v>
      </c>
      <c r="G255" s="39">
        <f t="shared" si="71"/>
        <v>0.05</v>
      </c>
      <c r="H255" s="39">
        <f t="shared" si="71"/>
        <v>0.05</v>
      </c>
    </row>
    <row r="256" spans="2:8" x14ac:dyDescent="0.2">
      <c r="B256" s="35" t="s">
        <v>236</v>
      </c>
      <c r="D256" s="15">
        <f>IF($C$56="No",-D$248*D255,-AVERAGE(D$248,D$252)*D255)</f>
        <v>-30</v>
      </c>
      <c r="E256" s="15">
        <f>IF($C$56="No",-E$248*E255,-AVERAGE(E$248,E$252)*E255)</f>
        <v>-31.5</v>
      </c>
      <c r="F256" s="15">
        <f>IF($C$56="No",-F$248*F255,-AVERAGE(F$248,F$252)*F255)</f>
        <v>-33.075000000000003</v>
      </c>
      <c r="G256" s="15">
        <f>IF($C$56="No",-G$248*G255,-AVERAGE(G$248,G$252)*G255)</f>
        <v>-34.728750000000005</v>
      </c>
      <c r="H256" s="15">
        <f>IF($C$56="No",-H$248*H255,-AVERAGE(H$248,H$252)*H255)</f>
        <v>-36.465187500000006</v>
      </c>
    </row>
    <row r="258" spans="1:8" x14ac:dyDescent="0.2">
      <c r="B258" s="45" t="s">
        <v>245</v>
      </c>
    </row>
    <row r="259" spans="1:8" x14ac:dyDescent="0.2">
      <c r="B259" s="42" t="s">
        <v>241</v>
      </c>
      <c r="D259" s="15">
        <f>SUM(D220,D241,D252)</f>
        <v>1892.07</v>
      </c>
      <c r="E259" s="15">
        <f t="shared" ref="E259:H259" si="72">SUM(E220,E241,E252)</f>
        <v>1820.7514699999999</v>
      </c>
      <c r="F259" s="15">
        <f t="shared" si="72"/>
        <v>1732.1315317399999</v>
      </c>
      <c r="G259" s="15">
        <f t="shared" si="72"/>
        <v>1622.2615810730799</v>
      </c>
      <c r="H259" s="15">
        <f t="shared" si="72"/>
        <v>1488.4119787281491</v>
      </c>
    </row>
    <row r="260" spans="1:8" x14ac:dyDescent="0.2">
      <c r="B260" s="11" t="s">
        <v>242</v>
      </c>
      <c r="D260" s="15">
        <f>D259/D106</f>
        <v>5.7335454545454541</v>
      </c>
      <c r="E260" s="15">
        <f>E259/E106</f>
        <v>5.0158442699724519</v>
      </c>
      <c r="F260" s="15">
        <f>F259/F106</f>
        <v>4.3379201896819435</v>
      </c>
      <c r="G260" s="15">
        <f>G259/G106</f>
        <v>3.6934216266490898</v>
      </c>
      <c r="H260" s="15">
        <f>H259/H106</f>
        <v>3.0806224502965907</v>
      </c>
    </row>
    <row r="261" spans="1:8" x14ac:dyDescent="0.2">
      <c r="B261" s="35" t="s">
        <v>243</v>
      </c>
      <c r="D261" s="15">
        <f>SUM(D222,D227,D244,D254)</f>
        <v>-150.75</v>
      </c>
      <c r="E261" s="15">
        <f>SUM(E222,E227,E244,E254)</f>
        <v>-153.40245000000002</v>
      </c>
      <c r="F261" s="15">
        <f>SUM(F222,F227,F244,F254)</f>
        <v>-152.10510290000002</v>
      </c>
      <c r="G261" s="15">
        <f>SUM(G222,G227,G244,G254)</f>
        <v>-147.05933222179999</v>
      </c>
      <c r="H261" s="15">
        <f>SUM(H222,H227,H244,H254)</f>
        <v>-140.5839419251156</v>
      </c>
    </row>
    <row r="262" spans="1:8" x14ac:dyDescent="0.2">
      <c r="B262" s="35" t="s">
        <v>244</v>
      </c>
      <c r="D262" s="15">
        <f>D256</f>
        <v>-30</v>
      </c>
      <c r="E262" s="15">
        <f t="shared" ref="E262:H262" si="73">E256</f>
        <v>-31.5</v>
      </c>
      <c r="F262" s="15">
        <f t="shared" si="73"/>
        <v>-33.075000000000003</v>
      </c>
      <c r="G262" s="15">
        <f t="shared" si="73"/>
        <v>-34.728750000000005</v>
      </c>
      <c r="H262" s="15">
        <f t="shared" si="73"/>
        <v>-36.465187500000006</v>
      </c>
    </row>
    <row r="263" spans="1:8" x14ac:dyDescent="0.2">
      <c r="B263" s="43" t="s">
        <v>246</v>
      </c>
      <c r="D263" s="15">
        <f>SUM(D261:D262)</f>
        <v>-180.75</v>
      </c>
      <c r="E263" s="15">
        <f t="shared" ref="E263:H263" si="74">SUM(E261:E262)</f>
        <v>-184.90245000000002</v>
      </c>
      <c r="F263" s="15">
        <f t="shared" si="74"/>
        <v>-185.18010290000001</v>
      </c>
      <c r="G263" s="15">
        <f t="shared" si="74"/>
        <v>-181.78808222179998</v>
      </c>
      <c r="H263" s="15">
        <f t="shared" si="74"/>
        <v>-177.04912942511561</v>
      </c>
    </row>
    <row r="266" spans="1:8" s="28" customFormat="1" x14ac:dyDescent="0.2">
      <c r="A266" s="63" t="s">
        <v>266</v>
      </c>
      <c r="B266" s="33" t="s">
        <v>251</v>
      </c>
    </row>
    <row r="267" spans="1:8" x14ac:dyDescent="0.2">
      <c r="H267" s="15" t="s">
        <v>222</v>
      </c>
    </row>
    <row r="268" spans="1:8" x14ac:dyDescent="0.2">
      <c r="B268" s="11" t="s">
        <v>250</v>
      </c>
      <c r="C268" s="15">
        <f>H106</f>
        <v>483.15300000000013</v>
      </c>
    </row>
    <row r="269" spans="1:8" x14ac:dyDescent="0.2">
      <c r="B269" s="11" t="s">
        <v>65</v>
      </c>
      <c r="C269" s="17">
        <f>C14</f>
        <v>9</v>
      </c>
    </row>
    <row r="270" spans="1:8" x14ac:dyDescent="0.2">
      <c r="B270" s="35" t="s">
        <v>74</v>
      </c>
      <c r="C270" s="15">
        <f>C268*C269</f>
        <v>4348.3770000000013</v>
      </c>
    </row>
    <row r="271" spans="1:8" x14ac:dyDescent="0.2">
      <c r="B271" s="35" t="s">
        <v>254</v>
      </c>
      <c r="C271" s="15">
        <f>-H259</f>
        <v>-1488.4119787281491</v>
      </c>
    </row>
    <row r="272" spans="1:8" x14ac:dyDescent="0.2">
      <c r="B272" s="35" t="s">
        <v>255</v>
      </c>
      <c r="C272" s="15">
        <f>H161</f>
        <v>25</v>
      </c>
    </row>
    <row r="273" spans="2:3" x14ac:dyDescent="0.2">
      <c r="B273" s="35" t="s">
        <v>253</v>
      </c>
    </row>
    <row r="274" spans="2:3" x14ac:dyDescent="0.2">
      <c r="B274" s="41" t="s">
        <v>252</v>
      </c>
      <c r="C274" s="13">
        <f>SUM(C270:C273)</f>
        <v>2884.9650212718525</v>
      </c>
    </row>
    <row r="276" spans="2:3" x14ac:dyDescent="0.2">
      <c r="B276" s="42" t="s">
        <v>256</v>
      </c>
    </row>
    <row r="277" spans="2:3" x14ac:dyDescent="0.2">
      <c r="B277" s="42"/>
    </row>
    <row r="278" spans="2:3" x14ac:dyDescent="0.2">
      <c r="B278" s="35" t="s">
        <v>113</v>
      </c>
      <c r="C278" s="20">
        <f>C79</f>
        <v>733.5</v>
      </c>
    </row>
    <row r="279" spans="2:3" x14ac:dyDescent="0.2">
      <c r="B279" s="35" t="s">
        <v>68</v>
      </c>
      <c r="C279" s="20">
        <f>C80</f>
        <v>81.5</v>
      </c>
    </row>
    <row r="280" spans="2:3" x14ac:dyDescent="0.2">
      <c r="B280" s="35" t="s">
        <v>69</v>
      </c>
      <c r="C280" s="20">
        <f>SUM(C278:C279)*C26</f>
        <v>40.75</v>
      </c>
    </row>
    <row r="281" spans="2:3" x14ac:dyDescent="0.2">
      <c r="B281" s="35"/>
      <c r="C281" s="20"/>
    </row>
    <row r="282" spans="2:3" x14ac:dyDescent="0.2">
      <c r="B282" s="36" t="s">
        <v>257</v>
      </c>
      <c r="C282" s="13">
        <f>SUM(C278:C280)</f>
        <v>855.75</v>
      </c>
    </row>
    <row r="284" spans="2:3" x14ac:dyDescent="0.2">
      <c r="B284" s="42" t="s">
        <v>258</v>
      </c>
    </row>
    <row r="285" spans="2:3" x14ac:dyDescent="0.2">
      <c r="B285" s="35"/>
    </row>
    <row r="286" spans="2:3" x14ac:dyDescent="0.2">
      <c r="B286" s="35" t="s">
        <v>113</v>
      </c>
      <c r="C286" s="39">
        <f>C278/C282</f>
        <v>0.8571428571428571</v>
      </c>
    </row>
    <row r="287" spans="2:3" x14ac:dyDescent="0.2">
      <c r="B287" s="35" t="s">
        <v>68</v>
      </c>
      <c r="C287" s="39">
        <f>C279/C282</f>
        <v>9.5238095238095233E-2</v>
      </c>
    </row>
    <row r="288" spans="2:3" x14ac:dyDescent="0.2">
      <c r="B288" s="35" t="s">
        <v>69</v>
      </c>
      <c r="C288" s="39">
        <f>C280/C282</f>
        <v>4.7619047619047616E-2</v>
      </c>
    </row>
    <row r="289" spans="1:10" x14ac:dyDescent="0.2">
      <c r="B289" s="35"/>
      <c r="C289" s="39"/>
    </row>
    <row r="290" spans="1:10" x14ac:dyDescent="0.2">
      <c r="B290" s="36" t="s">
        <v>257</v>
      </c>
      <c r="C290" s="54">
        <f>SUM(C286:C288)</f>
        <v>1</v>
      </c>
    </row>
    <row r="292" spans="1:10" x14ac:dyDescent="0.2">
      <c r="B292" s="42" t="s">
        <v>259</v>
      </c>
    </row>
    <row r="293" spans="1:10" x14ac:dyDescent="0.2">
      <c r="B293" s="35" t="s">
        <v>113</v>
      </c>
      <c r="C293" s="15">
        <f>C286*$C$274</f>
        <v>2472.8271610901593</v>
      </c>
    </row>
    <row r="294" spans="1:10" x14ac:dyDescent="0.2">
      <c r="B294" s="35" t="s">
        <v>68</v>
      </c>
      <c r="C294" s="15">
        <f>C287*$C$274</f>
        <v>274.75857345446212</v>
      </c>
    </row>
    <row r="295" spans="1:10" x14ac:dyDescent="0.2">
      <c r="B295" s="35" t="s">
        <v>69</v>
      </c>
      <c r="C295" s="15">
        <f>C288*$C$274</f>
        <v>137.37928672723106</v>
      </c>
    </row>
    <row r="296" spans="1:10" x14ac:dyDescent="0.2">
      <c r="B296" s="36" t="s">
        <v>257</v>
      </c>
      <c r="C296" s="44">
        <f>SUM(C293:C295)</f>
        <v>2884.9650212718525</v>
      </c>
    </row>
    <row r="298" spans="1:10" x14ac:dyDescent="0.2">
      <c r="B298" s="35"/>
    </row>
    <row r="299" spans="1:10" s="21" customFormat="1" x14ac:dyDescent="0.2">
      <c r="A299" s="60"/>
      <c r="B299" s="55" t="s">
        <v>261</v>
      </c>
    </row>
    <row r="301" spans="1:10" x14ac:dyDescent="0.2">
      <c r="B301" s="11" t="s">
        <v>262</v>
      </c>
      <c r="C301" s="15">
        <v>0</v>
      </c>
      <c r="D301" s="15">
        <f>C301+1</f>
        <v>1</v>
      </c>
      <c r="E301" s="15">
        <f t="shared" ref="E301:H301" si="75">D301+1</f>
        <v>2</v>
      </c>
      <c r="F301" s="15">
        <f t="shared" si="75"/>
        <v>3</v>
      </c>
      <c r="G301" s="15">
        <f t="shared" si="75"/>
        <v>4</v>
      </c>
      <c r="H301" s="15">
        <f t="shared" si="75"/>
        <v>5</v>
      </c>
      <c r="I301" s="53" t="s">
        <v>261</v>
      </c>
      <c r="J301" s="53" t="s">
        <v>263</v>
      </c>
    </row>
    <row r="302" spans="1:10" x14ac:dyDescent="0.2">
      <c r="B302" s="11" t="s">
        <v>260</v>
      </c>
      <c r="C302" s="15">
        <f>-C79</f>
        <v>-733.5</v>
      </c>
      <c r="D302" s="15">
        <v>0</v>
      </c>
      <c r="E302" s="15">
        <v>0</v>
      </c>
      <c r="F302" s="15">
        <v>0</v>
      </c>
      <c r="G302" s="15">
        <v>0</v>
      </c>
      <c r="H302" s="15">
        <f>C293</f>
        <v>2472.8271610901593</v>
      </c>
      <c r="I302" s="39">
        <f>IRR(C302:H302)</f>
        <v>0.27514252340070167</v>
      </c>
      <c r="J302" s="56">
        <f>-H302/C302</f>
        <v>3.371270839932051</v>
      </c>
    </row>
    <row r="303" spans="1:10" x14ac:dyDescent="0.2">
      <c r="I303" s="39"/>
      <c r="J303" s="56"/>
    </row>
    <row r="304" spans="1:10" x14ac:dyDescent="0.2">
      <c r="D304" s="15" t="s">
        <v>65</v>
      </c>
      <c r="I304" s="39"/>
      <c r="J304" s="56"/>
    </row>
    <row r="305" spans="1:10" x14ac:dyDescent="0.2">
      <c r="B305" s="15"/>
      <c r="I305" s="39"/>
      <c r="J305" s="56"/>
    </row>
    <row r="306" spans="1:10" x14ac:dyDescent="0.2">
      <c r="C306" s="65">
        <f>I302</f>
        <v>0.27514252340070167</v>
      </c>
      <c r="D306" s="56">
        <v>7</v>
      </c>
      <c r="E306" s="56">
        <v>8</v>
      </c>
      <c r="F306" s="56">
        <v>9</v>
      </c>
      <c r="G306" s="56">
        <v>10</v>
      </c>
      <c r="H306" s="56">
        <v>11</v>
      </c>
      <c r="I306" s="39"/>
      <c r="J306" s="56"/>
    </row>
    <row r="307" spans="1:10" x14ac:dyDescent="0.2">
      <c r="B307" s="11" t="s">
        <v>64</v>
      </c>
      <c r="C307" s="17">
        <v>7</v>
      </c>
      <c r="D307" s="68">
        <f t="dataTable" ref="D307:H311" dt2D="1" dtr="1" r1="C14" r2="C13"/>
        <v>0.5320881413169114</v>
      </c>
      <c r="E307" s="69">
        <v>0.6029170699081754</v>
      </c>
      <c r="F307" s="69">
        <v>0.66306970542900889</v>
      </c>
      <c r="G307" s="69">
        <v>0.71560047732626164</v>
      </c>
      <c r="H307" s="69">
        <v>0.76238872861989981</v>
      </c>
      <c r="I307" s="39"/>
      <c r="J307" s="56"/>
    </row>
    <row r="308" spans="1:10" x14ac:dyDescent="0.2">
      <c r="C308" s="17">
        <v>8</v>
      </c>
      <c r="D308" s="66">
        <v>0.28737664827043297</v>
      </c>
      <c r="E308" s="67">
        <v>0.34670731198086746</v>
      </c>
      <c r="F308" s="67">
        <v>0.39711762999587696</v>
      </c>
      <c r="G308" s="67">
        <v>0.4411541670068182</v>
      </c>
      <c r="H308" s="67">
        <v>0.48038561298067983</v>
      </c>
      <c r="I308" s="39"/>
      <c r="J308" s="56"/>
    </row>
    <row r="309" spans="1:10" x14ac:dyDescent="0.2">
      <c r="C309" s="17">
        <v>9</v>
      </c>
      <c r="D309" s="66">
        <v>0.1752497796547352</v>
      </c>
      <c r="E309" s="67">
        <v>0.22924491739700614</v>
      </c>
      <c r="F309" s="67">
        <v>0.27514252340070167</v>
      </c>
      <c r="G309" s="67">
        <v>0.31524929795640522</v>
      </c>
      <c r="H309" s="67">
        <v>0.35098782373337922</v>
      </c>
      <c r="I309" s="39"/>
      <c r="J309" s="56"/>
    </row>
    <row r="310" spans="1:10" x14ac:dyDescent="0.2">
      <c r="C310" s="17">
        <v>10</v>
      </c>
      <c r="D310" s="66">
        <v>0.10458809422939797</v>
      </c>
      <c r="E310" s="67">
        <v>0.15517987182926607</v>
      </c>
      <c r="F310" s="67">
        <v>0.19820373314215978</v>
      </c>
      <c r="G310" s="67">
        <v>0.23581088598876043</v>
      </c>
      <c r="H310" s="67">
        <v>0.26932955084007526</v>
      </c>
      <c r="I310" s="39"/>
      <c r="J310" s="56"/>
    </row>
    <row r="311" spans="1:10" x14ac:dyDescent="0.2">
      <c r="C311" s="17">
        <v>11</v>
      </c>
      <c r="D311" s="66">
        <v>5.3893401252219864E-2</v>
      </c>
      <c r="E311" s="67">
        <v>0.10201450244964749</v>
      </c>
      <c r="F311" s="67">
        <v>0.14295545979571367</v>
      </c>
      <c r="G311" s="67">
        <v>0.17875288753155449</v>
      </c>
      <c r="H311" s="67">
        <v>0.2106656982406776</v>
      </c>
      <c r="I311" s="39"/>
      <c r="J311" s="56"/>
    </row>
    <row r="312" spans="1:10" x14ac:dyDescent="0.2">
      <c r="I312" s="39"/>
      <c r="J312" s="56"/>
    </row>
    <row r="313" spans="1:10" x14ac:dyDescent="0.2">
      <c r="B313" s="67"/>
      <c r="I313" s="39"/>
      <c r="J313" s="56"/>
    </row>
    <row r="314" spans="1:10" x14ac:dyDescent="0.2">
      <c r="D314" s="15" t="s">
        <v>267</v>
      </c>
      <c r="I314" s="39"/>
      <c r="J314" s="56"/>
    </row>
    <row r="315" spans="1:10" x14ac:dyDescent="0.2">
      <c r="D315" s="64">
        <v>0</v>
      </c>
      <c r="E315" s="64">
        <v>1</v>
      </c>
      <c r="F315" s="64">
        <v>2</v>
      </c>
      <c r="I315" s="39"/>
      <c r="J315" s="56"/>
    </row>
    <row r="316" spans="1:10" x14ac:dyDescent="0.2">
      <c r="C316" s="70">
        <f>I302</f>
        <v>0.27514252340070167</v>
      </c>
      <c r="D316" s="66">
        <f t="dataTable" ref="D316:F316" dt2D="0" dtr="1" r1="C43" ca="1"/>
        <v>0.20913689840177696</v>
      </c>
      <c r="E316" s="66">
        <v>0.23508576611645648</v>
      </c>
      <c r="F316" s="66">
        <v>0.27514252340070167</v>
      </c>
      <c r="G316" s="20"/>
      <c r="H316" s="20"/>
      <c r="I316" s="67"/>
      <c r="J316" s="56"/>
    </row>
    <row r="317" spans="1:10" x14ac:dyDescent="0.2">
      <c r="I317" s="39"/>
      <c r="J317" s="67"/>
    </row>
    <row r="318" spans="1:10" x14ac:dyDescent="0.2">
      <c r="C318" s="71">
        <f>I302</f>
        <v>0.27514252340070167</v>
      </c>
      <c r="D318" s="67"/>
      <c r="E318" s="67"/>
      <c r="F318" s="67"/>
      <c r="G318" s="67"/>
      <c r="H318" s="67"/>
      <c r="I318" s="39"/>
      <c r="J318" s="56"/>
    </row>
    <row r="319" spans="1:10" s="28" customFormat="1" x14ac:dyDescent="0.2">
      <c r="A319" s="63" t="s">
        <v>266</v>
      </c>
      <c r="B319" s="33" t="s">
        <v>147</v>
      </c>
    </row>
    <row r="320" spans="1:10" x14ac:dyDescent="0.2">
      <c r="B320" s="11" t="s">
        <v>116</v>
      </c>
      <c r="C320" s="15">
        <f>C94</f>
        <v>1000</v>
      </c>
      <c r="D320" s="15">
        <f>D94</f>
        <v>1100</v>
      </c>
      <c r="E320" s="15">
        <f>E94</f>
        <v>1210</v>
      </c>
      <c r="F320" s="15">
        <f>F94</f>
        <v>1331</v>
      </c>
      <c r="G320" s="15">
        <f>G94</f>
        <v>1464.1000000000001</v>
      </c>
      <c r="H320" s="15">
        <f>H94</f>
        <v>1610.5100000000002</v>
      </c>
    </row>
    <row r="321" spans="1:8" x14ac:dyDescent="0.2">
      <c r="B321" s="11" t="s">
        <v>148</v>
      </c>
      <c r="C321" s="39">
        <f>$C$67</f>
        <v>0.03</v>
      </c>
      <c r="D321" s="39">
        <f t="shared" ref="D321:H321" si="76">$C$67</f>
        <v>0.03</v>
      </c>
      <c r="E321" s="39">
        <f t="shared" si="76"/>
        <v>0.03</v>
      </c>
      <c r="F321" s="39">
        <f t="shared" si="76"/>
        <v>0.03</v>
      </c>
      <c r="G321" s="39">
        <f t="shared" si="76"/>
        <v>0.03</v>
      </c>
      <c r="H321" s="39">
        <f t="shared" si="76"/>
        <v>0.03</v>
      </c>
    </row>
    <row r="322" spans="1:8" x14ac:dyDescent="0.2">
      <c r="B322" s="35" t="s">
        <v>102</v>
      </c>
      <c r="C322" s="15">
        <f>C320*C321</f>
        <v>30</v>
      </c>
      <c r="D322" s="15">
        <f t="shared" ref="D322:H322" si="77">D320*D321</f>
        <v>33</v>
      </c>
      <c r="E322" s="15">
        <f t="shared" si="77"/>
        <v>36.299999999999997</v>
      </c>
      <c r="F322" s="15">
        <f t="shared" si="77"/>
        <v>39.93</v>
      </c>
      <c r="G322" s="15">
        <f t="shared" si="77"/>
        <v>43.923000000000002</v>
      </c>
      <c r="H322" s="15">
        <f t="shared" si="77"/>
        <v>48.315300000000008</v>
      </c>
    </row>
    <row r="325" spans="1:8" s="28" customFormat="1" x14ac:dyDescent="0.2">
      <c r="A325" s="63" t="s">
        <v>266</v>
      </c>
      <c r="B325" s="33" t="s">
        <v>194</v>
      </c>
    </row>
    <row r="327" spans="1:8" x14ac:dyDescent="0.2">
      <c r="B327" s="29" t="s">
        <v>195</v>
      </c>
    </row>
    <row r="328" spans="1:8" x14ac:dyDescent="0.2">
      <c r="B328" s="11" t="s">
        <v>196</v>
      </c>
      <c r="C328" s="15">
        <f>C162</f>
        <v>200</v>
      </c>
      <c r="D328" s="15">
        <f>D341*D347/D344</f>
        <v>220</v>
      </c>
      <c r="E328" s="15">
        <f t="shared" ref="E328:H328" si="78">E341*E347/E344</f>
        <v>242</v>
      </c>
      <c r="F328" s="15">
        <f t="shared" si="78"/>
        <v>266.2</v>
      </c>
      <c r="G328" s="15">
        <f t="shared" si="78"/>
        <v>292.82</v>
      </c>
      <c r="H328" s="15">
        <f t="shared" si="78"/>
        <v>322.10200000000003</v>
      </c>
    </row>
    <row r="329" spans="1:8" x14ac:dyDescent="0.2">
      <c r="B329" s="35" t="s">
        <v>159</v>
      </c>
      <c r="C329" s="15">
        <f>C163</f>
        <v>100</v>
      </c>
      <c r="D329" s="15">
        <f>D348*D342/D344</f>
        <v>110</v>
      </c>
      <c r="E329" s="15">
        <f t="shared" ref="E329:H329" si="79">E348*E342/E344</f>
        <v>121</v>
      </c>
      <c r="F329" s="15">
        <f t="shared" si="79"/>
        <v>133.1</v>
      </c>
      <c r="G329" s="15">
        <f t="shared" si="79"/>
        <v>146.41</v>
      </c>
      <c r="H329" s="15">
        <f t="shared" si="79"/>
        <v>161.05099999999999</v>
      </c>
    </row>
    <row r="330" spans="1:8" x14ac:dyDescent="0.2">
      <c r="B330" s="43" t="s">
        <v>197</v>
      </c>
      <c r="C330" s="37">
        <f>SUM(C328:C329)</f>
        <v>300</v>
      </c>
      <c r="D330" s="44">
        <f t="shared" ref="D330:H330" si="80">SUM(D328:D329)</f>
        <v>330</v>
      </c>
      <c r="E330" s="44">
        <f t="shared" si="80"/>
        <v>363</v>
      </c>
      <c r="F330" s="44">
        <f t="shared" si="80"/>
        <v>399.29999999999995</v>
      </c>
      <c r="G330" s="44">
        <f t="shared" si="80"/>
        <v>439.23</v>
      </c>
      <c r="H330" s="44">
        <f t="shared" si="80"/>
        <v>483.15300000000002</v>
      </c>
    </row>
    <row r="333" spans="1:8" x14ac:dyDescent="0.2">
      <c r="B333" s="42" t="s">
        <v>198</v>
      </c>
    </row>
    <row r="334" spans="1:8" x14ac:dyDescent="0.2">
      <c r="B334" s="35" t="s">
        <v>144</v>
      </c>
      <c r="C334" s="15">
        <f>C180</f>
        <v>100</v>
      </c>
      <c r="D334" s="15">
        <f>D349*D342/D344</f>
        <v>110</v>
      </c>
      <c r="E334" s="15">
        <f>E349*E342/E344</f>
        <v>121</v>
      </c>
      <c r="F334" s="15">
        <f t="shared" ref="F334:H334" si="81">F349*F342/F344</f>
        <v>133.1</v>
      </c>
      <c r="G334" s="15">
        <f t="shared" si="81"/>
        <v>146.41</v>
      </c>
      <c r="H334" s="15">
        <f t="shared" si="81"/>
        <v>161.05099999999999</v>
      </c>
    </row>
    <row r="335" spans="1:8" x14ac:dyDescent="0.2">
      <c r="B335" s="35" t="s">
        <v>169</v>
      </c>
      <c r="C335" s="15">
        <f>C181</f>
        <v>50</v>
      </c>
      <c r="D335" s="15">
        <f>D350*D341</f>
        <v>55</v>
      </c>
      <c r="E335" s="15">
        <f>E350*E341</f>
        <v>60.5</v>
      </c>
      <c r="F335" s="15">
        <f t="shared" ref="F335:H335" si="82">F350*F341</f>
        <v>66.55</v>
      </c>
      <c r="G335" s="15">
        <f t="shared" si="82"/>
        <v>73.205000000000013</v>
      </c>
      <c r="H335" s="15">
        <f t="shared" si="82"/>
        <v>80.525500000000022</v>
      </c>
    </row>
    <row r="336" spans="1:8" x14ac:dyDescent="0.2">
      <c r="B336" s="43" t="s">
        <v>199</v>
      </c>
      <c r="C336" s="37">
        <f>SUM(C334:C335)</f>
        <v>150</v>
      </c>
      <c r="D336" s="37">
        <f t="shared" ref="D336:H336" si="83">SUM(D334:D335)</f>
        <v>165</v>
      </c>
      <c r="E336" s="37">
        <f t="shared" si="83"/>
        <v>181.5</v>
      </c>
      <c r="F336" s="37">
        <f t="shared" si="83"/>
        <v>199.64999999999998</v>
      </c>
      <c r="G336" s="37">
        <f t="shared" si="83"/>
        <v>219.61500000000001</v>
      </c>
      <c r="H336" s="37">
        <f t="shared" si="83"/>
        <v>241.57650000000001</v>
      </c>
    </row>
    <row r="338" spans="2:8" x14ac:dyDescent="0.2">
      <c r="B338" s="42" t="s">
        <v>194</v>
      </c>
      <c r="C338" s="44">
        <f>C330-C336</f>
        <v>150</v>
      </c>
      <c r="D338" s="44">
        <f>D330-D336</f>
        <v>165</v>
      </c>
      <c r="E338" s="44">
        <f t="shared" ref="E338:H338" si="84">E330-E336</f>
        <v>181.5</v>
      </c>
      <c r="F338" s="44">
        <f t="shared" si="84"/>
        <v>199.64999999999998</v>
      </c>
      <c r="G338" s="44">
        <f t="shared" si="84"/>
        <v>219.61500000000001</v>
      </c>
      <c r="H338" s="44">
        <f t="shared" si="84"/>
        <v>241.57650000000001</v>
      </c>
    </row>
    <row r="339" spans="2:8" x14ac:dyDescent="0.2">
      <c r="B339" s="35" t="s">
        <v>200</v>
      </c>
      <c r="D339" s="15">
        <f>C338-D338</f>
        <v>-15</v>
      </c>
      <c r="E339" s="15">
        <f t="shared" ref="E339:H339" si="85">D338-E338</f>
        <v>-16.5</v>
      </c>
      <c r="F339" s="15">
        <f t="shared" si="85"/>
        <v>-18.149999999999977</v>
      </c>
      <c r="G339" s="15">
        <f t="shared" si="85"/>
        <v>-19.965000000000032</v>
      </c>
      <c r="H339" s="15">
        <f t="shared" si="85"/>
        <v>-21.961500000000001</v>
      </c>
    </row>
    <row r="341" spans="2:8" x14ac:dyDescent="0.2">
      <c r="B341" s="35" t="s">
        <v>116</v>
      </c>
      <c r="C341" s="15">
        <f>C94</f>
        <v>1000</v>
      </c>
      <c r="D341" s="15">
        <f>D94</f>
        <v>1100</v>
      </c>
      <c r="E341" s="15">
        <f>E94</f>
        <v>1210</v>
      </c>
      <c r="F341" s="15">
        <f>F94</f>
        <v>1331</v>
      </c>
      <c r="G341" s="15">
        <f>G94</f>
        <v>1464.1000000000001</v>
      </c>
      <c r="H341" s="15">
        <f>H94</f>
        <v>1610.5100000000002</v>
      </c>
    </row>
    <row r="342" spans="2:8" x14ac:dyDescent="0.2">
      <c r="B342" s="35" t="s">
        <v>118</v>
      </c>
      <c r="C342" s="15">
        <f>-C97</f>
        <v>600</v>
      </c>
      <c r="D342" s="15">
        <f>-D97</f>
        <v>660</v>
      </c>
      <c r="E342" s="15">
        <f>-E97</f>
        <v>726</v>
      </c>
      <c r="F342" s="15">
        <f>-F97</f>
        <v>798.6</v>
      </c>
      <c r="G342" s="15">
        <f>-G97</f>
        <v>878.46</v>
      </c>
      <c r="H342" s="15">
        <f>-H97</f>
        <v>966.30600000000004</v>
      </c>
    </row>
    <row r="344" spans="2:8" x14ac:dyDescent="0.2">
      <c r="B344" s="11" t="s">
        <v>201</v>
      </c>
      <c r="C344" s="15">
        <f>365</f>
        <v>365</v>
      </c>
      <c r="D344" s="15">
        <f>C344</f>
        <v>365</v>
      </c>
      <c r="E344" s="15">
        <f t="shared" ref="E344:H344" si="86">D344</f>
        <v>365</v>
      </c>
      <c r="F344" s="15">
        <f t="shared" si="86"/>
        <v>365</v>
      </c>
      <c r="G344" s="15">
        <f t="shared" si="86"/>
        <v>365</v>
      </c>
      <c r="H344" s="15">
        <f t="shared" si="86"/>
        <v>365</v>
      </c>
    </row>
    <row r="347" spans="2:8" x14ac:dyDescent="0.2">
      <c r="B347" s="35" t="s">
        <v>202</v>
      </c>
      <c r="C347" s="15">
        <f>C328/C341*C344</f>
        <v>73</v>
      </c>
      <c r="D347" s="15">
        <f>C347</f>
        <v>73</v>
      </c>
      <c r="E347" s="15">
        <f t="shared" ref="E347:H347" si="87">D347</f>
        <v>73</v>
      </c>
      <c r="F347" s="15">
        <f t="shared" si="87"/>
        <v>73</v>
      </c>
      <c r="G347" s="15">
        <f t="shared" si="87"/>
        <v>73</v>
      </c>
      <c r="H347" s="15">
        <f t="shared" si="87"/>
        <v>73</v>
      </c>
    </row>
    <row r="348" spans="2:8" x14ac:dyDescent="0.2">
      <c r="B348" s="35" t="s">
        <v>203</v>
      </c>
      <c r="C348" s="15">
        <f>C329/C342*C344</f>
        <v>60.833333333333329</v>
      </c>
      <c r="D348" s="15">
        <f>C348</f>
        <v>60.833333333333329</v>
      </c>
      <c r="E348" s="15">
        <f t="shared" ref="E348:H348" si="88">D348</f>
        <v>60.833333333333329</v>
      </c>
      <c r="F348" s="15">
        <f t="shared" si="88"/>
        <v>60.833333333333329</v>
      </c>
      <c r="G348" s="15">
        <f t="shared" si="88"/>
        <v>60.833333333333329</v>
      </c>
      <c r="H348" s="15">
        <f t="shared" si="88"/>
        <v>60.833333333333329</v>
      </c>
    </row>
    <row r="349" spans="2:8" x14ac:dyDescent="0.2">
      <c r="B349" s="15" t="s">
        <v>204</v>
      </c>
      <c r="C349" s="15">
        <f>C334/C342*C344</f>
        <v>60.833333333333329</v>
      </c>
      <c r="D349" s="15">
        <f>C349</f>
        <v>60.833333333333329</v>
      </c>
      <c r="E349" s="15">
        <f t="shared" ref="E349:H349" si="89">D349</f>
        <v>60.833333333333329</v>
      </c>
      <c r="F349" s="15">
        <f t="shared" si="89"/>
        <v>60.833333333333329</v>
      </c>
      <c r="G349" s="15">
        <f t="shared" si="89"/>
        <v>60.833333333333329</v>
      </c>
      <c r="H349" s="15">
        <f t="shared" si="89"/>
        <v>60.833333333333329</v>
      </c>
    </row>
    <row r="350" spans="2:8" x14ac:dyDescent="0.2">
      <c r="B350" s="38" t="s">
        <v>205</v>
      </c>
      <c r="C350" s="39">
        <f>C335/C341</f>
        <v>0.05</v>
      </c>
      <c r="D350" s="39">
        <f>C350</f>
        <v>0.05</v>
      </c>
      <c r="E350" s="39">
        <f t="shared" ref="E350:H350" si="90">D350</f>
        <v>0.05</v>
      </c>
      <c r="F350" s="39">
        <f t="shared" si="90"/>
        <v>0.05</v>
      </c>
      <c r="G350" s="39">
        <f t="shared" si="90"/>
        <v>0.05</v>
      </c>
      <c r="H350" s="39">
        <f t="shared" si="90"/>
        <v>0.05</v>
      </c>
    </row>
    <row r="353" spans="1:8" s="28" customFormat="1" x14ac:dyDescent="0.2">
      <c r="A353" s="63" t="s">
        <v>266</v>
      </c>
      <c r="B353" s="33" t="s">
        <v>206</v>
      </c>
    </row>
    <row r="355" spans="1:8" x14ac:dyDescent="0.2">
      <c r="B355" s="11" t="s">
        <v>207</v>
      </c>
      <c r="C355" s="15">
        <f>C109</f>
        <v>-20</v>
      </c>
      <c r="D355" s="15">
        <f>D360*D361</f>
        <v>-22</v>
      </c>
      <c r="E355" s="15">
        <f t="shared" ref="E355:H355" si="91">E360*E361</f>
        <v>-24.2</v>
      </c>
      <c r="F355" s="15">
        <f t="shared" si="91"/>
        <v>-26.62</v>
      </c>
      <c r="G355" s="15">
        <f t="shared" si="91"/>
        <v>-29.282000000000004</v>
      </c>
      <c r="H355" s="15">
        <f t="shared" si="91"/>
        <v>-32.210200000000007</v>
      </c>
    </row>
    <row r="356" spans="1:8" x14ac:dyDescent="0.2">
      <c r="B356" s="11" t="s">
        <v>208</v>
      </c>
      <c r="D356" s="15">
        <f t="shared" ref="D356:H356" si="92">-$C$365</f>
        <v>-14.45</v>
      </c>
      <c r="E356" s="15">
        <f t="shared" si="92"/>
        <v>-14.45</v>
      </c>
      <c r="F356" s="15">
        <f t="shared" si="92"/>
        <v>-14.45</v>
      </c>
      <c r="G356" s="15">
        <f t="shared" si="92"/>
        <v>-14.45</v>
      </c>
      <c r="H356" s="15">
        <f t="shared" si="92"/>
        <v>-14.45</v>
      </c>
    </row>
    <row r="357" spans="1:8" x14ac:dyDescent="0.2">
      <c r="B357" s="35" t="s">
        <v>209</v>
      </c>
      <c r="D357" s="15">
        <f t="shared" ref="D357:H357" si="93">-$C$369</f>
        <v>-4.5</v>
      </c>
      <c r="E357" s="15">
        <f t="shared" si="93"/>
        <v>-4.5</v>
      </c>
      <c r="F357" s="15">
        <f t="shared" si="93"/>
        <v>-4.5</v>
      </c>
      <c r="G357" s="15">
        <f t="shared" si="93"/>
        <v>-4.5</v>
      </c>
      <c r="H357" s="15">
        <f t="shared" si="93"/>
        <v>-4.5</v>
      </c>
    </row>
    <row r="358" spans="1:8" x14ac:dyDescent="0.2">
      <c r="B358" s="4" t="s">
        <v>210</v>
      </c>
      <c r="D358" s="15">
        <f t="shared" ref="D358:H358" si="94">SUM(D355:D357)</f>
        <v>-40.950000000000003</v>
      </c>
      <c r="E358" s="15">
        <f t="shared" si="94"/>
        <v>-43.15</v>
      </c>
      <c r="F358" s="15">
        <f t="shared" si="94"/>
        <v>-45.57</v>
      </c>
      <c r="G358" s="15">
        <f t="shared" si="94"/>
        <v>-48.231999999999999</v>
      </c>
      <c r="H358" s="15">
        <f t="shared" si="94"/>
        <v>-51.160200000000003</v>
      </c>
    </row>
    <row r="360" spans="1:8" x14ac:dyDescent="0.2">
      <c r="B360" s="35" t="s">
        <v>116</v>
      </c>
      <c r="C360" s="15">
        <f>C341</f>
        <v>1000</v>
      </c>
      <c r="D360" s="15">
        <f t="shared" ref="D360:H360" si="95">D341</f>
        <v>1100</v>
      </c>
      <c r="E360" s="15">
        <f t="shared" si="95"/>
        <v>1210</v>
      </c>
      <c r="F360" s="15">
        <f t="shared" si="95"/>
        <v>1331</v>
      </c>
      <c r="G360" s="15">
        <f t="shared" si="95"/>
        <v>1464.1000000000001</v>
      </c>
      <c r="H360" s="15">
        <f t="shared" si="95"/>
        <v>1610.5100000000002</v>
      </c>
    </row>
    <row r="361" spans="1:8" x14ac:dyDescent="0.2">
      <c r="B361" s="35" t="s">
        <v>207</v>
      </c>
      <c r="C361" s="39">
        <f>C355/C360</f>
        <v>-0.02</v>
      </c>
      <c r="D361" s="39">
        <f>C361</f>
        <v>-0.02</v>
      </c>
      <c r="E361" s="39">
        <f t="shared" ref="E361:H361" si="96">D361</f>
        <v>-0.02</v>
      </c>
      <c r="F361" s="39">
        <f t="shared" si="96"/>
        <v>-0.02</v>
      </c>
      <c r="G361" s="39">
        <f t="shared" si="96"/>
        <v>-0.02</v>
      </c>
      <c r="H361" s="39">
        <f t="shared" si="96"/>
        <v>-0.02</v>
      </c>
    </row>
    <row r="363" spans="1:8" x14ac:dyDescent="0.2">
      <c r="B363" s="35" t="s">
        <v>213</v>
      </c>
      <c r="C363" s="15">
        <f>C203</f>
        <v>216.75</v>
      </c>
    </row>
    <row r="364" spans="1:8" x14ac:dyDescent="0.2">
      <c r="B364" s="38" t="s">
        <v>211</v>
      </c>
      <c r="C364" s="15">
        <f>C62</f>
        <v>15</v>
      </c>
    </row>
    <row r="365" spans="1:8" x14ac:dyDescent="0.2">
      <c r="B365" s="4" t="s">
        <v>214</v>
      </c>
      <c r="C365" s="13">
        <f>C363/C364</f>
        <v>14.45</v>
      </c>
    </row>
    <row r="367" spans="1:8" x14ac:dyDescent="0.2">
      <c r="B367" s="35" t="s">
        <v>109</v>
      </c>
      <c r="C367" s="15">
        <f>C88</f>
        <v>45</v>
      </c>
    </row>
    <row r="368" spans="1:8" x14ac:dyDescent="0.2">
      <c r="B368" s="38" t="s">
        <v>211</v>
      </c>
      <c r="C368" s="15">
        <f>C52</f>
        <v>10</v>
      </c>
    </row>
    <row r="369" spans="1:8" x14ac:dyDescent="0.2">
      <c r="B369" s="35" t="s">
        <v>209</v>
      </c>
      <c r="C369" s="15">
        <f>C367/C368</f>
        <v>4.5</v>
      </c>
    </row>
    <row r="372" spans="1:8" s="28" customFormat="1" x14ac:dyDescent="0.2">
      <c r="A372" s="63" t="s">
        <v>266</v>
      </c>
      <c r="B372" s="33" t="s">
        <v>216</v>
      </c>
    </row>
    <row r="373" spans="1:8" x14ac:dyDescent="0.2">
      <c r="H373" s="15" t="s">
        <v>222</v>
      </c>
    </row>
    <row r="374" spans="1:8" x14ac:dyDescent="0.2">
      <c r="B374" s="11" t="s">
        <v>217</v>
      </c>
      <c r="D374" s="15">
        <f>C168</f>
        <v>1216.75</v>
      </c>
      <c r="E374" s="15">
        <f>D378</f>
        <v>1213.3</v>
      </c>
      <c r="F374" s="15">
        <f>E378</f>
        <v>1210.9499999999998</v>
      </c>
      <c r="G374" s="15">
        <f t="shared" ref="G374:H374" si="97">F378</f>
        <v>1209.81</v>
      </c>
      <c r="H374" s="15">
        <f t="shared" si="97"/>
        <v>1210.001</v>
      </c>
    </row>
    <row r="375" spans="1:8" x14ac:dyDescent="0.2">
      <c r="B375" s="11" t="s">
        <v>218</v>
      </c>
      <c r="D375" s="15">
        <f>D322</f>
        <v>33</v>
      </c>
      <c r="E375" s="15">
        <f t="shared" ref="E375:H375" si="98">E322</f>
        <v>36.299999999999997</v>
      </c>
      <c r="F375" s="15">
        <f t="shared" si="98"/>
        <v>39.93</v>
      </c>
      <c r="G375" s="15">
        <f t="shared" si="98"/>
        <v>43.923000000000002</v>
      </c>
      <c r="H375" s="15">
        <f t="shared" si="98"/>
        <v>48.315300000000008</v>
      </c>
    </row>
    <row r="376" spans="1:8" x14ac:dyDescent="0.2">
      <c r="B376" s="35" t="s">
        <v>219</v>
      </c>
      <c r="D376" s="15">
        <f>D355</f>
        <v>-22</v>
      </c>
      <c r="E376" s="15">
        <f t="shared" ref="E376:H376" si="99">E355</f>
        <v>-24.2</v>
      </c>
      <c r="F376" s="15">
        <f t="shared" si="99"/>
        <v>-26.62</v>
      </c>
      <c r="G376" s="15">
        <f t="shared" si="99"/>
        <v>-29.282000000000004</v>
      </c>
      <c r="H376" s="15">
        <f t="shared" si="99"/>
        <v>-32.210200000000007</v>
      </c>
    </row>
    <row r="377" spans="1:8" x14ac:dyDescent="0.2">
      <c r="B377" s="35" t="s">
        <v>220</v>
      </c>
      <c r="D377" s="15">
        <f>D356</f>
        <v>-14.45</v>
      </c>
      <c r="E377" s="15">
        <f t="shared" ref="E377:H377" si="100">E356</f>
        <v>-14.45</v>
      </c>
      <c r="F377" s="15">
        <f t="shared" si="100"/>
        <v>-14.45</v>
      </c>
      <c r="G377" s="15">
        <f t="shared" si="100"/>
        <v>-14.45</v>
      </c>
      <c r="H377" s="15">
        <f t="shared" si="100"/>
        <v>-14.45</v>
      </c>
    </row>
    <row r="378" spans="1:8" x14ac:dyDescent="0.2">
      <c r="B378" s="4" t="s">
        <v>221</v>
      </c>
      <c r="C378" s="15">
        <f>SUM(C374:C377)</f>
        <v>0</v>
      </c>
      <c r="D378" s="15">
        <f>SUM(D374:D377)</f>
        <v>1213.3</v>
      </c>
      <c r="E378" s="15">
        <f t="shared" ref="E378:H378" si="101">SUM(E374:E377)</f>
        <v>1210.9499999999998</v>
      </c>
      <c r="F378" s="15">
        <f t="shared" si="101"/>
        <v>1209.81</v>
      </c>
      <c r="G378" s="15">
        <f t="shared" si="101"/>
        <v>1210.001</v>
      </c>
      <c r="H378" s="15">
        <f t="shared" si="101"/>
        <v>1211.6560999999999</v>
      </c>
    </row>
  </sheetData>
  <dataValidations count="1">
    <dataValidation type="list" allowBlank="1" showInputMessage="1" showErrorMessage="1" sqref="C56" xr:uid="{ABCE883E-8746-4911-A197-ECFE0EDA664C}">
      <formula1>$V$56:$W$56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EED09-8F0F-4D9C-BFAE-57E0A9A89FEB}">
  <dimension ref="B4"/>
  <sheetViews>
    <sheetView workbookViewId="0">
      <selection activeCell="B4" sqref="B4"/>
    </sheetView>
  </sheetViews>
  <sheetFormatPr defaultRowHeight="12" x14ac:dyDescent="0.2"/>
  <sheetData>
    <row r="4" spans="2:2" x14ac:dyDescent="0.2">
      <c r="B4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LBO</vt:lpstr>
      <vt:lpstr>INST</vt:lpstr>
      <vt:lpstr>MODULE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officialeraygunel@gmail.com</dc:creator>
  <cp:lastModifiedBy>officialeraygunel@gmail.com</cp:lastModifiedBy>
  <dcterms:created xsi:type="dcterms:W3CDTF">2024-08-21T12:59:23Z</dcterms:created>
  <dcterms:modified xsi:type="dcterms:W3CDTF">2024-08-22T01:07:54Z</dcterms:modified>
</cp:coreProperties>
</file>